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13_ncr:1_{A2E0ABA1-A5B8-4C2A-A46C-97DF79664B6B}" xr6:coauthVersionLast="47" xr6:coauthVersionMax="47" xr10:uidLastSave="{00000000-0000-0000-0000-000000000000}"/>
  <bookViews>
    <workbookView xWindow="0" yWindow="0" windowWidth="19200" windowHeight="21000" xr2:uid="{33C47E49-525E-498C-A4A6-3BE8E55998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49" i="1" l="1"/>
  <c r="L3449" i="1"/>
  <c r="K5193" i="1"/>
  <c r="L5193" i="1"/>
  <c r="K3442" i="1"/>
  <c r="L3442" i="1"/>
  <c r="K4527" i="1"/>
  <c r="L4527" i="1"/>
  <c r="K4494" i="1"/>
  <c r="L4494" i="1"/>
  <c r="K5542" i="1"/>
  <c r="L5542" i="1"/>
  <c r="K5506" i="1"/>
  <c r="L5506" i="1"/>
  <c r="K3122" i="1"/>
  <c r="L3122" i="1"/>
  <c r="K2821" i="1"/>
  <c r="L2821" i="1"/>
  <c r="K4390" i="1"/>
  <c r="L4390" i="1"/>
  <c r="K5566" i="1"/>
  <c r="L5566" i="1"/>
  <c r="K5559" i="1"/>
  <c r="L5559" i="1"/>
  <c r="K5505" i="1"/>
  <c r="L5505" i="1"/>
  <c r="K5187" i="1"/>
  <c r="L5187" i="1"/>
  <c r="K5474" i="1"/>
  <c r="L5474" i="1"/>
  <c r="K4927" i="1"/>
  <c r="L4927" i="1"/>
  <c r="K4224" i="1"/>
  <c r="L4224" i="1"/>
  <c r="K3308" i="1"/>
  <c r="L3308" i="1"/>
  <c r="K4552" i="1"/>
  <c r="L4552" i="1"/>
  <c r="K2741" i="1"/>
  <c r="L2741" i="1"/>
  <c r="K4369" i="1"/>
  <c r="L4369" i="1"/>
  <c r="K4002" i="1"/>
  <c r="L4002" i="1"/>
  <c r="K4376" i="1"/>
  <c r="L4376" i="1"/>
  <c r="K4668" i="1"/>
  <c r="L4668" i="1"/>
  <c r="K4709" i="1"/>
  <c r="L4709" i="1"/>
  <c r="K4337" i="1"/>
  <c r="L4337" i="1"/>
  <c r="K4080" i="1"/>
  <c r="L4080" i="1"/>
  <c r="K4989" i="1"/>
  <c r="L4989" i="1"/>
  <c r="K3710" i="1"/>
  <c r="L3710" i="1"/>
  <c r="K3044" i="1"/>
  <c r="L3044" i="1"/>
  <c r="K5169" i="1"/>
  <c r="L5169" i="1"/>
  <c r="K3763" i="1"/>
  <c r="L3763" i="1"/>
  <c r="K3877" i="1"/>
  <c r="L3877" i="1"/>
  <c r="K4660" i="1"/>
  <c r="L4660" i="1"/>
  <c r="K3920" i="1"/>
  <c r="L3920" i="1"/>
  <c r="K5528" i="1"/>
  <c r="L5528" i="1"/>
  <c r="K4233" i="1"/>
  <c r="L4233" i="1"/>
  <c r="K3670" i="1"/>
  <c r="L3670" i="1"/>
  <c r="K3816" i="1"/>
  <c r="L3816" i="1"/>
  <c r="K2792" i="1"/>
  <c r="L2792" i="1"/>
  <c r="K4973" i="1"/>
  <c r="L4973" i="1"/>
  <c r="K5545" i="1"/>
  <c r="L5545" i="1"/>
  <c r="K2777" i="1"/>
  <c r="L2777" i="1"/>
  <c r="K3819" i="1"/>
  <c r="L3819" i="1"/>
  <c r="K3006" i="1"/>
  <c r="L3006" i="1"/>
  <c r="K2707" i="1"/>
  <c r="L2707" i="1"/>
  <c r="K3944" i="1"/>
  <c r="L3944" i="1"/>
  <c r="K5002" i="1"/>
  <c r="L5002" i="1"/>
  <c r="K5206" i="1"/>
  <c r="L5206" i="1"/>
  <c r="K3314" i="1"/>
  <c r="L3314" i="1"/>
  <c r="K2901" i="1"/>
  <c r="L2901" i="1"/>
  <c r="K5081" i="1"/>
  <c r="L5081" i="1"/>
  <c r="K4001" i="1"/>
  <c r="L4001" i="1"/>
  <c r="K4488" i="1"/>
  <c r="L4488" i="1"/>
  <c r="K4898" i="1"/>
  <c r="L4898" i="1"/>
  <c r="K2870" i="1"/>
  <c r="L2870" i="1"/>
  <c r="K3048" i="1"/>
  <c r="L3048" i="1"/>
  <c r="K4473" i="1"/>
  <c r="L4473" i="1"/>
  <c r="K4885" i="1"/>
  <c r="L4885" i="1"/>
  <c r="K3075" i="1"/>
  <c r="L3075" i="1"/>
  <c r="K4138" i="1"/>
  <c r="L4138" i="1"/>
  <c r="K4300" i="1"/>
  <c r="L4300" i="1"/>
  <c r="K3479" i="1"/>
  <c r="L3479" i="1"/>
  <c r="K4705" i="1"/>
  <c r="L4705" i="1"/>
  <c r="K3256" i="1"/>
  <c r="L3256" i="1"/>
  <c r="K5183" i="1"/>
  <c r="L5183" i="1"/>
  <c r="K3760" i="1"/>
  <c r="L3760" i="1"/>
  <c r="K3860" i="1"/>
  <c r="L3860" i="1"/>
  <c r="K4402" i="1"/>
  <c r="L4402" i="1"/>
  <c r="K5095" i="1"/>
  <c r="L5095" i="1"/>
  <c r="K4553" i="1"/>
  <c r="L4553" i="1"/>
  <c r="K3159" i="1"/>
  <c r="L3159" i="1"/>
  <c r="K4466" i="1"/>
  <c r="L4466" i="1"/>
  <c r="K4879" i="1"/>
  <c r="L4879" i="1"/>
  <c r="K4910" i="1"/>
  <c r="L4910" i="1"/>
  <c r="K3081" i="1"/>
  <c r="L3081" i="1"/>
  <c r="K3533" i="1"/>
  <c r="L3533" i="1"/>
  <c r="K5005" i="1"/>
  <c r="L5005" i="1"/>
  <c r="K4063" i="1"/>
  <c r="L4063" i="1"/>
  <c r="K4025" i="1"/>
  <c r="L4025" i="1"/>
  <c r="K2993" i="1"/>
  <c r="L2993" i="1"/>
  <c r="K5540" i="1"/>
  <c r="L5540" i="1"/>
  <c r="K3395" i="1"/>
  <c r="L3395" i="1"/>
  <c r="K5476" i="1"/>
  <c r="L5476" i="1"/>
  <c r="K5061" i="1"/>
  <c r="L5061" i="1"/>
  <c r="K2662" i="1"/>
  <c r="L2662" i="1"/>
  <c r="K5287" i="1"/>
  <c r="L5287" i="1"/>
  <c r="K5318" i="1"/>
  <c r="L5318" i="1"/>
  <c r="K4123" i="1"/>
  <c r="L4123" i="1"/>
  <c r="K2667" i="1"/>
  <c r="L2667" i="1"/>
  <c r="K5133" i="1"/>
  <c r="L5133" i="1"/>
  <c r="K3656" i="1"/>
  <c r="L3656" i="1"/>
  <c r="K2636" i="1"/>
  <c r="L2636" i="1"/>
  <c r="K4378" i="1"/>
  <c r="L4378" i="1"/>
  <c r="K4615" i="1"/>
  <c r="L4615" i="1"/>
  <c r="K2981" i="1"/>
  <c r="L2981" i="1"/>
  <c r="K3326" i="1"/>
  <c r="L3326" i="1"/>
  <c r="K3757" i="1"/>
  <c r="L3757" i="1"/>
  <c r="K4374" i="1"/>
  <c r="L4374" i="1"/>
  <c r="K2386" i="1"/>
  <c r="L2386" i="1"/>
  <c r="K3824" i="1"/>
  <c r="L3824" i="1"/>
  <c r="K4511" i="1"/>
  <c r="L4511" i="1"/>
  <c r="K3925" i="1"/>
  <c r="L3925" i="1"/>
  <c r="K3974" i="1"/>
  <c r="L3974" i="1"/>
  <c r="K3588" i="1"/>
  <c r="L3588" i="1"/>
  <c r="K2754" i="1"/>
  <c r="L2754" i="1"/>
  <c r="K5435" i="1"/>
  <c r="L5435" i="1"/>
  <c r="K3394" i="1"/>
  <c r="L3394" i="1"/>
  <c r="K4241" i="1"/>
  <c r="L4241" i="1"/>
  <c r="K5449" i="1"/>
  <c r="L5449" i="1"/>
  <c r="K4270" i="1"/>
  <c r="L4270" i="1"/>
  <c r="K4291" i="1"/>
  <c r="L4291" i="1"/>
  <c r="K2455" i="1"/>
  <c r="L2455" i="1"/>
  <c r="K4822" i="1"/>
  <c r="L4822" i="1"/>
  <c r="K4583" i="1"/>
  <c r="L4583" i="1"/>
  <c r="K3082" i="1"/>
  <c r="L3082" i="1"/>
  <c r="K4067" i="1"/>
  <c r="L4067" i="1"/>
  <c r="K4629" i="1"/>
  <c r="L4629" i="1"/>
  <c r="K4060" i="1"/>
  <c r="L4060" i="1"/>
  <c r="K2367" i="1"/>
  <c r="L2367" i="1"/>
  <c r="K4394" i="1"/>
  <c r="L4394" i="1"/>
  <c r="K5421" i="1"/>
  <c r="L5421" i="1"/>
  <c r="K4676" i="1"/>
  <c r="L4676" i="1"/>
  <c r="K4815" i="1"/>
  <c r="L4815" i="1"/>
  <c r="K2779" i="1"/>
  <c r="L2779" i="1"/>
  <c r="K4642" i="1"/>
  <c r="L4642" i="1"/>
  <c r="K3998" i="1"/>
  <c r="L3998" i="1"/>
  <c r="K4854" i="1"/>
  <c r="L4854" i="1"/>
  <c r="K3806" i="1"/>
  <c r="L3806" i="1"/>
  <c r="K4777" i="1"/>
  <c r="L4777" i="1"/>
  <c r="K3055" i="1"/>
  <c r="L3055" i="1"/>
  <c r="K4892" i="1"/>
  <c r="L4892" i="1"/>
  <c r="K4130" i="1"/>
  <c r="L4130" i="1"/>
  <c r="K5372" i="1"/>
  <c r="L5372" i="1"/>
  <c r="K4727" i="1"/>
  <c r="L4727" i="1"/>
  <c r="K4975" i="1"/>
  <c r="L4975" i="1"/>
  <c r="K4627" i="1"/>
  <c r="L4627" i="1"/>
  <c r="K5050" i="1"/>
  <c r="L5050" i="1"/>
  <c r="K5283" i="1"/>
  <c r="L5283" i="1"/>
  <c r="K4175" i="1"/>
  <c r="L4175" i="1"/>
  <c r="K5140" i="1"/>
  <c r="L5140" i="1"/>
  <c r="K5052" i="1"/>
  <c r="L5052" i="1"/>
  <c r="K4429" i="1"/>
  <c r="L4429" i="1"/>
  <c r="K5356" i="1"/>
  <c r="L5356" i="1"/>
  <c r="K3172" i="1"/>
  <c r="L3172" i="1"/>
  <c r="K5441" i="1"/>
  <c r="L5441" i="1"/>
  <c r="K2681" i="1"/>
  <c r="L2681" i="1"/>
  <c r="K2489" i="1"/>
  <c r="L2489" i="1"/>
  <c r="K4366" i="1"/>
  <c r="L4366" i="1"/>
  <c r="K5334" i="1"/>
  <c r="L5334" i="1"/>
  <c r="K5502" i="1"/>
  <c r="L5502" i="1"/>
  <c r="K4260" i="1"/>
  <c r="L4260" i="1"/>
  <c r="K5137" i="1"/>
  <c r="L5137" i="1"/>
  <c r="K4187" i="1"/>
  <c r="L4187" i="1"/>
  <c r="K3136" i="1"/>
  <c r="L3136" i="1"/>
  <c r="K3729" i="1"/>
  <c r="L3729" i="1"/>
  <c r="K4090" i="1"/>
  <c r="L4090" i="1"/>
  <c r="K4046" i="1"/>
  <c r="L4046" i="1"/>
  <c r="K3801" i="1"/>
  <c r="L3801" i="1"/>
  <c r="K3890" i="1"/>
  <c r="L3890" i="1"/>
  <c r="K3946" i="1"/>
  <c r="L3946" i="1"/>
  <c r="K2917" i="1"/>
  <c r="L2917" i="1"/>
  <c r="K5222" i="1"/>
  <c r="L5222" i="1"/>
  <c r="K3190" i="1"/>
  <c r="L3190" i="1"/>
  <c r="K3811" i="1"/>
  <c r="L3811" i="1"/>
  <c r="K5462" i="1"/>
  <c r="L5462" i="1"/>
  <c r="K2477" i="1"/>
  <c r="L2477" i="1"/>
  <c r="K3627" i="1"/>
  <c r="L3627" i="1"/>
  <c r="K2481" i="1"/>
  <c r="L2481" i="1"/>
  <c r="K5268" i="1"/>
  <c r="L5268" i="1"/>
  <c r="K5231" i="1"/>
  <c r="L5231" i="1"/>
  <c r="K3967" i="1"/>
  <c r="L3967" i="1"/>
  <c r="K4484" i="1"/>
  <c r="L4484" i="1"/>
  <c r="K4992" i="1"/>
  <c r="L4992" i="1"/>
  <c r="K3964" i="1"/>
  <c r="L3964" i="1"/>
  <c r="K5358" i="1"/>
  <c r="L5358" i="1"/>
  <c r="K4338" i="1"/>
  <c r="L4338" i="1"/>
  <c r="K4522" i="1"/>
  <c r="L4522" i="1"/>
  <c r="K4524" i="1"/>
  <c r="L4524" i="1"/>
  <c r="K5538" i="1"/>
  <c r="L5538" i="1"/>
  <c r="K3248" i="1"/>
  <c r="L3248" i="1"/>
  <c r="K4893" i="1"/>
  <c r="L4893" i="1"/>
  <c r="K5253" i="1"/>
  <c r="L5253" i="1"/>
  <c r="K3080" i="1"/>
  <c r="L3080" i="1"/>
  <c r="K4953" i="1"/>
  <c r="L4953" i="1"/>
  <c r="K4014" i="1"/>
  <c r="L4014" i="1"/>
  <c r="K4535" i="1"/>
  <c r="L4535" i="1"/>
  <c r="K4738" i="1"/>
  <c r="L4738" i="1"/>
  <c r="K2961" i="1"/>
  <c r="L2961" i="1"/>
  <c r="K2740" i="1"/>
  <c r="L2740" i="1"/>
  <c r="K4333" i="1"/>
  <c r="L4333" i="1"/>
  <c r="K2626" i="1"/>
  <c r="L2626" i="1"/>
  <c r="K5551" i="1"/>
  <c r="L5551" i="1"/>
  <c r="K5426" i="1"/>
  <c r="L5426" i="1"/>
  <c r="K4349" i="1"/>
  <c r="L4349" i="1"/>
  <c r="K3994" i="1"/>
  <c r="L3994" i="1"/>
  <c r="K5527" i="1"/>
  <c r="L5527" i="1"/>
  <c r="K2987" i="1"/>
  <c r="L2987" i="1"/>
  <c r="K2782" i="1"/>
  <c r="L2782" i="1"/>
  <c r="K3396" i="1"/>
  <c r="L3396" i="1"/>
  <c r="K3263" i="1"/>
  <c r="L3263" i="1"/>
  <c r="K3419" i="1"/>
  <c r="L3419" i="1"/>
  <c r="K5541" i="1"/>
  <c r="L5541" i="1"/>
  <c r="K3293" i="1"/>
  <c r="L3293" i="1"/>
  <c r="K4578" i="1"/>
  <c r="L4578" i="1"/>
  <c r="K4177" i="1"/>
  <c r="L4177" i="1"/>
  <c r="K2761" i="1"/>
  <c r="L2761" i="1"/>
  <c r="K3432" i="1"/>
  <c r="L3432" i="1"/>
  <c r="K3242" i="1"/>
  <c r="L3242" i="1"/>
  <c r="K3833" i="1"/>
  <c r="L3833" i="1"/>
  <c r="K2643" i="1"/>
  <c r="L2643" i="1"/>
  <c r="K5569" i="1"/>
  <c r="L5569" i="1"/>
  <c r="K2916" i="1"/>
  <c r="L2916" i="1"/>
  <c r="K5043" i="1"/>
  <c r="L5043" i="1"/>
  <c r="K5146" i="1"/>
  <c r="L5146" i="1"/>
  <c r="K5317" i="1"/>
  <c r="L5317" i="1"/>
  <c r="K4417" i="1"/>
  <c r="L4417" i="1"/>
  <c r="K3639" i="1"/>
  <c r="L3639" i="1"/>
  <c r="K2588" i="1"/>
  <c r="L2588" i="1"/>
  <c r="K4914" i="1"/>
  <c r="L4914" i="1"/>
  <c r="K5191" i="1"/>
  <c r="L5191" i="1"/>
  <c r="K3822" i="1"/>
  <c r="L3822" i="1"/>
  <c r="K3428" i="1"/>
  <c r="L3428" i="1"/>
  <c r="K2914" i="1"/>
  <c r="L2914" i="1"/>
  <c r="K3686" i="1"/>
  <c r="L3686" i="1"/>
  <c r="K3589" i="1"/>
  <c r="L3589" i="1"/>
  <c r="K4387" i="1"/>
  <c r="L4387" i="1"/>
  <c r="K3297" i="1"/>
  <c r="L3297" i="1"/>
  <c r="K4035" i="1"/>
  <c r="L4035" i="1"/>
  <c r="K4690" i="1"/>
  <c r="L4690" i="1"/>
  <c r="K3076" i="1"/>
  <c r="L3076" i="1"/>
  <c r="K4568" i="1"/>
  <c r="L4568" i="1"/>
  <c r="K3364" i="1"/>
  <c r="L3364" i="1"/>
  <c r="K4741" i="1"/>
  <c r="L4741" i="1"/>
  <c r="K2474" i="1"/>
  <c r="L2474" i="1"/>
  <c r="K3077" i="1"/>
  <c r="L3077" i="1"/>
  <c r="K2356" i="1"/>
  <c r="L2356" i="1"/>
  <c r="K2730" i="1"/>
  <c r="L2730" i="1"/>
  <c r="K2848" i="1"/>
  <c r="L2848" i="1"/>
  <c r="K5007" i="1"/>
  <c r="L5007" i="1"/>
  <c r="K3970" i="1"/>
  <c r="L3970" i="1"/>
  <c r="K3464" i="1"/>
  <c r="L3464" i="1"/>
  <c r="K5339" i="1"/>
  <c r="L5339" i="1"/>
  <c r="K3839" i="1"/>
  <c r="L3839" i="1"/>
  <c r="K4907" i="1"/>
  <c r="L4907" i="1"/>
  <c r="K2998" i="1"/>
  <c r="L2998" i="1"/>
  <c r="K5347" i="1"/>
  <c r="L5347" i="1"/>
  <c r="K4036" i="1"/>
  <c r="L4036" i="1"/>
  <c r="K5223" i="1"/>
  <c r="L5223" i="1"/>
  <c r="K2462" i="1"/>
  <c r="L2462" i="1"/>
  <c r="K2696" i="1"/>
  <c r="L2696" i="1"/>
  <c r="K2943" i="1"/>
  <c r="L2943" i="1"/>
  <c r="K2514" i="1"/>
  <c r="L2514" i="1"/>
  <c r="K2520" i="1"/>
  <c r="L2520" i="1"/>
  <c r="K3489" i="1"/>
  <c r="L3489" i="1"/>
  <c r="K3841" i="1"/>
  <c r="L3841" i="1"/>
  <c r="K3454" i="1"/>
  <c r="L3454" i="1"/>
  <c r="K4797" i="1"/>
  <c r="L4797" i="1"/>
  <c r="K3221" i="1"/>
  <c r="L3221" i="1"/>
  <c r="K2948" i="1"/>
  <c r="L2948" i="1"/>
  <c r="K3135" i="1"/>
  <c r="L3135" i="1"/>
  <c r="K2420" i="1"/>
  <c r="L2420" i="1"/>
  <c r="K3669" i="1"/>
  <c r="L3669" i="1"/>
  <c r="K3233" i="1"/>
  <c r="L3233" i="1"/>
  <c r="K4950" i="1"/>
  <c r="L4950" i="1"/>
  <c r="K2717" i="1"/>
  <c r="L2717" i="1"/>
  <c r="K3105" i="1"/>
  <c r="L3105" i="1"/>
  <c r="K5463" i="1"/>
  <c r="L5463" i="1"/>
  <c r="K4008" i="1"/>
  <c r="L4008" i="1"/>
  <c r="K2691" i="1"/>
  <c r="L2691" i="1"/>
  <c r="K2808" i="1"/>
  <c r="L2808" i="1"/>
  <c r="K3226" i="1"/>
  <c r="L3226" i="1"/>
  <c r="K5233" i="1"/>
  <c r="L5233" i="1"/>
  <c r="K5248" i="1"/>
  <c r="L5248" i="1"/>
  <c r="K3620" i="1"/>
  <c r="L3620" i="1"/>
  <c r="K4073" i="1"/>
  <c r="L4073" i="1"/>
  <c r="K5361" i="1"/>
  <c r="L5361" i="1"/>
  <c r="K5155" i="1"/>
  <c r="L5155" i="1"/>
  <c r="K4277" i="1"/>
  <c r="L4277" i="1"/>
  <c r="K4925" i="1"/>
  <c r="L4925" i="1"/>
  <c r="K3617" i="1"/>
  <c r="L3617" i="1"/>
  <c r="K4525" i="1"/>
  <c r="L4525" i="1"/>
  <c r="K2357" i="1"/>
  <c r="L2357" i="1"/>
  <c r="K4342" i="1"/>
  <c r="L4342" i="1"/>
  <c r="K2482" i="1"/>
  <c r="L2482" i="1"/>
  <c r="K5091" i="1"/>
  <c r="L5091" i="1"/>
  <c r="K4098" i="1"/>
  <c r="L4098" i="1"/>
  <c r="K3392" i="1"/>
  <c r="L3392" i="1"/>
  <c r="K5520" i="1"/>
  <c r="L5520" i="1"/>
  <c r="K2460" i="1"/>
  <c r="L2460" i="1"/>
  <c r="K3883" i="1"/>
  <c r="L3883" i="1"/>
  <c r="K4018" i="1"/>
  <c r="L4018" i="1"/>
  <c r="K5491" i="1"/>
  <c r="L5491" i="1"/>
  <c r="K4938" i="1"/>
  <c r="L4938" i="1"/>
  <c r="K2517" i="1"/>
  <c r="L2517" i="1"/>
  <c r="K4094" i="1"/>
  <c r="L4094" i="1"/>
  <c r="K4931" i="1"/>
  <c r="L4931" i="1"/>
  <c r="K3675" i="1"/>
  <c r="L3675" i="1"/>
  <c r="K5244" i="1"/>
  <c r="L5244" i="1"/>
  <c r="K4830" i="1"/>
  <c r="L4830" i="1"/>
  <c r="K3440" i="1"/>
  <c r="L3440" i="1"/>
  <c r="K4672" i="1"/>
  <c r="L4672" i="1"/>
  <c r="K2540" i="1"/>
  <c r="L2540" i="1"/>
  <c r="K2496" i="1"/>
  <c r="L2496" i="1"/>
  <c r="K4649" i="1"/>
  <c r="L4649" i="1"/>
  <c r="K5530" i="1"/>
  <c r="L5530" i="1"/>
  <c r="K4804" i="1"/>
  <c r="L4804" i="1"/>
  <c r="K3549" i="1"/>
  <c r="L3549" i="1"/>
  <c r="K4813" i="1"/>
  <c r="L4813" i="1"/>
  <c r="K4101" i="1"/>
  <c r="L4101" i="1"/>
  <c r="K5480" i="1"/>
  <c r="L5480" i="1"/>
  <c r="K5037" i="1"/>
  <c r="L5037" i="1"/>
  <c r="K5260" i="1"/>
  <c r="L5260" i="1"/>
  <c r="K3647" i="1"/>
  <c r="L3647" i="1"/>
  <c r="K3826" i="1"/>
  <c r="L3826" i="1"/>
  <c r="K4010" i="1"/>
  <c r="L4010" i="1"/>
  <c r="K2857" i="1"/>
  <c r="L2857" i="1"/>
  <c r="K5286" i="1"/>
  <c r="L5286" i="1"/>
  <c r="K5245" i="1"/>
  <c r="L5245" i="1"/>
  <c r="K3289" i="1"/>
  <c r="L3289" i="1"/>
  <c r="K4874" i="1"/>
  <c r="L4874" i="1"/>
  <c r="K4273" i="1"/>
  <c r="L4273" i="1"/>
  <c r="K4140" i="1"/>
  <c r="L4140" i="1"/>
  <c r="K4905" i="1"/>
  <c r="L4905" i="1"/>
  <c r="K2557" i="1"/>
  <c r="L2557" i="1"/>
  <c r="K3404" i="1"/>
  <c r="L3404" i="1"/>
  <c r="K3346" i="1"/>
  <c r="L3346" i="1"/>
  <c r="K2950" i="1"/>
  <c r="L2950" i="1"/>
  <c r="K4935" i="1"/>
  <c r="L4935" i="1"/>
  <c r="K4000" i="1"/>
  <c r="L4000" i="1"/>
  <c r="K5134" i="1"/>
  <c r="L5134" i="1"/>
  <c r="K4086" i="1"/>
  <c r="L4086" i="1"/>
  <c r="K3185" i="1"/>
  <c r="L3185" i="1"/>
  <c r="K5468" i="1"/>
  <c r="L5468" i="1"/>
  <c r="K3565" i="1"/>
  <c r="L3565" i="1"/>
  <c r="K4206" i="1"/>
  <c r="L4206" i="1"/>
  <c r="K4722" i="1"/>
  <c r="L4722" i="1"/>
  <c r="K5459" i="1"/>
  <c r="L5459" i="1"/>
  <c r="K4714" i="1"/>
  <c r="L4714" i="1"/>
  <c r="K4093" i="1"/>
  <c r="L4093" i="1"/>
  <c r="K2523" i="1"/>
  <c r="L2523" i="1"/>
  <c r="K3375" i="1"/>
  <c r="L3375" i="1"/>
  <c r="K3858" i="1"/>
  <c r="L3858" i="1"/>
  <c r="K4759" i="1"/>
  <c r="L4759" i="1"/>
  <c r="K5186" i="1"/>
  <c r="L5186" i="1"/>
  <c r="K5359" i="1"/>
  <c r="L5359" i="1"/>
  <c r="K4757" i="1"/>
  <c r="L4757" i="1"/>
  <c r="K4694" i="1"/>
  <c r="L4694" i="1"/>
  <c r="K4743" i="1"/>
  <c r="L4743" i="1"/>
  <c r="K3825" i="1"/>
  <c r="L3825" i="1"/>
  <c r="K3228" i="1"/>
  <c r="L3228" i="1"/>
  <c r="K4068" i="1"/>
  <c r="L4068" i="1"/>
  <c r="K4945" i="1"/>
  <c r="L4945" i="1"/>
  <c r="K3409" i="1"/>
  <c r="L3409" i="1"/>
  <c r="K4771" i="1"/>
  <c r="L4771" i="1"/>
  <c r="K3425" i="1"/>
  <c r="L3425" i="1"/>
  <c r="K4179" i="1"/>
  <c r="L4179" i="1"/>
  <c r="K3239" i="1"/>
  <c r="L3239" i="1"/>
  <c r="K3443" i="1"/>
  <c r="L3443" i="1"/>
  <c r="K3098" i="1"/>
  <c r="L3098" i="1"/>
  <c r="K3908" i="1"/>
  <c r="L3908" i="1"/>
  <c r="K3583" i="1"/>
  <c r="L3583" i="1"/>
  <c r="K2491" i="1"/>
  <c r="L2491" i="1"/>
  <c r="K4996" i="1"/>
  <c r="L4996" i="1"/>
  <c r="K3515" i="1"/>
  <c r="L3515" i="1"/>
  <c r="K2903" i="1"/>
  <c r="L2903" i="1"/>
  <c r="K5000" i="1"/>
  <c r="L5000" i="1"/>
  <c r="K3991" i="1"/>
  <c r="L3991" i="1"/>
  <c r="K4500" i="1"/>
  <c r="L4500" i="1"/>
  <c r="K3931" i="1"/>
  <c r="L3931" i="1"/>
  <c r="K5016" i="1"/>
  <c r="L5016" i="1"/>
  <c r="K3168" i="1"/>
  <c r="L3168" i="1"/>
  <c r="K4024" i="1"/>
  <c r="L4024" i="1"/>
  <c r="K2920" i="1"/>
  <c r="L2920" i="1"/>
  <c r="K3435" i="1"/>
  <c r="L3435" i="1"/>
  <c r="K2774" i="1"/>
  <c r="L2774" i="1"/>
  <c r="K5562" i="1"/>
  <c r="L5562" i="1"/>
  <c r="K3837" i="1"/>
  <c r="L3837" i="1"/>
  <c r="K4111" i="1"/>
  <c r="L4111" i="1"/>
  <c r="K2497" i="1"/>
  <c r="L2497" i="1"/>
  <c r="K5092" i="1"/>
  <c r="L5092" i="1"/>
  <c r="K3450" i="1"/>
  <c r="L3450" i="1"/>
  <c r="K5045" i="1"/>
  <c r="L5045" i="1"/>
  <c r="K2749" i="1"/>
  <c r="L2749" i="1"/>
  <c r="K4120" i="1"/>
  <c r="L4120" i="1"/>
  <c r="K2898" i="1"/>
  <c r="L2898" i="1"/>
  <c r="K4997" i="1"/>
  <c r="L4997" i="1"/>
  <c r="K4229" i="1"/>
  <c r="L4229" i="1"/>
  <c r="K3492" i="1"/>
  <c r="L3492" i="1"/>
  <c r="K4661" i="1"/>
  <c r="L4661" i="1"/>
  <c r="K2798" i="1"/>
  <c r="L2798" i="1"/>
  <c r="K3548" i="1"/>
  <c r="L3548" i="1"/>
  <c r="K5600" i="1"/>
  <c r="L5600" i="1"/>
  <c r="K2745" i="1"/>
  <c r="L2745" i="1"/>
  <c r="K3138" i="1"/>
  <c r="L3138" i="1"/>
  <c r="K3407" i="1"/>
  <c r="L3407" i="1"/>
  <c r="K4563" i="1"/>
  <c r="L4563" i="1"/>
  <c r="K3212" i="1"/>
  <c r="L3212" i="1"/>
  <c r="K5157" i="1"/>
  <c r="L5157" i="1"/>
  <c r="K4523" i="1"/>
  <c r="L4523" i="1"/>
  <c r="K4078" i="1"/>
  <c r="L4078" i="1"/>
  <c r="K5519" i="1"/>
  <c r="L5519" i="1"/>
  <c r="K2714" i="1"/>
  <c r="L2714" i="1"/>
  <c r="K2631" i="1"/>
  <c r="L2631" i="1"/>
  <c r="K3453" i="1"/>
  <c r="L3453" i="1"/>
  <c r="K3348" i="1"/>
  <c r="L3348" i="1"/>
  <c r="K4265" i="1"/>
  <c r="L4265" i="1"/>
  <c r="K5203" i="1"/>
  <c r="L5203" i="1"/>
  <c r="K4274" i="1"/>
  <c r="L4274" i="1"/>
  <c r="K4307" i="1"/>
  <c r="L4307" i="1"/>
  <c r="K3169" i="1"/>
  <c r="L3169" i="1"/>
  <c r="K5311" i="1"/>
  <c r="L5311" i="1"/>
  <c r="K2654" i="1"/>
  <c r="L2654" i="1"/>
  <c r="K4492" i="1"/>
  <c r="L4492" i="1"/>
  <c r="K4872" i="1"/>
  <c r="L4872" i="1"/>
  <c r="K3318" i="1"/>
  <c r="L3318" i="1"/>
  <c r="K3420" i="1"/>
  <c r="L3420" i="1"/>
  <c r="K2757" i="1"/>
  <c r="L2757" i="1"/>
  <c r="K2688" i="1"/>
  <c r="L2688" i="1"/>
  <c r="K4567" i="1"/>
  <c r="L4567" i="1"/>
  <c r="K4122" i="1"/>
  <c r="L4122" i="1"/>
  <c r="K5300" i="1"/>
  <c r="L5300" i="1"/>
  <c r="K3012" i="1"/>
  <c r="L3012" i="1"/>
  <c r="K5189" i="1"/>
  <c r="L5189" i="1"/>
  <c r="K4900" i="1"/>
  <c r="L4900" i="1"/>
  <c r="K2805" i="1"/>
  <c r="L2805" i="1"/>
  <c r="K3725" i="1"/>
  <c r="L3725" i="1"/>
  <c r="K4475" i="1"/>
  <c r="L4475" i="1"/>
  <c r="K2926" i="1"/>
  <c r="L2926" i="1"/>
  <c r="K4053" i="1"/>
  <c r="L4053" i="1"/>
  <c r="K3678" i="1"/>
  <c r="L3678" i="1"/>
  <c r="K4155" i="1"/>
  <c r="L4155" i="1"/>
  <c r="K3083" i="1"/>
  <c r="L3083" i="1"/>
  <c r="K5259" i="1"/>
  <c r="L5259" i="1"/>
  <c r="K3019" i="1"/>
  <c r="L3019" i="1"/>
  <c r="K4460" i="1"/>
  <c r="L4460" i="1"/>
  <c r="K2511" i="1"/>
  <c r="L2511" i="1"/>
  <c r="K5404" i="1"/>
  <c r="L5404" i="1"/>
  <c r="K3812" i="1"/>
  <c r="L3812" i="1"/>
  <c r="K4363" i="1"/>
  <c r="L4363" i="1"/>
  <c r="K2439" i="1"/>
  <c r="L2439" i="1"/>
  <c r="K4957" i="1"/>
  <c r="L4957" i="1"/>
  <c r="K2888" i="1"/>
  <c r="L2888" i="1"/>
  <c r="K2979" i="1"/>
  <c r="L2979" i="1"/>
  <c r="K4054" i="1"/>
  <c r="L4054" i="1"/>
  <c r="K2537" i="1"/>
  <c r="L2537" i="1"/>
  <c r="K4944" i="1"/>
  <c r="L4944" i="1"/>
  <c r="K5374" i="1"/>
  <c r="L5374" i="1"/>
  <c r="K3634" i="1"/>
  <c r="L3634" i="1"/>
  <c r="K5393" i="1"/>
  <c r="L5393" i="1"/>
  <c r="K4716" i="1"/>
  <c r="L4716" i="1"/>
  <c r="K2767" i="1"/>
  <c r="L2767" i="1"/>
  <c r="K3985" i="1"/>
  <c r="L3985" i="1"/>
  <c r="K4379" i="1"/>
  <c r="L4379" i="1"/>
  <c r="K3039" i="1"/>
  <c r="L3039" i="1"/>
  <c r="K5378" i="1"/>
  <c r="L5378" i="1"/>
  <c r="K5596" i="1"/>
  <c r="L5596" i="1"/>
  <c r="K3284" i="1"/>
  <c r="L3284" i="1"/>
  <c r="K5565" i="1"/>
  <c r="L5565" i="1"/>
  <c r="K2700" i="1"/>
  <c r="L2700" i="1"/>
  <c r="K5028" i="1"/>
  <c r="L5028" i="1"/>
  <c r="K4758" i="1"/>
  <c r="L4758" i="1"/>
  <c r="K3381" i="1"/>
  <c r="L3381" i="1"/>
  <c r="K4297" i="1"/>
  <c r="L4297" i="1"/>
  <c r="K3267" i="1"/>
  <c r="L3267" i="1"/>
  <c r="K5472" i="1"/>
  <c r="L5472" i="1"/>
  <c r="K3387" i="1"/>
  <c r="L3387" i="1"/>
  <c r="K5118" i="1"/>
  <c r="L5118" i="1"/>
  <c r="K4027" i="1"/>
  <c r="L4027" i="1"/>
  <c r="K3673" i="1"/>
  <c r="L3673" i="1"/>
  <c r="K5019" i="1"/>
  <c r="L5019" i="1"/>
  <c r="K5354" i="1"/>
  <c r="L5354" i="1"/>
  <c r="K4831" i="1"/>
  <c r="L4831" i="1"/>
  <c r="K3382" i="1"/>
  <c r="L3382" i="1"/>
  <c r="K3597" i="1"/>
  <c r="L3597" i="1"/>
  <c r="K2521" i="1"/>
  <c r="L2521" i="1"/>
  <c r="K2486" i="1"/>
  <c r="L2486" i="1"/>
  <c r="K4532" i="1"/>
  <c r="L4532" i="1"/>
  <c r="K5376" i="1"/>
  <c r="L5376" i="1"/>
  <c r="K3373" i="1"/>
  <c r="L3373" i="1"/>
  <c r="K3843" i="1"/>
  <c r="L3843" i="1"/>
  <c r="K4618" i="1"/>
  <c r="L4618" i="1"/>
  <c r="K5534" i="1"/>
  <c r="L5534" i="1"/>
  <c r="K3988" i="1"/>
  <c r="L3988" i="1"/>
  <c r="K4375" i="1"/>
  <c r="L4375" i="1"/>
  <c r="K2608" i="1"/>
  <c r="L2608" i="1"/>
  <c r="K4688" i="1"/>
  <c r="L4688" i="1"/>
  <c r="K5124" i="1"/>
  <c r="L5124" i="1"/>
  <c r="K5483" i="1"/>
  <c r="L5483" i="1"/>
  <c r="K4533" i="1"/>
  <c r="L4533" i="1"/>
  <c r="K4452" i="1"/>
  <c r="L4452" i="1"/>
  <c r="K3056" i="1"/>
  <c r="L3056" i="1"/>
  <c r="K3520" i="1"/>
  <c r="L3520" i="1"/>
  <c r="K3074" i="1"/>
  <c r="L3074" i="1"/>
  <c r="K4915" i="1"/>
  <c r="L4915" i="1"/>
  <c r="K5598" i="1"/>
  <c r="L5598" i="1"/>
  <c r="K4577" i="1"/>
  <c r="L4577" i="1"/>
  <c r="K3677" i="1"/>
  <c r="L3677" i="1"/>
  <c r="K4809" i="1"/>
  <c r="L4809" i="1"/>
  <c r="K2940" i="1"/>
  <c r="L2940" i="1"/>
  <c r="K3790" i="1"/>
  <c r="L3790" i="1"/>
  <c r="K3654" i="1"/>
  <c r="L3654" i="1"/>
  <c r="K2862" i="1"/>
  <c r="L2862" i="1"/>
  <c r="K5313" i="1"/>
  <c r="L5313" i="1"/>
  <c r="K3888" i="1"/>
  <c r="L3888" i="1"/>
  <c r="K4308" i="1"/>
  <c r="L4308" i="1"/>
  <c r="K5056" i="1"/>
  <c r="L5056" i="1"/>
  <c r="K5209" i="1"/>
  <c r="L5209" i="1"/>
  <c r="K5457" i="1"/>
  <c r="L5457" i="1"/>
  <c r="K4597" i="1"/>
  <c r="L4597" i="1"/>
  <c r="K5202" i="1"/>
  <c r="L5202" i="1"/>
  <c r="K2466" i="1"/>
  <c r="L2466" i="1"/>
  <c r="K3926" i="1"/>
  <c r="L3926" i="1"/>
  <c r="K3557" i="1"/>
  <c r="L3557" i="1"/>
  <c r="K2607" i="1"/>
  <c r="L2607" i="1"/>
  <c r="K4092" i="1"/>
  <c r="L4092" i="1"/>
  <c r="K5166" i="1"/>
  <c r="L5166" i="1"/>
  <c r="K3521" i="1"/>
  <c r="L3521" i="1"/>
  <c r="K3214" i="1"/>
  <c r="L3214" i="1"/>
  <c r="K2647" i="1"/>
  <c r="L2647" i="1"/>
  <c r="K4639" i="1"/>
  <c r="L4639" i="1"/>
  <c r="K3514" i="1"/>
  <c r="L3514" i="1"/>
  <c r="K4336" i="1"/>
  <c r="L4336" i="1"/>
  <c r="K3968" i="1"/>
  <c r="L3968" i="1"/>
  <c r="K3171" i="1"/>
  <c r="L3171" i="1"/>
  <c r="K2476" i="1"/>
  <c r="L2476" i="1"/>
  <c r="K3977" i="1"/>
  <c r="L3977" i="1"/>
  <c r="K5084" i="1"/>
  <c r="L5084" i="1"/>
  <c r="K4862" i="1"/>
  <c r="L4862" i="1"/>
  <c r="K3416" i="1"/>
  <c r="L3416" i="1"/>
  <c r="K2645" i="1"/>
  <c r="L2645" i="1"/>
  <c r="K3211" i="1"/>
  <c r="L3211" i="1"/>
  <c r="K3090" i="1"/>
  <c r="L3090" i="1"/>
  <c r="K2441" i="1"/>
  <c r="L2441" i="1"/>
  <c r="K3927" i="1"/>
  <c r="L3927" i="1"/>
  <c r="K3363" i="1"/>
  <c r="L3363" i="1"/>
  <c r="K5214" i="1"/>
  <c r="L5214" i="1"/>
  <c r="K2925" i="1"/>
  <c r="L2925" i="1"/>
  <c r="K4023" i="1"/>
  <c r="L4023" i="1"/>
  <c r="K2759" i="1"/>
  <c r="L2759" i="1"/>
  <c r="K4505" i="1"/>
  <c r="L4505" i="1"/>
  <c r="K3954" i="1"/>
  <c r="L3954" i="1"/>
  <c r="K3344" i="1"/>
  <c r="L3344" i="1"/>
  <c r="K2394" i="1"/>
  <c r="L2394" i="1"/>
  <c r="K3313" i="1"/>
  <c r="L3313" i="1"/>
  <c r="K2360" i="1"/>
  <c r="L2360" i="1"/>
  <c r="K2471" i="1"/>
  <c r="L2471" i="1"/>
  <c r="K3041" i="1"/>
  <c r="L3041" i="1"/>
  <c r="K4334" i="1"/>
  <c r="L4334" i="1"/>
  <c r="K3664" i="1"/>
  <c r="L3664" i="1"/>
  <c r="K5031" i="1"/>
  <c r="L5031" i="1"/>
  <c r="K3311" i="1"/>
  <c r="L3311" i="1"/>
  <c r="K4966" i="1"/>
  <c r="L4966" i="1"/>
  <c r="K3155" i="1"/>
  <c r="L3155" i="1"/>
  <c r="K4043" i="1"/>
  <c r="L4043" i="1"/>
  <c r="K3111" i="1"/>
  <c r="L3111" i="1"/>
  <c r="K4106" i="1"/>
  <c r="L4106" i="1"/>
  <c r="K3471" i="1"/>
  <c r="L3471" i="1"/>
  <c r="K4257" i="1"/>
  <c r="L4257" i="1"/>
  <c r="K4322" i="1"/>
  <c r="L4322" i="1"/>
  <c r="K4119" i="1"/>
  <c r="L4119" i="1"/>
  <c r="K2715" i="1"/>
  <c r="L2715" i="1"/>
  <c r="K2424" i="1"/>
  <c r="L2424" i="1"/>
  <c r="K5219" i="1"/>
  <c r="L5219" i="1"/>
  <c r="K2451" i="1"/>
  <c r="L2451" i="1"/>
  <c r="K4483" i="1"/>
  <c r="L4483" i="1"/>
  <c r="K3547" i="1"/>
  <c r="L3547" i="1"/>
  <c r="K4985" i="1"/>
  <c r="L4985" i="1"/>
  <c r="K4435" i="1"/>
  <c r="L4435" i="1"/>
  <c r="K3918" i="1"/>
  <c r="L3918" i="1"/>
  <c r="K3622" i="1"/>
  <c r="L3622" i="1"/>
  <c r="K3870" i="1"/>
  <c r="L3870" i="1"/>
  <c r="K3586" i="1"/>
  <c r="L3586" i="1"/>
  <c r="K3572" i="1"/>
  <c r="L3572" i="1"/>
  <c r="K3928" i="1"/>
  <c r="L3928" i="1"/>
  <c r="K4477" i="1"/>
  <c r="L4477" i="1"/>
  <c r="K5507" i="1"/>
  <c r="L5507" i="1"/>
  <c r="K3605" i="1"/>
  <c r="L3605" i="1"/>
  <c r="K3914" i="1"/>
  <c r="L3914" i="1"/>
  <c r="K5399" i="1"/>
  <c r="L5399" i="1"/>
  <c r="K3527" i="1"/>
  <c r="L3527" i="1"/>
  <c r="K3361" i="1"/>
  <c r="L3361" i="1"/>
  <c r="K5201" i="1"/>
  <c r="L5201" i="1"/>
  <c r="K5120" i="1"/>
  <c r="L5120" i="1"/>
  <c r="K3510" i="1"/>
  <c r="L3510" i="1"/>
  <c r="K2720" i="1"/>
  <c r="L2720" i="1"/>
  <c r="K2809" i="1"/>
  <c r="L2809" i="1"/>
  <c r="K3702" i="1"/>
  <c r="L3702" i="1"/>
  <c r="K2932" i="1"/>
  <c r="L2932" i="1"/>
  <c r="K4699" i="1"/>
  <c r="L4699" i="1"/>
  <c r="K2937" i="1"/>
  <c r="L2937" i="1"/>
  <c r="K4448" i="1"/>
  <c r="L4448" i="1"/>
  <c r="K4380" i="1"/>
  <c r="L4380" i="1"/>
  <c r="K3753" i="1"/>
  <c r="L3753" i="1"/>
  <c r="K3072" i="1"/>
  <c r="L3072" i="1"/>
  <c r="K3796" i="1"/>
  <c r="L3796" i="1"/>
  <c r="K4285" i="1"/>
  <c r="L4285" i="1"/>
  <c r="K3329" i="1"/>
  <c r="L3329" i="1"/>
  <c r="K3227" i="1"/>
  <c r="L3227" i="1"/>
  <c r="K4192" i="1"/>
  <c r="L4192" i="1"/>
  <c r="K4841" i="1"/>
  <c r="L4841" i="1"/>
  <c r="K5373" i="1"/>
  <c r="L5373" i="1"/>
  <c r="K5547" i="1"/>
  <c r="L5547" i="1"/>
  <c r="K3251" i="1"/>
  <c r="L3251" i="1"/>
  <c r="K4415" i="1"/>
  <c r="L4415" i="1"/>
  <c r="K3609" i="1"/>
  <c r="L3609" i="1"/>
  <c r="K4487" i="1"/>
  <c r="L4487" i="1"/>
  <c r="K3292" i="1"/>
  <c r="L3292" i="1"/>
  <c r="K3316" i="1"/>
  <c r="L3316" i="1"/>
  <c r="K2804" i="1"/>
  <c r="L2804" i="1"/>
  <c r="K4745" i="1"/>
  <c r="L4745" i="1"/>
  <c r="K4679" i="1"/>
  <c r="L4679" i="1"/>
  <c r="K5340" i="1"/>
  <c r="L5340" i="1"/>
  <c r="K3517" i="1"/>
  <c r="L3517" i="1"/>
  <c r="K5573" i="1"/>
  <c r="L5573" i="1"/>
  <c r="K2726" i="1"/>
  <c r="L2726" i="1"/>
  <c r="K3133" i="1"/>
  <c r="L3133" i="1"/>
  <c r="K4422" i="1"/>
  <c r="L4422" i="1"/>
  <c r="K4818" i="1"/>
  <c r="L4818" i="1"/>
  <c r="K3243" i="1"/>
  <c r="L3243" i="1"/>
  <c r="K5467" i="1"/>
  <c r="L5467" i="1"/>
  <c r="K5103" i="1"/>
  <c r="L5103" i="1"/>
  <c r="K4572" i="1"/>
  <c r="L4572" i="1"/>
  <c r="K5465" i="1"/>
  <c r="L5465" i="1"/>
  <c r="K4097" i="1"/>
  <c r="L4097" i="1"/>
  <c r="K3050" i="1"/>
  <c r="L3050" i="1"/>
  <c r="K4769" i="1"/>
  <c r="L4769" i="1"/>
  <c r="K3667" i="1"/>
  <c r="L3667" i="1"/>
  <c r="K5073" i="1"/>
  <c r="L5073" i="1"/>
  <c r="K3711" i="1"/>
  <c r="L3711" i="1"/>
  <c r="K4700" i="1"/>
  <c r="L4700" i="1"/>
  <c r="K4225" i="1"/>
  <c r="L4225" i="1"/>
  <c r="K2919" i="1"/>
  <c r="L2919" i="1"/>
  <c r="K4222" i="1"/>
  <c r="L4222" i="1"/>
  <c r="K5443" i="1"/>
  <c r="L5443" i="1"/>
  <c r="K2559" i="1"/>
  <c r="L2559" i="1"/>
  <c r="K4486" i="1"/>
  <c r="L4486" i="1"/>
  <c r="K3919" i="1"/>
  <c r="L3919" i="1"/>
  <c r="K4133" i="1"/>
  <c r="L4133" i="1"/>
  <c r="K3107" i="1"/>
  <c r="L3107" i="1"/>
  <c r="K4013" i="1"/>
  <c r="L4013" i="1"/>
  <c r="K2542" i="1"/>
  <c r="L2542" i="1"/>
  <c r="K2983" i="1"/>
  <c r="L2983" i="1"/>
  <c r="K3021" i="1"/>
  <c r="L3021" i="1"/>
  <c r="K4011" i="1"/>
  <c r="L4011" i="1"/>
  <c r="K4955" i="1"/>
  <c r="L4955" i="1"/>
  <c r="K3818" i="1"/>
  <c r="L3818" i="1"/>
  <c r="K2547" i="1"/>
  <c r="L2547" i="1"/>
  <c r="K5068" i="1"/>
  <c r="L5068" i="1"/>
  <c r="K3707" i="1"/>
  <c r="L3707" i="1"/>
  <c r="K4920" i="1"/>
  <c r="L4920" i="1"/>
  <c r="K3123" i="1"/>
  <c r="L3123" i="1"/>
  <c r="K4628" i="1"/>
  <c r="L4628" i="1"/>
  <c r="K4717" i="1"/>
  <c r="L4717" i="1"/>
  <c r="K4316" i="1"/>
  <c r="L4316" i="1"/>
  <c r="K3850" i="1"/>
  <c r="L3850" i="1"/>
  <c r="K5336" i="1"/>
  <c r="L5336" i="1"/>
  <c r="K3804" i="1"/>
  <c r="L3804" i="1"/>
  <c r="K2710" i="1"/>
  <c r="L2710" i="1"/>
  <c r="K3571" i="1"/>
  <c r="L3571" i="1"/>
  <c r="K3886" i="1"/>
  <c r="L3886" i="1"/>
  <c r="K4414" i="1"/>
  <c r="L4414" i="1"/>
  <c r="K2973" i="1"/>
  <c r="L2973" i="1"/>
  <c r="K2856" i="1"/>
  <c r="L2856" i="1"/>
  <c r="K4976" i="1"/>
  <c r="L4976" i="1"/>
  <c r="K3645" i="1"/>
  <c r="L3645" i="1"/>
  <c r="K4977" i="1"/>
  <c r="L4977" i="1"/>
  <c r="K3536" i="1"/>
  <c r="L3536" i="1"/>
  <c r="K2469" i="1"/>
  <c r="L2469" i="1"/>
  <c r="K5272" i="1"/>
  <c r="L5272" i="1"/>
  <c r="K5158" i="1"/>
  <c r="L5158" i="1"/>
  <c r="K3746" i="1"/>
  <c r="L3746" i="1"/>
  <c r="K2434" i="1"/>
  <c r="L2434" i="1"/>
  <c r="K4565" i="1"/>
  <c r="L4565" i="1"/>
  <c r="K2778" i="1"/>
  <c r="L2778" i="1"/>
  <c r="K3781" i="1"/>
  <c r="L3781" i="1"/>
  <c r="K3376" i="1"/>
  <c r="L3376" i="1"/>
  <c r="K2712" i="1"/>
  <c r="L2712" i="1"/>
  <c r="K2673" i="1"/>
  <c r="L2673" i="1"/>
  <c r="K5322" i="1"/>
  <c r="L5322" i="1"/>
  <c r="K5011" i="1"/>
  <c r="L5011" i="1"/>
  <c r="K3679" i="1"/>
  <c r="L3679" i="1"/>
  <c r="K4196" i="1"/>
  <c r="L4196" i="1"/>
  <c r="K2582" i="1"/>
  <c r="L2582" i="1"/>
  <c r="K4017" i="1"/>
  <c r="L4017" i="1"/>
  <c r="K4469" i="1"/>
  <c r="L4469" i="1"/>
  <c r="K3948" i="1"/>
  <c r="L3948" i="1"/>
  <c r="K3570" i="1"/>
  <c r="L3570" i="1"/>
  <c r="K3137" i="1"/>
  <c r="L3137" i="1"/>
  <c r="K3010" i="1"/>
  <c r="L3010" i="1"/>
  <c r="K2958" i="1"/>
  <c r="L2958" i="1"/>
  <c r="K4937" i="1"/>
  <c r="L4937" i="1"/>
  <c r="K3731" i="1"/>
  <c r="L3731" i="1"/>
  <c r="K2963" i="1"/>
  <c r="L2963" i="1"/>
  <c r="K3261" i="1"/>
  <c r="L3261" i="1"/>
  <c r="K3935" i="1"/>
  <c r="L3935" i="1"/>
  <c r="K4160" i="1"/>
  <c r="L4160" i="1"/>
  <c r="K3468" i="1"/>
  <c r="L3468" i="1"/>
  <c r="K3258" i="1"/>
  <c r="L3258" i="1"/>
  <c r="K3113" i="1"/>
  <c r="L3113" i="1"/>
  <c r="K5333" i="1"/>
  <c r="L5333" i="1"/>
  <c r="K4201" i="1"/>
  <c r="L4201" i="1"/>
  <c r="K5205" i="1"/>
  <c r="L5205" i="1"/>
  <c r="K2716" i="1"/>
  <c r="L2716" i="1"/>
  <c r="K5114" i="1"/>
  <c r="L5114" i="1"/>
  <c r="K3937" i="1"/>
  <c r="L3937" i="1"/>
  <c r="K4447" i="1"/>
  <c r="L4447" i="1"/>
  <c r="K3347" i="1"/>
  <c r="L3347" i="1"/>
  <c r="K4052" i="1"/>
  <c r="L4052" i="1"/>
  <c r="K2679" i="1"/>
  <c r="L2679" i="1"/>
  <c r="K3179" i="1"/>
  <c r="L3179" i="1"/>
  <c r="K4581" i="1"/>
  <c r="L4581" i="1"/>
  <c r="K2556" i="1"/>
  <c r="L2556" i="1"/>
  <c r="K2743" i="1"/>
  <c r="L2743" i="1"/>
  <c r="K3485" i="1"/>
  <c r="L3485" i="1"/>
  <c r="K5048" i="1"/>
  <c r="L5048" i="1"/>
  <c r="K5258" i="1"/>
  <c r="L5258" i="1"/>
  <c r="K3735" i="1"/>
  <c r="L3735" i="1"/>
  <c r="K3231" i="1"/>
  <c r="L3231" i="1"/>
  <c r="K3340" i="1"/>
  <c r="L3340" i="1"/>
  <c r="K2980" i="1"/>
  <c r="L2980" i="1"/>
  <c r="K2722" i="1"/>
  <c r="L2722" i="1"/>
  <c r="K2525" i="1"/>
  <c r="L2525" i="1"/>
  <c r="K2708" i="1"/>
  <c r="L2708" i="1"/>
  <c r="K2850" i="1"/>
  <c r="L2850" i="1"/>
  <c r="K2413" i="1"/>
  <c r="L2413" i="1"/>
  <c r="K3146" i="1"/>
  <c r="L3146" i="1"/>
  <c r="K2952" i="1"/>
  <c r="L2952" i="1"/>
  <c r="K3343" i="1"/>
  <c r="L3343" i="1"/>
  <c r="K4546" i="1"/>
  <c r="L4546" i="1"/>
  <c r="K3147" i="1"/>
  <c r="L3147" i="1"/>
  <c r="K3754" i="1"/>
  <c r="L3754" i="1"/>
  <c r="K2478" i="1"/>
  <c r="L2478" i="1"/>
  <c r="K2383" i="1"/>
  <c r="L2383" i="1"/>
  <c r="K3844" i="1"/>
  <c r="L3844" i="1"/>
  <c r="K4641" i="1"/>
  <c r="L4641" i="1"/>
  <c r="K5455" i="1"/>
  <c r="L5455" i="1"/>
  <c r="K3960" i="1"/>
  <c r="L3960" i="1"/>
  <c r="K3426" i="1"/>
  <c r="L3426" i="1"/>
  <c r="K4697" i="1"/>
  <c r="L4697" i="1"/>
  <c r="K3772" i="1"/>
  <c r="L3772" i="1"/>
  <c r="K3096" i="1"/>
  <c r="L3096" i="1"/>
  <c r="K5243" i="1"/>
  <c r="L5243" i="1"/>
  <c r="K2428" i="1"/>
  <c r="L2428" i="1"/>
  <c r="K4620" i="1"/>
  <c r="L4620" i="1"/>
  <c r="K5407" i="1"/>
  <c r="L5407" i="1"/>
  <c r="K3291" i="1"/>
  <c r="L3291" i="1"/>
  <c r="K5408" i="1"/>
  <c r="L5408" i="1"/>
  <c r="K3483" i="1"/>
  <c r="L3483" i="1"/>
  <c r="K5504" i="1"/>
  <c r="L5504" i="1"/>
  <c r="K3690" i="1"/>
  <c r="L3690" i="1"/>
  <c r="K4368" i="1"/>
  <c r="L4368" i="1"/>
  <c r="K3718" i="1"/>
  <c r="L3718" i="1"/>
  <c r="K2458" i="1"/>
  <c r="L2458" i="1"/>
  <c r="K3478" i="1"/>
  <c r="L3478" i="1"/>
  <c r="K4851" i="1"/>
  <c r="L4851" i="1"/>
  <c r="K3996" i="1"/>
  <c r="L3996" i="1"/>
  <c r="K2905" i="1"/>
  <c r="L2905" i="1"/>
  <c r="K4189" i="1"/>
  <c r="L4189" i="1"/>
  <c r="K5557" i="1"/>
  <c r="L5557" i="1"/>
  <c r="K2421" i="1"/>
  <c r="L2421" i="1"/>
  <c r="K3652" i="1"/>
  <c r="L3652" i="1"/>
  <c r="K5167" i="1"/>
  <c r="L5167" i="1"/>
  <c r="K3981" i="1"/>
  <c r="L3981" i="1"/>
  <c r="K4238" i="1"/>
  <c r="L4238" i="1"/>
  <c r="K5430" i="1"/>
  <c r="L5430" i="1"/>
  <c r="K4843" i="1"/>
  <c r="L4843" i="1"/>
  <c r="K2727" i="1"/>
  <c r="L2727" i="1"/>
  <c r="K2655" i="1"/>
  <c r="L2655" i="1"/>
  <c r="K4526" i="1"/>
  <c r="L4526" i="1"/>
  <c r="K4963" i="1"/>
  <c r="L4963" i="1"/>
  <c r="K3325" i="1"/>
  <c r="L3325" i="1"/>
  <c r="K2415" i="1"/>
  <c r="L2415" i="1"/>
  <c r="K4290" i="1"/>
  <c r="L4290" i="1"/>
  <c r="K3391" i="1"/>
  <c r="L3391" i="1"/>
  <c r="K4571" i="1"/>
  <c r="L4571" i="1"/>
  <c r="K3207" i="1"/>
  <c r="L3207" i="1"/>
  <c r="K4926" i="1"/>
  <c r="L4926" i="1"/>
  <c r="K2699" i="1"/>
  <c r="L2699" i="1"/>
  <c r="K5578" i="1"/>
  <c r="L5578" i="1"/>
  <c r="K4450" i="1"/>
  <c r="L4450" i="1"/>
  <c r="K5200" i="1"/>
  <c r="L5200" i="1"/>
  <c r="K3895" i="1"/>
  <c r="L3895" i="1"/>
  <c r="K2746" i="1"/>
  <c r="L2746" i="1"/>
  <c r="K5058" i="1"/>
  <c r="L5058" i="1"/>
  <c r="K4356" i="1"/>
  <c r="L4356" i="1"/>
  <c r="K5458" i="1"/>
  <c r="L5458" i="1"/>
  <c r="K3869" i="1"/>
  <c r="L3869" i="1"/>
  <c r="K4199" i="1"/>
  <c r="L4199" i="1"/>
  <c r="K5543" i="1"/>
  <c r="L5543" i="1"/>
  <c r="K4776" i="1"/>
  <c r="L4776" i="1"/>
  <c r="K4341" i="1"/>
  <c r="L4341" i="1"/>
  <c r="K5400" i="1"/>
  <c r="L5400" i="1"/>
  <c r="K2811" i="1"/>
  <c r="L2811" i="1"/>
  <c r="K3866" i="1"/>
  <c r="L3866" i="1"/>
  <c r="K4213" i="1"/>
  <c r="L4213" i="1"/>
  <c r="K4835" i="1"/>
  <c r="L4835" i="1"/>
  <c r="K4827" i="1"/>
  <c r="L4827" i="1"/>
  <c r="K4655" i="1"/>
  <c r="L4655" i="1"/>
  <c r="K2385" i="1"/>
  <c r="L2385" i="1"/>
  <c r="K2427" i="1"/>
  <c r="L2427" i="1"/>
  <c r="K2417" i="1"/>
  <c r="L2417" i="1"/>
  <c r="K5065" i="1"/>
  <c r="L5065" i="1"/>
  <c r="K4283" i="1"/>
  <c r="L4283" i="1"/>
  <c r="K3602" i="1"/>
  <c r="L3602" i="1"/>
  <c r="K4170" i="1"/>
  <c r="L4170" i="1"/>
  <c r="K3070" i="1"/>
  <c r="L3070" i="1"/>
  <c r="K5411" i="1"/>
  <c r="L5411" i="1"/>
  <c r="K5498" i="1"/>
  <c r="L5498" i="1"/>
  <c r="K3717" i="1"/>
  <c r="L3717" i="1"/>
  <c r="K3302" i="1"/>
  <c r="L3302" i="1"/>
  <c r="K4691" i="1"/>
  <c r="L4691" i="1"/>
  <c r="K2589" i="1"/>
  <c r="L2589" i="1"/>
  <c r="K4819" i="1"/>
  <c r="L4819" i="1"/>
  <c r="K3286" i="1"/>
  <c r="L3286" i="1"/>
  <c r="K2663" i="1"/>
  <c r="L2663" i="1"/>
  <c r="K4070" i="1"/>
  <c r="L4070" i="1"/>
  <c r="K4733" i="1"/>
  <c r="L4733" i="1"/>
  <c r="K5537" i="1"/>
  <c r="L5537" i="1"/>
  <c r="K5335" i="1"/>
  <c r="L5335" i="1"/>
  <c r="K3481" i="1"/>
  <c r="L3481" i="1"/>
  <c r="K5410" i="1"/>
  <c r="L5410" i="1"/>
  <c r="K3097" i="1"/>
  <c r="L3097" i="1"/>
  <c r="K4941" i="1"/>
  <c r="L4941" i="1"/>
  <c r="K3903" i="1"/>
  <c r="L3903" i="1"/>
  <c r="K2575" i="1"/>
  <c r="L2575" i="1"/>
  <c r="K2978" i="1"/>
  <c r="L2978" i="1"/>
  <c r="K4932" i="1"/>
  <c r="L4932" i="1"/>
  <c r="K4064" i="1"/>
  <c r="L4064" i="1"/>
  <c r="K2573" i="1"/>
  <c r="L2573" i="1"/>
  <c r="K3942" i="1"/>
  <c r="L3942" i="1"/>
  <c r="K5368" i="1"/>
  <c r="L5368" i="1"/>
  <c r="K4261" i="1"/>
  <c r="L4261" i="1"/>
  <c r="K3876" i="1"/>
  <c r="L3876" i="1"/>
  <c r="K3506" i="1"/>
  <c r="L3506" i="1"/>
  <c r="K3962" i="1"/>
  <c r="L3962" i="1"/>
  <c r="K4441" i="1"/>
  <c r="L4441" i="1"/>
  <c r="K2788" i="1"/>
  <c r="L2788" i="1"/>
  <c r="K5298" i="1"/>
  <c r="L5298" i="1"/>
  <c r="K3007" i="1"/>
  <c r="L3007" i="1"/>
  <c r="K2532" i="1"/>
  <c r="L2532" i="1"/>
  <c r="K2558" i="1"/>
  <c r="L2558" i="1"/>
  <c r="K4367" i="1"/>
  <c r="L4367" i="1"/>
  <c r="K2672" i="1"/>
  <c r="L2672" i="1"/>
  <c r="K3902" i="1"/>
  <c r="L3902" i="1"/>
  <c r="K4799" i="1"/>
  <c r="L4799" i="1"/>
  <c r="K3560" i="1"/>
  <c r="L3560" i="1"/>
  <c r="K3377" i="1"/>
  <c r="L3377" i="1"/>
  <c r="K3429" i="1"/>
  <c r="L3429" i="1"/>
  <c r="K4849" i="1"/>
  <c r="L4849" i="1"/>
  <c r="K4190" i="1"/>
  <c r="L4190" i="1"/>
  <c r="K3961" i="1"/>
  <c r="L3961" i="1"/>
  <c r="K4899" i="1"/>
  <c r="L4899" i="1"/>
  <c r="K3814" i="1"/>
  <c r="L3814" i="1"/>
  <c r="K5221" i="1"/>
  <c r="L5221" i="1"/>
  <c r="K4653" i="1"/>
  <c r="L4653" i="1"/>
  <c r="K4009" i="1"/>
  <c r="L4009" i="1"/>
  <c r="K4323" i="1"/>
  <c r="L4323" i="1"/>
  <c r="K2855" i="1"/>
  <c r="L2855" i="1"/>
  <c r="K3061" i="1"/>
  <c r="L3061" i="1"/>
  <c r="K2974" i="1"/>
  <c r="L2974" i="1"/>
  <c r="K2694" i="1"/>
  <c r="L2694" i="1"/>
  <c r="K3001" i="1"/>
  <c r="L3001" i="1"/>
  <c r="K2832" i="1"/>
  <c r="L2832" i="1"/>
  <c r="K4279" i="1"/>
  <c r="L4279" i="1"/>
  <c r="K3706" i="1"/>
  <c r="L3706" i="1"/>
  <c r="K3672" i="1"/>
  <c r="L3672" i="1"/>
  <c r="K3465" i="1"/>
  <c r="L3465" i="1"/>
  <c r="K4251" i="1"/>
  <c r="L4251" i="1"/>
  <c r="K3766" i="1"/>
  <c r="L3766" i="1"/>
  <c r="K3969" i="1"/>
  <c r="L3969" i="1"/>
  <c r="K2683" i="1"/>
  <c r="L2683" i="1"/>
  <c r="K5179" i="1"/>
  <c r="L5179" i="1"/>
  <c r="K5390" i="1"/>
  <c r="L5390" i="1"/>
  <c r="K3370" i="1"/>
  <c r="L3370" i="1"/>
  <c r="K3953" i="1"/>
  <c r="L3953" i="1"/>
  <c r="K4348" i="1"/>
  <c r="L4348" i="1"/>
  <c r="K3094" i="1"/>
  <c r="L3094" i="1"/>
  <c r="K3635" i="1"/>
  <c r="L3635" i="1"/>
  <c r="K3393" i="1"/>
  <c r="L3393" i="1"/>
  <c r="K4919" i="1"/>
  <c r="L4919" i="1"/>
  <c r="K3285" i="1"/>
  <c r="L3285" i="1"/>
  <c r="K3603" i="1"/>
  <c r="L3603" i="1"/>
  <c r="K4489" i="1"/>
  <c r="L4489" i="1"/>
  <c r="K4150" i="1"/>
  <c r="L4150" i="1"/>
  <c r="K2719" i="1"/>
  <c r="L2719" i="1"/>
  <c r="K2984" i="1"/>
  <c r="L2984" i="1"/>
  <c r="K5403" i="1"/>
  <c r="L5403" i="1"/>
  <c r="K3095" i="1"/>
  <c r="L3095" i="1"/>
  <c r="K2893" i="1"/>
  <c r="L2893" i="1"/>
  <c r="K2504" i="1"/>
  <c r="L2504" i="1"/>
  <c r="K4139" i="1"/>
  <c r="L4139" i="1"/>
  <c r="K3979" i="1"/>
  <c r="L3979" i="1"/>
  <c r="K5479" i="1"/>
  <c r="L5479" i="1"/>
  <c r="K2371" i="1"/>
  <c r="L2371" i="1"/>
  <c r="K5398" i="1"/>
  <c r="L5398" i="1"/>
  <c r="K4832" i="1"/>
  <c r="L4832" i="1"/>
  <c r="K4556" i="1"/>
  <c r="L4556" i="1"/>
  <c r="K2444" i="1"/>
  <c r="L2444" i="1"/>
  <c r="K2499" i="1"/>
  <c r="L2499" i="1"/>
  <c r="K2555" i="1"/>
  <c r="L2555" i="1"/>
  <c r="K2358" i="1"/>
  <c r="L2358" i="1"/>
  <c r="K2418" i="1"/>
  <c r="L2418" i="1"/>
  <c r="K2661" i="1"/>
  <c r="L2661" i="1"/>
  <c r="K3206" i="1"/>
  <c r="L3206" i="1"/>
  <c r="K4381" i="1"/>
  <c r="L4381" i="1"/>
  <c r="K2571" i="1"/>
  <c r="L2571" i="1"/>
  <c r="K4834" i="1"/>
  <c r="L4834" i="1"/>
  <c r="K4650" i="1"/>
  <c r="L4650" i="1"/>
  <c r="K3832" i="1"/>
  <c r="L3832" i="1"/>
  <c r="K3358" i="1"/>
  <c r="L3358" i="1"/>
  <c r="K4588" i="1"/>
  <c r="L4588" i="1"/>
  <c r="K3861" i="1"/>
  <c r="L3861" i="1"/>
  <c r="K4431" i="1"/>
  <c r="L4431" i="1"/>
  <c r="K2507" i="1"/>
  <c r="L2507" i="1"/>
  <c r="K3210" i="1"/>
  <c r="L3210" i="1"/>
  <c r="K3455" i="1"/>
  <c r="L3455" i="1"/>
  <c r="K3204" i="1"/>
  <c r="L3204" i="1"/>
  <c r="K3943" i="1"/>
  <c r="L3943" i="1"/>
  <c r="K3582" i="1"/>
  <c r="L3582" i="1"/>
  <c r="K3154" i="1"/>
  <c r="L3154" i="1"/>
  <c r="K2426" i="1"/>
  <c r="L2426" i="1"/>
  <c r="K2735" i="1"/>
  <c r="L2735" i="1"/>
  <c r="K5512" i="1"/>
  <c r="L5512" i="1"/>
  <c r="K2752" i="1"/>
  <c r="L2752" i="1"/>
  <c r="K4479" i="1"/>
  <c r="L4479" i="1"/>
  <c r="K4608" i="1"/>
  <c r="L4608" i="1"/>
  <c r="K4326" i="1"/>
  <c r="L4326" i="1"/>
  <c r="K4943" i="1"/>
  <c r="L4943" i="1"/>
  <c r="K3496" i="1"/>
  <c r="L3496" i="1"/>
  <c r="K4462" i="1"/>
  <c r="L4462" i="1"/>
  <c r="K3305" i="1"/>
  <c r="L3305" i="1"/>
  <c r="K2584" i="1"/>
  <c r="L2584" i="1"/>
  <c r="K3166" i="1"/>
  <c r="L3166" i="1"/>
  <c r="K5478" i="1"/>
  <c r="L5478" i="1"/>
  <c r="K3612" i="1"/>
  <c r="L3612" i="1"/>
  <c r="K3595" i="1"/>
  <c r="L3595" i="1"/>
  <c r="K3422" i="1"/>
  <c r="L3422" i="1"/>
  <c r="K2640" i="1"/>
  <c r="L2640" i="1"/>
  <c r="K3646" i="1"/>
  <c r="L3646" i="1"/>
  <c r="K3151" i="1"/>
  <c r="L3151" i="1"/>
  <c r="K5235" i="1"/>
  <c r="L5235" i="1"/>
  <c r="K2551" i="1"/>
  <c r="L2551" i="1"/>
  <c r="K5553" i="1"/>
  <c r="L5553" i="1"/>
  <c r="K3947" i="1"/>
  <c r="L3947" i="1"/>
  <c r="K2650" i="1"/>
  <c r="L2650" i="1"/>
  <c r="K5535" i="1"/>
  <c r="L5535" i="1"/>
  <c r="K2787" i="1"/>
  <c r="L2787" i="1"/>
  <c r="K2545" i="1"/>
  <c r="L2545" i="1"/>
  <c r="K4846" i="1"/>
  <c r="L4846" i="1"/>
  <c r="K4609" i="1"/>
  <c r="L4609" i="1"/>
  <c r="K4850" i="1"/>
  <c r="L4850" i="1"/>
  <c r="K5064" i="1"/>
  <c r="L5064" i="1"/>
  <c r="K3475" i="1"/>
  <c r="L3475" i="1"/>
  <c r="K4894" i="1"/>
  <c r="L4894" i="1"/>
  <c r="K4396" i="1"/>
  <c r="L4396" i="1"/>
  <c r="K3353" i="1"/>
  <c r="L3353" i="1"/>
  <c r="K2398" i="1"/>
  <c r="L2398" i="1"/>
  <c r="K2435" i="1"/>
  <c r="L2435" i="1"/>
  <c r="K3299" i="1"/>
  <c r="L3299" i="1"/>
  <c r="K5348" i="1"/>
  <c r="L5348" i="1"/>
  <c r="K3374" i="1"/>
  <c r="L3374" i="1"/>
  <c r="K3400" i="1"/>
  <c r="L3400" i="1"/>
  <c r="K4534" i="1"/>
  <c r="L4534" i="1"/>
  <c r="K4165" i="1"/>
  <c r="L4165" i="1"/>
  <c r="K4541" i="1"/>
  <c r="L4541" i="1"/>
  <c r="K4999" i="1"/>
  <c r="L4999" i="1"/>
  <c r="K5265" i="1"/>
  <c r="L5265" i="1"/>
  <c r="K4766" i="1"/>
  <c r="L4766" i="1"/>
  <c r="K4232" i="1"/>
  <c r="L4232" i="1"/>
  <c r="K5445" i="1"/>
  <c r="L5445" i="1"/>
  <c r="K2660" i="1"/>
  <c r="L2660" i="1"/>
  <c r="K3531" i="1"/>
  <c r="L3531" i="1"/>
  <c r="K4121" i="1"/>
  <c r="L4121" i="1"/>
  <c r="K3268" i="1"/>
  <c r="L3268" i="1"/>
  <c r="K4739" i="1"/>
  <c r="L4739" i="1"/>
  <c r="K2830" i="1"/>
  <c r="L2830" i="1"/>
  <c r="K5381" i="1"/>
  <c r="L5381" i="1"/>
  <c r="K5497" i="1"/>
  <c r="L5497" i="1"/>
  <c r="K5014" i="1"/>
  <c r="L5014" i="1"/>
  <c r="K3638" i="1"/>
  <c r="L3638" i="1"/>
  <c r="K5509" i="1"/>
  <c r="L5509" i="1"/>
  <c r="K4929" i="1"/>
  <c r="L4929" i="1"/>
  <c r="K2942" i="1"/>
  <c r="L2942" i="1"/>
  <c r="K2806" i="1"/>
  <c r="L2806" i="1"/>
  <c r="K5026" i="1"/>
  <c r="L5026" i="1"/>
  <c r="K3820" i="1"/>
  <c r="L3820" i="1"/>
  <c r="K4271" i="1"/>
  <c r="L4271" i="1"/>
  <c r="K5125" i="1"/>
  <c r="L5125" i="1"/>
  <c r="K4131" i="1"/>
  <c r="L4131" i="1"/>
  <c r="K3121" i="1"/>
  <c r="L3121" i="1"/>
  <c r="K2906" i="1"/>
  <c r="L2906" i="1"/>
  <c r="K4418" i="1"/>
  <c r="L4418" i="1"/>
  <c r="K4424" i="1"/>
  <c r="L4424" i="1"/>
  <c r="K5152" i="1"/>
  <c r="L5152" i="1"/>
  <c r="K3698" i="1"/>
  <c r="L3698" i="1"/>
  <c r="K4719" i="1"/>
  <c r="L4719" i="1"/>
  <c r="K4476" i="1"/>
  <c r="L4476" i="1"/>
  <c r="K4517" i="1"/>
  <c r="L4517" i="1"/>
  <c r="K4721" i="1"/>
  <c r="L4721" i="1"/>
  <c r="K4332" i="1"/>
  <c r="L4332" i="1"/>
  <c r="K2669" i="1"/>
  <c r="L2669" i="1"/>
  <c r="K3203" i="1"/>
  <c r="L3203" i="1"/>
  <c r="K2921" i="1"/>
  <c r="L2921" i="1"/>
  <c r="K5168" i="1"/>
  <c r="L5168" i="1"/>
  <c r="K3551" i="1"/>
  <c r="L3551" i="1"/>
  <c r="K4695" i="1"/>
  <c r="L4695" i="1"/>
  <c r="K2603" i="1"/>
  <c r="L2603" i="1"/>
  <c r="K4964" i="1"/>
  <c r="L4964" i="1"/>
  <c r="K3982" i="1"/>
  <c r="L3982" i="1"/>
  <c r="K4351" i="1"/>
  <c r="L4351" i="1"/>
  <c r="K5010" i="1"/>
  <c r="L5010" i="1"/>
  <c r="K4936" i="1"/>
  <c r="L4936" i="1"/>
  <c r="K3821" i="1"/>
  <c r="L3821" i="1"/>
  <c r="K3389" i="1"/>
  <c r="L3389" i="1"/>
  <c r="K2807" i="1"/>
  <c r="L2807" i="1"/>
  <c r="K5139" i="1"/>
  <c r="L5139" i="1"/>
  <c r="K4549" i="1"/>
  <c r="L4549" i="1"/>
  <c r="K5513" i="1"/>
  <c r="L5513" i="1"/>
  <c r="K4981" i="1"/>
  <c r="L4981" i="1"/>
  <c r="K3851" i="1"/>
  <c r="L3851" i="1"/>
  <c r="K4256" i="1"/>
  <c r="L4256" i="1"/>
  <c r="K2690" i="1"/>
  <c r="L2690" i="1"/>
  <c r="K4458" i="1"/>
  <c r="L4458" i="1"/>
  <c r="K3827" i="1"/>
  <c r="L3827" i="1"/>
  <c r="K2616" i="1"/>
  <c r="L2616" i="1"/>
  <c r="K2565" i="1"/>
  <c r="L2565" i="1"/>
  <c r="K2549" i="1"/>
  <c r="L2549" i="1"/>
  <c r="K4750" i="1"/>
  <c r="L4750" i="1"/>
  <c r="K5057" i="1"/>
  <c r="L5057" i="1"/>
  <c r="K3295" i="1"/>
  <c r="L3295" i="1"/>
  <c r="K2709" i="1"/>
  <c r="L2709" i="1"/>
  <c r="K3921" i="1"/>
  <c r="L3921" i="1"/>
  <c r="K4031" i="1"/>
  <c r="L4031" i="1"/>
  <c r="K3594" i="1"/>
  <c r="L3594" i="1"/>
  <c r="K3626" i="1"/>
  <c r="L3626" i="1"/>
  <c r="K4764" i="1"/>
  <c r="L4764" i="1"/>
  <c r="K4050" i="1"/>
  <c r="L4050" i="1"/>
  <c r="K2718" i="1"/>
  <c r="L2718" i="1"/>
  <c r="K2569" i="1"/>
  <c r="L2569" i="1"/>
  <c r="K4986" i="1"/>
  <c r="L4986" i="1"/>
  <c r="K3106" i="1"/>
  <c r="L3106" i="1"/>
  <c r="K3785" i="1"/>
  <c r="L3785" i="1"/>
  <c r="K3398" i="1"/>
  <c r="L3398" i="1"/>
  <c r="K2994" i="1"/>
  <c r="L2994" i="1"/>
  <c r="K4005" i="1"/>
  <c r="L4005" i="1"/>
  <c r="K2967" i="1"/>
  <c r="L2967" i="1"/>
  <c r="K4909" i="1"/>
  <c r="L4909" i="1"/>
  <c r="K3022" i="1"/>
  <c r="L3022" i="1"/>
  <c r="K3288" i="1"/>
  <c r="L3288" i="1"/>
  <c r="K5089" i="1"/>
  <c r="L5089" i="1"/>
  <c r="K4210" i="1"/>
  <c r="L4210" i="1"/>
  <c r="K4127" i="1"/>
  <c r="L4127" i="1"/>
  <c r="K3581" i="1"/>
  <c r="L3581" i="1"/>
  <c r="K4284" i="1"/>
  <c r="L4284" i="1"/>
  <c r="K3355" i="1"/>
  <c r="L3355" i="1"/>
  <c r="K5086" i="1"/>
  <c r="L5086" i="1"/>
  <c r="K3726" i="1"/>
  <c r="L3726" i="1"/>
  <c r="K2637" i="1"/>
  <c r="L2637" i="1"/>
  <c r="K3436" i="1"/>
  <c r="L3436" i="1"/>
  <c r="K4663" i="1"/>
  <c r="L4663" i="1"/>
  <c r="K4912" i="1"/>
  <c r="L4912" i="1"/>
  <c r="K2769" i="1"/>
  <c r="L2769" i="1"/>
  <c r="K2869" i="1"/>
  <c r="L2869" i="1"/>
  <c r="K3864" i="1"/>
  <c r="L3864" i="1"/>
  <c r="K3636" i="1"/>
  <c r="L3636" i="1"/>
  <c r="K4774" i="1"/>
  <c r="L4774" i="1"/>
  <c r="K2445" i="1"/>
  <c r="L2445" i="1"/>
  <c r="K4803" i="1"/>
  <c r="L4803" i="1"/>
  <c r="K4360" i="1"/>
  <c r="L4360" i="1"/>
  <c r="K5417" i="1"/>
  <c r="L5417" i="1"/>
  <c r="K5392" i="1"/>
  <c r="L5392" i="1"/>
  <c r="K3854" i="1"/>
  <c r="L3854" i="1"/>
  <c r="K5144" i="1"/>
  <c r="L5144" i="1"/>
  <c r="K2412" i="1"/>
  <c r="L2412" i="1"/>
  <c r="K5003" i="1"/>
  <c r="L5003" i="1"/>
  <c r="K5126" i="1"/>
  <c r="L5126" i="1"/>
  <c r="K5549" i="1"/>
  <c r="L5549" i="1"/>
  <c r="K4580" i="1"/>
  <c r="L4580" i="1"/>
  <c r="K3165" i="1"/>
  <c r="L3165" i="1"/>
  <c r="K2405" i="1"/>
  <c r="L2405" i="1"/>
  <c r="K4837" i="1"/>
  <c r="L4837" i="1"/>
  <c r="K4529" i="1"/>
  <c r="L4529" i="1"/>
  <c r="K2854" i="1"/>
  <c r="L2854" i="1"/>
  <c r="K3512" i="1"/>
  <c r="L3512" i="1"/>
  <c r="K4142" i="1"/>
  <c r="L4142" i="1"/>
  <c r="K5185" i="1"/>
  <c r="L5185" i="1"/>
  <c r="K4200" i="1"/>
  <c r="L4200" i="1"/>
  <c r="K5035" i="1"/>
  <c r="L5035" i="1"/>
  <c r="K3208" i="1"/>
  <c r="L3208" i="1"/>
  <c r="K2611" i="1"/>
  <c r="L2611" i="1"/>
  <c r="K2621" i="1"/>
  <c r="L2621" i="1"/>
  <c r="K3616" i="1"/>
  <c r="L3616" i="1"/>
  <c r="K5217" i="1"/>
  <c r="L5217" i="1"/>
  <c r="K2568" i="1"/>
  <c r="L2568" i="1"/>
  <c r="K5018" i="1"/>
  <c r="L5018" i="1"/>
  <c r="K5533" i="1"/>
  <c r="L5533" i="1"/>
  <c r="K5377" i="1"/>
  <c r="L5377" i="1"/>
  <c r="K4946" i="1"/>
  <c r="L4946" i="1"/>
  <c r="K4994" i="1"/>
  <c r="L4994" i="1"/>
  <c r="K5079" i="1"/>
  <c r="L5079" i="1"/>
  <c r="K3865" i="1"/>
  <c r="L3865" i="1"/>
  <c r="K3278" i="1"/>
  <c r="L3278" i="1"/>
  <c r="K5344" i="1"/>
  <c r="L5344" i="1"/>
  <c r="K2649" i="1"/>
  <c r="L2649" i="1"/>
  <c r="K3791" i="1"/>
  <c r="L3791" i="1"/>
  <c r="K5521" i="1"/>
  <c r="L5521" i="1"/>
  <c r="K4075" i="1"/>
  <c r="L4075" i="1"/>
  <c r="K3143" i="1"/>
  <c r="L3143" i="1"/>
  <c r="K4644" i="1"/>
  <c r="L4644" i="1"/>
  <c r="K5090" i="1"/>
  <c r="L5090" i="1"/>
  <c r="K3525" i="1"/>
  <c r="L3525" i="1"/>
  <c r="K4781" i="1"/>
  <c r="L4781" i="1"/>
  <c r="K3186" i="1"/>
  <c r="L3186" i="1"/>
  <c r="K4665" i="1"/>
  <c r="L4665" i="1"/>
  <c r="K4362" i="1"/>
  <c r="L4362" i="1"/>
  <c r="K4501" i="1"/>
  <c r="L4501" i="1"/>
  <c r="K5360" i="1"/>
  <c r="L5360" i="1"/>
  <c r="K2530" i="1"/>
  <c r="L2530" i="1"/>
  <c r="K4168" i="1"/>
  <c r="L4168" i="1"/>
  <c r="K5285" i="1"/>
  <c r="L5285" i="1"/>
  <c r="K3648" i="1"/>
  <c r="L3648" i="1"/>
  <c r="K3132" i="1"/>
  <c r="L3132" i="1"/>
  <c r="K4795" i="1"/>
  <c r="L4795" i="1"/>
  <c r="K5434" i="1"/>
  <c r="L5434" i="1"/>
  <c r="K5136" i="1"/>
  <c r="L5136" i="1"/>
  <c r="K4459" i="1"/>
  <c r="L4459" i="1"/>
  <c r="K5271" i="1"/>
  <c r="L5271" i="1"/>
  <c r="K2564" i="1"/>
  <c r="L2564" i="1"/>
  <c r="K4209" i="1"/>
  <c r="L4209" i="1"/>
  <c r="K3611" i="1"/>
  <c r="L3611" i="1"/>
  <c r="K5588" i="1"/>
  <c r="L5588" i="1"/>
  <c r="K3803" i="1"/>
  <c r="L3803" i="1"/>
  <c r="K5149" i="1"/>
  <c r="L5149" i="1"/>
  <c r="K3202" i="1"/>
  <c r="L3202" i="1"/>
  <c r="K4433" i="1"/>
  <c r="L4433" i="1"/>
  <c r="K5395" i="1"/>
  <c r="L5395" i="1"/>
  <c r="K3124" i="1"/>
  <c r="L3124" i="1"/>
  <c r="K3504" i="1"/>
  <c r="L3504" i="1"/>
  <c r="K5349" i="1"/>
  <c r="L5349" i="1"/>
  <c r="K2513" i="1"/>
  <c r="L2513" i="1"/>
  <c r="K5269" i="1"/>
  <c r="L5269" i="1"/>
  <c r="K5111" i="1"/>
  <c r="L5111" i="1"/>
  <c r="K3792" i="1"/>
  <c r="L3792" i="1"/>
  <c r="K5256" i="1"/>
  <c r="L5256" i="1"/>
  <c r="K2733" i="1"/>
  <c r="L2733" i="1"/>
  <c r="K4255" i="1"/>
  <c r="L4255" i="1"/>
  <c r="K3352" i="1"/>
  <c r="L3352" i="1"/>
  <c r="K2881" i="1"/>
  <c r="L2881" i="1"/>
  <c r="K2659" i="1"/>
  <c r="L2659" i="1"/>
  <c r="K4624" i="1"/>
  <c r="L4624" i="1"/>
  <c r="K4956" i="1"/>
  <c r="L4956" i="1"/>
  <c r="K4288" i="1"/>
  <c r="L4288" i="1"/>
  <c r="K3884" i="1"/>
  <c r="L3884" i="1"/>
  <c r="K4478" i="1"/>
  <c r="L4478" i="1"/>
  <c r="K3621" i="1"/>
  <c r="L3621" i="1"/>
  <c r="K3788" i="1"/>
  <c r="L3788" i="1"/>
  <c r="K3529" i="1"/>
  <c r="L3529" i="1"/>
  <c r="K4153" i="1"/>
  <c r="L4153" i="1"/>
  <c r="K4780" i="1"/>
  <c r="L4780" i="1"/>
  <c r="K3116" i="1"/>
  <c r="L3116" i="1"/>
  <c r="K5173" i="1"/>
  <c r="L5173" i="1"/>
  <c r="K5314" i="1"/>
  <c r="L5314" i="1"/>
  <c r="K5148" i="1"/>
  <c r="L5148" i="1"/>
  <c r="K3230" i="1"/>
  <c r="L3230" i="1"/>
  <c r="K5164" i="1"/>
  <c r="L5164" i="1"/>
  <c r="K5342" i="1"/>
  <c r="L5342" i="1"/>
  <c r="K3497" i="1"/>
  <c r="L3497" i="1"/>
  <c r="K2786" i="1"/>
  <c r="L2786" i="1"/>
  <c r="K2842" i="1"/>
  <c r="L2842" i="1"/>
  <c r="K3079" i="1"/>
  <c r="L3079" i="1"/>
  <c r="K2633" i="1"/>
  <c r="L2633" i="1"/>
  <c r="K3379" i="1"/>
  <c r="L3379" i="1"/>
  <c r="K3610" i="1"/>
  <c r="L3610" i="1"/>
  <c r="K5296" i="1"/>
  <c r="L5296" i="1"/>
  <c r="K4723" i="1"/>
  <c r="L4723" i="1"/>
  <c r="K5331" i="1"/>
  <c r="L5331" i="1"/>
  <c r="K5307" i="1"/>
  <c r="L5307" i="1"/>
  <c r="K5127" i="1"/>
  <c r="L5127" i="1"/>
  <c r="K4116" i="1"/>
  <c r="L4116" i="1"/>
  <c r="K2750" i="1"/>
  <c r="L2750" i="1"/>
  <c r="K2609" i="1"/>
  <c r="L2609" i="1"/>
  <c r="K3277" i="1"/>
  <c r="L3277" i="1"/>
  <c r="K2498" i="1"/>
  <c r="L2498" i="1"/>
  <c r="K5063" i="1"/>
  <c r="L5063" i="1"/>
  <c r="K3938" i="1"/>
  <c r="L3938" i="1"/>
  <c r="K2791" i="1"/>
  <c r="L2791" i="1"/>
  <c r="K2965" i="1"/>
  <c r="L2965" i="1"/>
  <c r="K4625" i="1"/>
  <c r="L4625" i="1"/>
  <c r="K3585" i="1"/>
  <c r="L3585" i="1"/>
  <c r="K4145" i="1"/>
  <c r="L4145" i="1"/>
  <c r="K5154" i="1"/>
  <c r="L5154" i="1"/>
  <c r="K4003" i="1"/>
  <c r="L4003" i="1"/>
  <c r="K2929" i="1"/>
  <c r="L2929" i="1"/>
  <c r="K3534" i="1"/>
  <c r="L3534" i="1"/>
  <c r="K2437" i="1"/>
  <c r="L2437" i="1"/>
  <c r="K4267" i="1"/>
  <c r="L4267" i="1"/>
  <c r="K5384" i="1"/>
  <c r="L5384" i="1"/>
  <c r="K2997" i="1"/>
  <c r="L2997" i="1"/>
  <c r="K5433" i="1"/>
  <c r="L5433" i="1"/>
  <c r="K2896" i="1"/>
  <c r="L2896" i="1"/>
  <c r="K3294" i="1"/>
  <c r="L3294" i="1"/>
  <c r="K3701" i="1"/>
  <c r="L3701" i="1"/>
  <c r="K4801" i="1"/>
  <c r="L4801" i="1"/>
  <c r="K2553" i="1"/>
  <c r="L2553" i="1"/>
  <c r="K2894" i="1"/>
  <c r="L2894" i="1"/>
  <c r="K5038" i="1"/>
  <c r="L5038" i="1"/>
  <c r="K4016" i="1"/>
  <c r="L4016" i="1"/>
  <c r="K2459" i="1"/>
  <c r="L2459" i="1"/>
  <c r="K5511" i="1"/>
  <c r="L5511" i="1"/>
  <c r="K3274" i="1"/>
  <c r="L3274" i="1"/>
  <c r="K2887" i="1"/>
  <c r="L2887" i="1"/>
  <c r="K4197" i="1"/>
  <c r="L4197" i="1"/>
  <c r="K3260" i="1"/>
  <c r="L3260" i="1"/>
  <c r="K3905" i="1"/>
  <c r="L3905" i="1"/>
  <c r="K2756" i="1"/>
  <c r="L2756" i="1"/>
  <c r="K4825" i="1"/>
  <c r="L4825" i="1"/>
  <c r="K3266" i="1"/>
  <c r="L3266" i="1"/>
  <c r="K4647" i="1"/>
  <c r="L4647" i="1"/>
  <c r="K5280" i="1"/>
  <c r="L5280" i="1"/>
  <c r="K2369" i="1"/>
  <c r="L2369" i="1"/>
  <c r="K3544" i="1"/>
  <c r="L3544" i="1"/>
  <c r="K4512" i="1"/>
  <c r="L4512" i="1"/>
  <c r="K3250" i="1"/>
  <c r="L3250" i="1"/>
  <c r="K3687" i="1"/>
  <c r="L3687" i="1"/>
  <c r="K2440" i="1"/>
  <c r="L2440" i="1"/>
  <c r="K5074" i="1"/>
  <c r="L5074" i="1"/>
  <c r="K3310" i="1"/>
  <c r="L3310" i="1"/>
  <c r="K3637" i="1"/>
  <c r="L3637" i="1"/>
  <c r="K3145" i="1"/>
  <c r="L3145" i="1"/>
  <c r="K5252" i="1"/>
  <c r="L5252" i="1"/>
  <c r="K4320" i="1"/>
  <c r="L4320" i="1"/>
  <c r="K5199" i="1"/>
  <c r="L5199" i="1"/>
  <c r="K4637" i="1"/>
  <c r="L4637" i="1"/>
  <c r="K3530" i="1"/>
  <c r="L3530" i="1"/>
  <c r="K2409" i="1"/>
  <c r="L2409" i="1"/>
  <c r="K2907" i="1"/>
  <c r="L2907" i="1"/>
  <c r="K4796" i="1"/>
  <c r="L4796" i="1"/>
  <c r="K4751" i="1"/>
  <c r="L4751" i="1"/>
  <c r="K5477" i="1"/>
  <c r="L5477" i="1"/>
  <c r="K4355" i="1"/>
  <c r="L4355" i="1"/>
  <c r="K5366" i="1"/>
  <c r="L5366" i="1"/>
  <c r="K3770" i="1"/>
  <c r="L3770" i="1"/>
  <c r="K5369" i="1"/>
  <c r="L5369" i="1"/>
  <c r="K2910" i="1"/>
  <c r="L2910" i="1"/>
  <c r="K4340" i="1"/>
  <c r="L4340" i="1"/>
  <c r="K5380" i="1"/>
  <c r="L5380" i="1"/>
  <c r="K5240" i="1"/>
  <c r="L5240" i="1"/>
  <c r="K4659" i="1"/>
  <c r="L4659" i="1"/>
  <c r="K4826" i="1"/>
  <c r="L4826" i="1"/>
  <c r="K5247" i="1"/>
  <c r="L5247" i="1"/>
  <c r="K5452" i="1"/>
  <c r="L5452" i="1"/>
  <c r="K2610" i="1"/>
  <c r="L2610" i="1"/>
  <c r="K3051" i="1"/>
  <c r="L3051" i="1"/>
  <c r="K5524" i="1"/>
  <c r="L5524" i="1"/>
  <c r="K2442" i="1"/>
  <c r="L2442" i="1"/>
  <c r="K5514" i="1"/>
  <c r="L5514" i="1"/>
  <c r="K4095" i="1"/>
  <c r="L4095" i="1"/>
  <c r="K2813" i="1"/>
  <c r="L2813" i="1"/>
  <c r="K3324" i="1"/>
  <c r="L3324" i="1"/>
  <c r="K5257" i="1"/>
  <c r="L5257" i="1"/>
  <c r="K4877" i="1"/>
  <c r="L4877" i="1"/>
  <c r="K4235" i="1"/>
  <c r="L4235" i="1"/>
  <c r="K4249" i="1"/>
  <c r="L4249" i="1"/>
  <c r="K3445" i="1"/>
  <c r="L3445" i="1"/>
  <c r="K2368" i="1"/>
  <c r="L2368" i="1"/>
  <c r="K4074" i="1"/>
  <c r="L4074" i="1"/>
  <c r="K4032" i="1"/>
  <c r="L4032" i="1"/>
  <c r="K3752" i="1"/>
  <c r="L3752" i="1"/>
  <c r="K3980" i="1"/>
  <c r="L3980" i="1"/>
  <c r="K2419" i="1"/>
  <c r="L2419" i="1"/>
  <c r="K3117" i="1"/>
  <c r="L3117" i="1"/>
  <c r="K3945" i="1"/>
  <c r="L3945" i="1"/>
  <c r="K5088" i="1"/>
  <c r="L5088" i="1"/>
  <c r="K5552" i="1"/>
  <c r="L5552" i="1"/>
  <c r="K2362" i="1"/>
  <c r="L2362" i="1"/>
  <c r="K4268" i="1"/>
  <c r="L4268" i="1"/>
  <c r="K4504" i="1"/>
  <c r="L4504" i="1"/>
  <c r="K4908" i="1"/>
  <c r="L4908" i="1"/>
  <c r="K3493" i="1"/>
  <c r="L3493" i="1"/>
  <c r="K4701" i="1"/>
  <c r="L4701" i="1"/>
  <c r="K4948" i="1"/>
  <c r="L4948" i="1"/>
  <c r="K4463" i="1"/>
  <c r="L4463" i="1"/>
  <c r="K4373" i="1"/>
  <c r="L4373" i="1"/>
  <c r="K5023" i="1"/>
  <c r="L5023" i="1"/>
  <c r="K4357" i="1"/>
  <c r="L4357" i="1"/>
  <c r="K5414" i="1"/>
  <c r="L5414" i="1"/>
  <c r="K4842" i="1"/>
  <c r="L4842" i="1"/>
  <c r="K5489" i="1"/>
  <c r="L5489" i="1"/>
  <c r="K4855" i="1"/>
  <c r="L4855" i="1"/>
  <c r="K3699" i="1"/>
  <c r="L3699" i="1"/>
  <c r="K4859" i="1"/>
  <c r="L4859" i="1"/>
  <c r="K2753" i="1"/>
  <c r="L2753" i="1"/>
  <c r="K3526" i="1"/>
  <c r="L3526" i="1"/>
  <c r="K3693" i="1"/>
  <c r="L3693" i="1"/>
  <c r="K2890" i="1"/>
  <c r="L2890" i="1"/>
  <c r="K2624" i="1"/>
  <c r="L2624" i="1"/>
  <c r="K4617" i="1"/>
  <c r="L4617" i="1"/>
  <c r="K4805" i="1"/>
  <c r="L4805" i="1"/>
  <c r="K3545" i="1"/>
  <c r="L3545" i="1"/>
  <c r="K2374" i="1"/>
  <c r="L2374" i="1"/>
  <c r="K3633" i="1"/>
  <c r="L3633" i="1"/>
  <c r="K5078" i="1"/>
  <c r="L5078" i="1"/>
  <c r="K3975" i="1"/>
  <c r="L3975" i="1"/>
  <c r="K4040" i="1"/>
  <c r="L4040" i="1"/>
  <c r="K2829" i="1"/>
  <c r="L2829" i="1"/>
  <c r="K4810" i="1"/>
  <c r="L4810" i="1"/>
  <c r="K4710" i="1"/>
  <c r="L4710" i="1"/>
  <c r="K3040" i="1"/>
  <c r="L3040" i="1"/>
  <c r="K4744" i="1"/>
  <c r="L4744" i="1"/>
  <c r="K3218" i="1"/>
  <c r="L3218" i="1"/>
  <c r="K5207" i="1"/>
  <c r="L5207" i="1"/>
  <c r="K2622" i="1"/>
  <c r="L2622" i="1"/>
  <c r="K3178" i="1"/>
  <c r="L3178" i="1"/>
  <c r="K3559" i="1"/>
  <c r="L3559" i="1"/>
  <c r="K4020" i="1"/>
  <c r="L4020" i="1"/>
  <c r="K5070" i="1"/>
  <c r="L5070" i="1"/>
  <c r="K2738" i="1"/>
  <c r="L2738" i="1"/>
  <c r="K3681" i="1"/>
  <c r="L3681" i="1"/>
  <c r="K5071" i="1"/>
  <c r="L5071" i="1"/>
  <c r="K3102" i="1"/>
  <c r="L3102" i="1"/>
  <c r="K2911" i="1"/>
  <c r="L2911" i="1"/>
  <c r="K4793" i="1"/>
  <c r="L4793" i="1"/>
  <c r="K5181" i="1"/>
  <c r="L5181" i="1"/>
  <c r="K3573" i="1"/>
  <c r="L3573" i="1"/>
  <c r="K3477" i="1"/>
  <c r="L3477" i="1"/>
  <c r="K4386" i="1"/>
  <c r="L4386" i="1"/>
  <c r="K3958" i="1"/>
  <c r="L3958" i="1"/>
  <c r="K2436" i="1"/>
  <c r="L2436" i="1"/>
  <c r="K3543" i="1"/>
  <c r="L3543" i="1"/>
  <c r="K5447" i="1"/>
  <c r="L5447" i="1"/>
  <c r="K3538" i="1"/>
  <c r="L3538" i="1"/>
  <c r="K3685" i="1"/>
  <c r="L3685" i="1"/>
  <c r="K3112" i="1"/>
  <c r="L3112" i="1"/>
  <c r="K3703" i="1"/>
  <c r="L3703" i="1"/>
  <c r="K2587" i="1"/>
  <c r="L2587" i="1"/>
  <c r="K4118" i="1"/>
  <c r="L4118" i="1"/>
  <c r="K3034" i="1"/>
  <c r="L3034" i="1"/>
  <c r="K3684" i="1"/>
  <c r="L3684" i="1"/>
  <c r="K4778" i="1"/>
  <c r="L4778" i="1"/>
  <c r="K4455" i="1"/>
  <c r="L4455" i="1"/>
  <c r="K3625" i="1"/>
  <c r="L3625" i="1"/>
  <c r="K4029" i="1"/>
  <c r="L4029" i="1"/>
  <c r="K4881" i="1"/>
  <c r="L4881" i="1"/>
  <c r="K4382" i="1"/>
  <c r="L4382" i="1"/>
  <c r="K4987" i="1"/>
  <c r="L4987" i="1"/>
  <c r="K3887" i="1"/>
  <c r="L3887" i="1"/>
  <c r="K3264" i="1"/>
  <c r="L3264" i="1"/>
  <c r="K2479" i="1"/>
  <c r="L2479" i="1"/>
  <c r="K2408" i="1"/>
  <c r="L2408" i="1"/>
  <c r="K4906" i="1"/>
  <c r="L4906" i="1"/>
  <c r="K2840" i="1"/>
  <c r="L2840" i="1"/>
  <c r="K3904" i="1"/>
  <c r="L3904" i="1"/>
  <c r="K3847" i="1"/>
  <c r="L3847" i="1"/>
  <c r="K3315" i="1"/>
  <c r="L3315" i="1"/>
  <c r="K3539" i="1"/>
  <c r="L3539" i="1"/>
  <c r="K3217" i="1"/>
  <c r="L3217" i="1"/>
  <c r="K3486" i="1"/>
  <c r="L3486" i="1"/>
  <c r="K2982" i="1"/>
  <c r="L2982" i="1"/>
  <c r="K5415" i="1"/>
  <c r="L5415" i="1"/>
  <c r="K3336" i="1"/>
  <c r="L3336" i="1"/>
  <c r="K5291" i="1"/>
  <c r="L5291" i="1"/>
  <c r="K2816" i="1"/>
  <c r="L2816" i="1"/>
  <c r="K4421" i="1"/>
  <c r="L4421" i="1"/>
  <c r="K2895" i="1"/>
  <c r="L2895" i="1"/>
  <c r="K2689" i="1"/>
  <c r="L2689" i="1"/>
  <c r="K4888" i="1"/>
  <c r="L4888" i="1"/>
  <c r="K3229" i="1"/>
  <c r="L3229" i="1"/>
  <c r="K3842" i="1"/>
  <c r="L3842" i="1"/>
  <c r="K5112" i="1"/>
  <c r="L5112" i="1"/>
  <c r="K3371" i="1"/>
  <c r="L3371" i="1"/>
  <c r="K4161" i="1"/>
  <c r="L4161" i="1"/>
  <c r="K5487" i="1"/>
  <c r="L5487" i="1"/>
  <c r="K3092" i="1"/>
  <c r="L3092" i="1"/>
  <c r="K4309" i="1"/>
  <c r="L4309" i="1"/>
  <c r="K3152" i="1"/>
  <c r="L3152" i="1"/>
  <c r="K2501" i="1"/>
  <c r="L2501" i="1"/>
  <c r="K2454" i="1"/>
  <c r="L2454" i="1"/>
  <c r="K2487" i="1"/>
  <c r="L2487" i="1"/>
  <c r="K5382" i="1"/>
  <c r="L5382" i="1"/>
  <c r="K3372" i="1"/>
  <c r="L3372" i="1"/>
  <c r="K3118" i="1"/>
  <c r="L3118" i="1"/>
  <c r="K4531" i="1"/>
  <c r="L4531" i="1"/>
  <c r="K4993" i="1"/>
  <c r="L4993" i="1"/>
  <c r="K3444" i="1"/>
  <c r="L3444" i="1"/>
  <c r="K3769" i="1"/>
  <c r="L3769" i="1"/>
  <c r="K3205" i="1"/>
  <c r="L3205" i="1"/>
  <c r="K3060" i="1"/>
  <c r="L3060" i="1"/>
  <c r="K4708" i="1"/>
  <c r="L4708" i="1"/>
  <c r="K4991" i="1"/>
  <c r="L4991" i="1"/>
  <c r="K4988" i="1"/>
  <c r="L4988" i="1"/>
  <c r="K4605" i="1"/>
  <c r="L4605" i="1"/>
  <c r="K5174" i="1"/>
  <c r="L5174" i="1"/>
  <c r="K3971" i="1"/>
  <c r="L3971" i="1"/>
  <c r="K4635" i="1"/>
  <c r="L4635" i="1"/>
  <c r="K4436" i="1"/>
  <c r="L4436" i="1"/>
  <c r="K3715" i="1"/>
  <c r="L3715" i="1"/>
  <c r="K2837" i="1"/>
  <c r="L2837" i="1"/>
  <c r="K4454" i="1"/>
  <c r="L4454" i="1"/>
  <c r="K2880" i="1"/>
  <c r="L2880" i="1"/>
  <c r="K5584" i="1"/>
  <c r="L5584" i="1"/>
  <c r="K2800" i="1"/>
  <c r="L2800" i="1"/>
  <c r="K4328" i="1"/>
  <c r="L4328" i="1"/>
  <c r="K4807" i="1"/>
  <c r="L4807" i="1"/>
  <c r="K4061" i="1"/>
  <c r="L4061" i="1"/>
  <c r="K5548" i="1"/>
  <c r="L5548" i="1"/>
  <c r="K3630" i="1"/>
  <c r="L3630" i="1"/>
  <c r="K2954" i="1"/>
  <c r="L2954" i="1"/>
  <c r="K2927" i="1"/>
  <c r="L2927" i="1"/>
  <c r="K3013" i="1"/>
  <c r="L3013" i="1"/>
  <c r="K4400" i="1"/>
  <c r="L4400" i="1"/>
  <c r="K3591" i="1"/>
  <c r="L3591" i="1"/>
  <c r="K5098" i="1"/>
  <c r="L5098" i="1"/>
  <c r="K4602" i="1"/>
  <c r="L4602" i="1"/>
  <c r="K5383" i="1"/>
  <c r="L5383" i="1"/>
  <c r="K2642" i="1"/>
  <c r="L2642" i="1"/>
  <c r="K5270" i="1"/>
  <c r="L5270" i="1"/>
  <c r="K4848" i="1"/>
  <c r="L4848" i="1"/>
  <c r="K5069" i="1"/>
  <c r="L5069" i="1"/>
  <c r="K4085" i="1"/>
  <c r="L4085" i="1"/>
  <c r="K3789" i="1"/>
  <c r="L3789" i="1"/>
  <c r="K3984" i="1"/>
  <c r="L3984" i="1"/>
  <c r="K4569" i="1"/>
  <c r="L4569" i="1"/>
  <c r="K3272" i="1"/>
  <c r="L3272" i="1"/>
  <c r="K3965" i="1"/>
  <c r="L3965" i="1"/>
  <c r="K5249" i="1"/>
  <c r="L5249" i="1"/>
  <c r="K3452" i="1"/>
  <c r="L3452" i="1"/>
  <c r="K3655" i="1"/>
  <c r="L3655" i="1"/>
  <c r="K3158" i="1"/>
  <c r="L3158" i="1"/>
  <c r="K3321" i="1"/>
  <c r="L3321" i="1"/>
  <c r="K5428" i="1"/>
  <c r="L5428" i="1"/>
  <c r="K4651" i="1"/>
  <c r="L4651" i="1"/>
  <c r="K2443" i="1"/>
  <c r="L2443" i="1"/>
  <c r="K2835" i="1"/>
  <c r="L2835" i="1"/>
  <c r="K5481" i="1"/>
  <c r="L5481" i="1"/>
  <c r="K5529" i="1"/>
  <c r="L5529" i="1"/>
  <c r="K5213" i="1"/>
  <c r="L5213" i="1"/>
  <c r="K3949" i="1"/>
  <c r="L3949" i="1"/>
  <c r="K2664" i="1"/>
  <c r="L2664" i="1"/>
  <c r="K2865" i="1"/>
  <c r="L2865" i="1"/>
  <c r="K3257" i="1"/>
  <c r="L3257" i="1"/>
  <c r="K2563" i="1"/>
  <c r="L2563" i="1"/>
  <c r="K5004" i="1"/>
  <c r="L5004" i="1"/>
  <c r="K3110" i="1"/>
  <c r="L3110" i="1"/>
  <c r="K4057" i="1"/>
  <c r="L4057" i="1"/>
  <c r="K3414" i="1"/>
  <c r="L3414" i="1"/>
  <c r="K5150" i="1"/>
  <c r="L5150" i="1"/>
  <c r="K4817" i="1"/>
  <c r="L4817" i="1"/>
  <c r="K3015" i="1"/>
  <c r="L3015" i="1"/>
  <c r="K4480" i="1"/>
  <c r="L4480" i="1"/>
  <c r="K5290" i="1"/>
  <c r="L5290" i="1"/>
  <c r="K4811" i="1"/>
  <c r="L4811" i="1"/>
  <c r="K3065" i="1"/>
  <c r="L3065" i="1"/>
  <c r="K4737" i="1"/>
  <c r="L4737" i="1"/>
  <c r="K5328" i="1"/>
  <c r="L5328" i="1"/>
  <c r="K4102" i="1"/>
  <c r="L4102" i="1"/>
  <c r="K5301" i="1"/>
  <c r="L5301" i="1"/>
  <c r="K5321" i="1"/>
  <c r="L5321" i="1"/>
  <c r="K3941" i="1"/>
  <c r="L3941" i="1"/>
  <c r="K2939" i="1"/>
  <c r="L2939" i="1"/>
  <c r="K5316" i="1"/>
  <c r="L5316" i="1"/>
  <c r="K3008" i="1"/>
  <c r="L3008" i="1"/>
  <c r="K5041" i="1"/>
  <c r="L5041" i="1"/>
  <c r="K3563" i="1"/>
  <c r="L3563" i="1"/>
  <c r="K3446" i="1"/>
  <c r="L3446" i="1"/>
  <c r="K5165" i="1"/>
  <c r="L5165" i="1"/>
  <c r="K5036" i="1"/>
  <c r="L5036" i="1"/>
  <c r="K4230" i="1"/>
  <c r="L4230" i="1"/>
  <c r="K4383" i="1"/>
  <c r="L4383" i="1"/>
  <c r="K4041" i="1"/>
  <c r="L4041" i="1"/>
  <c r="K4812" i="1"/>
  <c r="L4812" i="1"/>
  <c r="K5109" i="1"/>
  <c r="L5109" i="1"/>
  <c r="K5232" i="1"/>
  <c r="L5232" i="1"/>
  <c r="K2648" i="1"/>
  <c r="L2648" i="1"/>
  <c r="K3502" i="1"/>
  <c r="L3502" i="1"/>
  <c r="K3728" i="1"/>
  <c r="L3728" i="1"/>
  <c r="K3020" i="1"/>
  <c r="L3020" i="1"/>
  <c r="K3412" i="1"/>
  <c r="L3412" i="1"/>
  <c r="K3868" i="1"/>
  <c r="L3868" i="1"/>
  <c r="K4984" i="1"/>
  <c r="L4984" i="1"/>
  <c r="K2764" i="1"/>
  <c r="L2764" i="1"/>
  <c r="K5379" i="1"/>
  <c r="L5379" i="1"/>
  <c r="K2522" i="1"/>
  <c r="L2522" i="1"/>
  <c r="K4154" i="1"/>
  <c r="L4154" i="1"/>
  <c r="K4548" i="1"/>
  <c r="L4548" i="1"/>
  <c r="K4110" i="1"/>
  <c r="L4110" i="1"/>
  <c r="K2550" i="1"/>
  <c r="L2550" i="1"/>
  <c r="K2578" i="1"/>
  <c r="L2578" i="1"/>
  <c r="K4248" i="1"/>
  <c r="L4248" i="1"/>
  <c r="K2760" i="1"/>
  <c r="L2760" i="1"/>
  <c r="K2701" i="1"/>
  <c r="L2701" i="1"/>
  <c r="K4506" i="1"/>
  <c r="L4506" i="1"/>
  <c r="K4166" i="1"/>
  <c r="L4166" i="1"/>
  <c r="K3973" i="1"/>
  <c r="L3973" i="1"/>
  <c r="K3345" i="1"/>
  <c r="L3345" i="1"/>
  <c r="K3128" i="1"/>
  <c r="L3128" i="1"/>
  <c r="K2875" i="1"/>
  <c r="L2875" i="1"/>
  <c r="K3430" i="1"/>
  <c r="L3430" i="1"/>
  <c r="K2964" i="1"/>
  <c r="L2964" i="1"/>
  <c r="K5456" i="1"/>
  <c r="L5456" i="1"/>
  <c r="K5254" i="1"/>
  <c r="L5254" i="1"/>
  <c r="K2676" i="1"/>
  <c r="L2676" i="1"/>
  <c r="K5332" i="1"/>
  <c r="L5332" i="1"/>
  <c r="K3875" i="1"/>
  <c r="L3875" i="1"/>
  <c r="K2422" i="1"/>
  <c r="L2422" i="1"/>
  <c r="K4861" i="1"/>
  <c r="L4861" i="1"/>
  <c r="K3337" i="1"/>
  <c r="L3337" i="1"/>
  <c r="K4117" i="1"/>
  <c r="L4117" i="1"/>
  <c r="K2546" i="1"/>
  <c r="L2546" i="1"/>
  <c r="K2595" i="1"/>
  <c r="L2595" i="1"/>
  <c r="K2966" i="1"/>
  <c r="L2966" i="1"/>
  <c r="K4072" i="1"/>
  <c r="L4072" i="1"/>
  <c r="K5337" i="1"/>
  <c r="L5337" i="1"/>
  <c r="K3484" i="1"/>
  <c r="L3484" i="1"/>
  <c r="K5475" i="1"/>
  <c r="L5475" i="1"/>
  <c r="K4203" i="1"/>
  <c r="L4203" i="1"/>
  <c r="K3408" i="1"/>
  <c r="L3408" i="1"/>
  <c r="K3457" i="1"/>
  <c r="L3457" i="1"/>
  <c r="K4499" i="1"/>
  <c r="L4499" i="1"/>
  <c r="K3413" i="1"/>
  <c r="L3413" i="1"/>
  <c r="K4742" i="1"/>
  <c r="L4742" i="1"/>
  <c r="K3032" i="1"/>
  <c r="L3032" i="1"/>
  <c r="K4623" i="1"/>
  <c r="L4623" i="1"/>
  <c r="K4677" i="1"/>
  <c r="L4677" i="1"/>
  <c r="K4353" i="1"/>
  <c r="L4353" i="1"/>
  <c r="K3423" i="1"/>
  <c r="L3423" i="1"/>
  <c r="K5042" i="1"/>
  <c r="L5042" i="1"/>
  <c r="K4562" i="1"/>
  <c r="L4562" i="1"/>
  <c r="K3023" i="1"/>
  <c r="L3023" i="1"/>
  <c r="K5589" i="1"/>
  <c r="L5589" i="1"/>
  <c r="K4176" i="1"/>
  <c r="L4176" i="1"/>
  <c r="K5067" i="1"/>
  <c r="L5067" i="1"/>
  <c r="K2453" i="1"/>
  <c r="L2453" i="1"/>
  <c r="K4234" i="1"/>
  <c r="L4234" i="1"/>
  <c r="K4465" i="1"/>
  <c r="L4465" i="1"/>
  <c r="K3893" i="1"/>
  <c r="L3893" i="1"/>
  <c r="K5546" i="1"/>
  <c r="L5546" i="1"/>
  <c r="K4440" i="1"/>
  <c r="L4440" i="1"/>
  <c r="K3899" i="1"/>
  <c r="L3899" i="1"/>
  <c r="K2641" i="1"/>
  <c r="L2641" i="1"/>
  <c r="K5464" i="1"/>
  <c r="L5464" i="1"/>
  <c r="K4814" i="1"/>
  <c r="L4814" i="1"/>
  <c r="K4614" i="1"/>
  <c r="L4614" i="1"/>
  <c r="K5431" i="1"/>
  <c r="L5431" i="1"/>
  <c r="K4550" i="1"/>
  <c r="L4550" i="1"/>
  <c r="K2860" i="1"/>
  <c r="L2860" i="1"/>
  <c r="K4666" i="1"/>
  <c r="L4666" i="1"/>
  <c r="K5066" i="1"/>
  <c r="L5066" i="1"/>
  <c r="K5388" i="1"/>
  <c r="L5388" i="1"/>
  <c r="K4654" i="1"/>
  <c r="L4654" i="1"/>
  <c r="K2844" i="1"/>
  <c r="L2844" i="1"/>
  <c r="K2502" i="1"/>
  <c r="L2502" i="1"/>
  <c r="K2594" i="1"/>
  <c r="L2594" i="1"/>
  <c r="K3201" i="1"/>
  <c r="L3201" i="1"/>
  <c r="K4820" i="1"/>
  <c r="L4820" i="1"/>
  <c r="K4162" i="1"/>
  <c r="L4162" i="1"/>
  <c r="K5160" i="1"/>
  <c r="L5160" i="1"/>
  <c r="K2824" i="1"/>
  <c r="L2824" i="1"/>
  <c r="K4731" i="1"/>
  <c r="L4731" i="1"/>
  <c r="K5556" i="1"/>
  <c r="L5556" i="1"/>
  <c r="K5261" i="1"/>
  <c r="L5261" i="1"/>
  <c r="K4886" i="1"/>
  <c r="L4886" i="1"/>
  <c r="K3546" i="1"/>
  <c r="L3546" i="1"/>
  <c r="K4051" i="1"/>
  <c r="L4051" i="1"/>
  <c r="K4464" i="1"/>
  <c r="L4464" i="1"/>
  <c r="K2909" i="1"/>
  <c r="L2909" i="1"/>
  <c r="K4868" i="1"/>
  <c r="L4868" i="1"/>
  <c r="K3599" i="1"/>
  <c r="L3599" i="1"/>
  <c r="K5121" i="1"/>
  <c r="L5121" i="1"/>
  <c r="K5592" i="1"/>
  <c r="L5592" i="1"/>
  <c r="K3170" i="1"/>
  <c r="L3170" i="1"/>
  <c r="K2425" i="1"/>
  <c r="L2425" i="1"/>
  <c r="K5371" i="1"/>
  <c r="L5371" i="1"/>
  <c r="K2853" i="1"/>
  <c r="L2853" i="1"/>
  <c r="K3575" i="1"/>
  <c r="L3575" i="1"/>
  <c r="K2908" i="1"/>
  <c r="L2908" i="1"/>
  <c r="K3150" i="1"/>
  <c r="L3150" i="1"/>
  <c r="K3697" i="1"/>
  <c r="L3697" i="1"/>
  <c r="K2933" i="1"/>
  <c r="L2933" i="1"/>
  <c r="K3951" i="1"/>
  <c r="L3951" i="1"/>
  <c r="K4427" i="1"/>
  <c r="L4427" i="1"/>
  <c r="K3696" i="1"/>
  <c r="L3696" i="1"/>
  <c r="K3472" i="1"/>
  <c r="L3472" i="1"/>
  <c r="K5246" i="1"/>
  <c r="L5246" i="1"/>
  <c r="K5020" i="1"/>
  <c r="L5020" i="1"/>
  <c r="K4824" i="1"/>
  <c r="L4824" i="1"/>
  <c r="K2822" i="1"/>
  <c r="L2822" i="1"/>
  <c r="K2379" i="1"/>
  <c r="L2379" i="1"/>
  <c r="K3460" i="1"/>
  <c r="L3460" i="1"/>
  <c r="K2363" i="1"/>
  <c r="L2363" i="1"/>
  <c r="K4205" i="1"/>
  <c r="L4205" i="1"/>
  <c r="K4674" i="1"/>
  <c r="L4674" i="1"/>
  <c r="K4998" i="1"/>
  <c r="L4998" i="1"/>
  <c r="K3853" i="1"/>
  <c r="L3853" i="1"/>
  <c r="K2817" i="1"/>
  <c r="L2817" i="1"/>
  <c r="K3131" i="1"/>
  <c r="L3131" i="1"/>
  <c r="K4790" i="1"/>
  <c r="L4790" i="1"/>
  <c r="K3140" i="1"/>
  <c r="L3140" i="1"/>
  <c r="K5603" i="1"/>
  <c r="L5603" i="1"/>
  <c r="K3830" i="1"/>
  <c r="L3830" i="1"/>
  <c r="K5192" i="1"/>
  <c r="L5192" i="1"/>
  <c r="K5471" i="1"/>
  <c r="L5471" i="1"/>
  <c r="K2931" i="1"/>
  <c r="L2931" i="1"/>
  <c r="K5177" i="1"/>
  <c r="L5177" i="1"/>
  <c r="K2392" i="1"/>
  <c r="L2392" i="1"/>
  <c r="K3290" i="1"/>
  <c r="L3290" i="1"/>
  <c r="K3317" i="1"/>
  <c r="L3317" i="1"/>
  <c r="K3259" i="1"/>
  <c r="L3259" i="1"/>
  <c r="K3240" i="1"/>
  <c r="L3240" i="1"/>
  <c r="K4961" i="1"/>
  <c r="L4961" i="1"/>
  <c r="K2991" i="1"/>
  <c r="L2991" i="1"/>
  <c r="K4172" i="1"/>
  <c r="L4172" i="1"/>
  <c r="K2744" i="1"/>
  <c r="L2744" i="1"/>
  <c r="K4361" i="1"/>
  <c r="L4361" i="1"/>
  <c r="K3759" i="1"/>
  <c r="L3759" i="1"/>
  <c r="K5021" i="1"/>
  <c r="L5021" i="1"/>
  <c r="K4220" i="1"/>
  <c r="L4220" i="1"/>
  <c r="K5564" i="1"/>
  <c r="L5564" i="1"/>
  <c r="K4816" i="1"/>
  <c r="L4816" i="1"/>
  <c r="K5299" i="1"/>
  <c r="L5299" i="1"/>
  <c r="K3568" i="1"/>
  <c r="L3568" i="1"/>
  <c r="K5102" i="1"/>
  <c r="L5102" i="1"/>
  <c r="K5572" i="1"/>
  <c r="L5572" i="1"/>
  <c r="K4895" i="1"/>
  <c r="L4895" i="1"/>
  <c r="K4272" i="1"/>
  <c r="L4272" i="1"/>
  <c r="K2599" i="1"/>
  <c r="L2599" i="1"/>
  <c r="K2796" i="1"/>
  <c r="L2796" i="1"/>
  <c r="K5101" i="1"/>
  <c r="L5101" i="1"/>
  <c r="K3093" i="1"/>
  <c r="L3093" i="1"/>
  <c r="K4869" i="1"/>
  <c r="L4869" i="1"/>
  <c r="K4302" i="1"/>
  <c r="L4302" i="1"/>
  <c r="K2447" i="1"/>
  <c r="L2447" i="1"/>
  <c r="K2639" i="1"/>
  <c r="L2639" i="1"/>
  <c r="K3194" i="1"/>
  <c r="L3194" i="1"/>
  <c r="K2675" i="1"/>
  <c r="L2675" i="1"/>
  <c r="K2685" i="1"/>
  <c r="L2685" i="1"/>
  <c r="K2561" i="1"/>
  <c r="L2561" i="1"/>
  <c r="K3175" i="1"/>
  <c r="L3175" i="1"/>
  <c r="K5282" i="1"/>
  <c r="L5282" i="1"/>
  <c r="K5305" i="1"/>
  <c r="L5305" i="1"/>
  <c r="K5605" i="1"/>
  <c r="L5605" i="1"/>
  <c r="K3029" i="1"/>
  <c r="L3029" i="1"/>
  <c r="K3500" i="1"/>
  <c r="L3500" i="1"/>
  <c r="K4558" i="1"/>
  <c r="L4558" i="1"/>
  <c r="K3713" i="1"/>
  <c r="L3713" i="1"/>
  <c r="K3115" i="1"/>
  <c r="L3115" i="1"/>
  <c r="K3644" i="1"/>
  <c r="L3644" i="1"/>
  <c r="K5485" i="1"/>
  <c r="L5485" i="1"/>
  <c r="K3482" i="1"/>
  <c r="L3482" i="1"/>
  <c r="K5308" i="1"/>
  <c r="L5308" i="1"/>
  <c r="K4401" i="1"/>
  <c r="L4401" i="1"/>
  <c r="K4951" i="1"/>
  <c r="L4951" i="1"/>
  <c r="K5093" i="1"/>
  <c r="L5093" i="1"/>
  <c r="K4648" i="1"/>
  <c r="L4648" i="1"/>
  <c r="K5163" i="1"/>
  <c r="L5163" i="1"/>
  <c r="K5239" i="1"/>
  <c r="L5239" i="1"/>
  <c r="K5234" i="1"/>
  <c r="L5234" i="1"/>
  <c r="K3458" i="1"/>
  <c r="L3458" i="1"/>
  <c r="K2732" i="1"/>
  <c r="L2732" i="1"/>
  <c r="K2404" i="1"/>
  <c r="L2404" i="1"/>
  <c r="K2370" i="1"/>
  <c r="L2370" i="1"/>
  <c r="K2381" i="1"/>
  <c r="L2381" i="1"/>
  <c r="K3709" i="1"/>
  <c r="L3709" i="1"/>
  <c r="K3222" i="1"/>
  <c r="L3222" i="1"/>
  <c r="K4446" i="1"/>
  <c r="L4446" i="1"/>
  <c r="K4169" i="1"/>
  <c r="L4169" i="1"/>
  <c r="K4393" i="1"/>
  <c r="L4393" i="1"/>
  <c r="K2734" i="1"/>
  <c r="L2734" i="1"/>
  <c r="K5080" i="1"/>
  <c r="L5080" i="1"/>
  <c r="K5273" i="1"/>
  <c r="L5273" i="1"/>
  <c r="K3778" i="1"/>
  <c r="L3778" i="1"/>
  <c r="K5591" i="1"/>
  <c r="L5591" i="1"/>
  <c r="K4468" i="1"/>
  <c r="L4468" i="1"/>
  <c r="K3767" i="1"/>
  <c r="L3767" i="1"/>
  <c r="K3366" i="1"/>
  <c r="L3366" i="1"/>
  <c r="K3309" i="1"/>
  <c r="L3309" i="1"/>
  <c r="K3000" i="1"/>
  <c r="L3000" i="1"/>
  <c r="K3813" i="1"/>
  <c r="L3813" i="1"/>
  <c r="K2859" i="1"/>
  <c r="L2859" i="1"/>
  <c r="K3511" i="1"/>
  <c r="L3511" i="1"/>
  <c r="K3800" i="1"/>
  <c r="L3800" i="1"/>
  <c r="K4643" i="1"/>
  <c r="L4643" i="1"/>
  <c r="K4312" i="1"/>
  <c r="L4312" i="1"/>
  <c r="K4752" i="1"/>
  <c r="L4752" i="1"/>
  <c r="K3750" i="1"/>
  <c r="L3750" i="1"/>
  <c r="K3078" i="1"/>
  <c r="L3078" i="1"/>
  <c r="K4471" i="1"/>
  <c r="L4471" i="1"/>
  <c r="K3878" i="1"/>
  <c r="L3878" i="1"/>
  <c r="K3042" i="1"/>
  <c r="L3042" i="1"/>
  <c r="K3897" i="1"/>
  <c r="L3897" i="1"/>
  <c r="K4377" i="1"/>
  <c r="L4377" i="1"/>
  <c r="K3339" i="1"/>
  <c r="L3339" i="1"/>
  <c r="K5536" i="1"/>
  <c r="L5536" i="1"/>
  <c r="K4636" i="1"/>
  <c r="L4636" i="1"/>
  <c r="K2512" i="1"/>
  <c r="L2512" i="1"/>
  <c r="K3917" i="1"/>
  <c r="L3917" i="1"/>
  <c r="K3978" i="1"/>
  <c r="L3978" i="1"/>
  <c r="K2725" i="1"/>
  <c r="L2725" i="1"/>
  <c r="K5237" i="1"/>
  <c r="L5237" i="1"/>
  <c r="K3303" i="1"/>
  <c r="L3303" i="1"/>
  <c r="K2614" i="1"/>
  <c r="L2614" i="1"/>
  <c r="K4365" i="1"/>
  <c r="L4365" i="1"/>
  <c r="K4619" i="1"/>
  <c r="L4619" i="1"/>
  <c r="K3438" i="1"/>
  <c r="L3438" i="1"/>
  <c r="K4761" i="1"/>
  <c r="L4761" i="1"/>
  <c r="K4670" i="1"/>
  <c r="L4670" i="1"/>
  <c r="K5116" i="1"/>
  <c r="L5116" i="1"/>
  <c r="K3777" i="1"/>
  <c r="L3777" i="1"/>
  <c r="K3823" i="1"/>
  <c r="L3823" i="1"/>
  <c r="K4491" i="1"/>
  <c r="L4491" i="1"/>
  <c r="K3456" i="1"/>
  <c r="L3456" i="1"/>
  <c r="K3236" i="1"/>
  <c r="L3236" i="1"/>
  <c r="K4058" i="1"/>
  <c r="L4058" i="1"/>
  <c r="K4228" i="1"/>
  <c r="L4228" i="1"/>
  <c r="K4683" i="1"/>
  <c r="L4683" i="1"/>
  <c r="K5419" i="1"/>
  <c r="L5419" i="1"/>
  <c r="K4673" i="1"/>
  <c r="L4673" i="1"/>
  <c r="K5267" i="1"/>
  <c r="L5267" i="1"/>
  <c r="K4069" i="1"/>
  <c r="L4069" i="1"/>
  <c r="K2928" i="1"/>
  <c r="L2928" i="1"/>
  <c r="K3668" i="1"/>
  <c r="L3668" i="1"/>
  <c r="K3046" i="1"/>
  <c r="L3046" i="1"/>
  <c r="K4204" i="1"/>
  <c r="L4204" i="1"/>
  <c r="K4782" i="1"/>
  <c r="L4782" i="1"/>
  <c r="K5585" i="1"/>
  <c r="L5585" i="1"/>
  <c r="K4173" i="1"/>
  <c r="L4173" i="1"/>
  <c r="K3119" i="1"/>
  <c r="L3119" i="1"/>
  <c r="K2841" i="1"/>
  <c r="L2841" i="1"/>
  <c r="K5423" i="1"/>
  <c r="L5423" i="1"/>
  <c r="K4215" i="1"/>
  <c r="L4215" i="1"/>
  <c r="K3623" i="1"/>
  <c r="L3623" i="1"/>
  <c r="K3509" i="1"/>
  <c r="L3509" i="1"/>
  <c r="K4599" i="1"/>
  <c r="L4599" i="1"/>
  <c r="K2468" i="1"/>
  <c r="L2468" i="1"/>
  <c r="K4264" i="1"/>
  <c r="L4264" i="1"/>
  <c r="K4746" i="1"/>
  <c r="L4746" i="1"/>
  <c r="K5117" i="1"/>
  <c r="L5117" i="1"/>
  <c r="K3714" i="1"/>
  <c r="L3714" i="1"/>
  <c r="K5351" i="1"/>
  <c r="L5351" i="1"/>
  <c r="K5539" i="1"/>
  <c r="L5539" i="1"/>
  <c r="K3913" i="1"/>
  <c r="L3913" i="1"/>
  <c r="K3503" i="1"/>
  <c r="L3503" i="1"/>
  <c r="K3244" i="1"/>
  <c r="L3244" i="1"/>
  <c r="K5558" i="1"/>
  <c r="L5558" i="1"/>
  <c r="K5279" i="1"/>
  <c r="L5279" i="1"/>
  <c r="K2535" i="1"/>
  <c r="L2535" i="1"/>
  <c r="K5579" i="1"/>
  <c r="L5579" i="1"/>
  <c r="K4904" i="1"/>
  <c r="L4904" i="1"/>
  <c r="K3863" i="1"/>
  <c r="L3863" i="1"/>
  <c r="K4858" i="1"/>
  <c r="L4858" i="1"/>
  <c r="K4845" i="1"/>
  <c r="L4845" i="1"/>
  <c r="K5172" i="1"/>
  <c r="L5172" i="1"/>
  <c r="K3153" i="1"/>
  <c r="L3153" i="1"/>
  <c r="K4924" i="1"/>
  <c r="L4924" i="1"/>
  <c r="K3368" i="1"/>
  <c r="L3368" i="1"/>
  <c r="K5147" i="1"/>
  <c r="L5147" i="1"/>
  <c r="K2539" i="1"/>
  <c r="L2539" i="1"/>
  <c r="K4557" i="1"/>
  <c r="L4557" i="1"/>
  <c r="K2364" i="1"/>
  <c r="L2364" i="1"/>
  <c r="K5364" i="1"/>
  <c r="L5364" i="1"/>
  <c r="K2619" i="1"/>
  <c r="L2619" i="1"/>
  <c r="K3100" i="1"/>
  <c r="L3100" i="1"/>
  <c r="K2970" i="1"/>
  <c r="L2970" i="1"/>
  <c r="K4007" i="1"/>
  <c r="L4007" i="1"/>
  <c r="K4875" i="1"/>
  <c r="L4875" i="1"/>
  <c r="K4871" i="1"/>
  <c r="L4871" i="1"/>
  <c r="K3356" i="1"/>
  <c r="L3356" i="1"/>
  <c r="K4611" i="1"/>
  <c r="L4611" i="1"/>
  <c r="K2996" i="1"/>
  <c r="L2996" i="1"/>
  <c r="K5570" i="1"/>
  <c r="L5570" i="1"/>
  <c r="K2583" i="1"/>
  <c r="L2583" i="1"/>
  <c r="K3406" i="1"/>
  <c r="L3406" i="1"/>
  <c r="K4978" i="1"/>
  <c r="L4978" i="1"/>
  <c r="K5297" i="1"/>
  <c r="L5297" i="1"/>
  <c r="K4180" i="1"/>
  <c r="L4180" i="1"/>
  <c r="K4860" i="1"/>
  <c r="L4860" i="1"/>
  <c r="K4186" i="1"/>
  <c r="L4186" i="1"/>
  <c r="K4329" i="1"/>
  <c r="L4329" i="1"/>
  <c r="K3099" i="1"/>
  <c r="L3099" i="1"/>
  <c r="K3561" i="1"/>
  <c r="L3561" i="1"/>
  <c r="K3030" i="1"/>
  <c r="L3030" i="1"/>
  <c r="K2930" i="1"/>
  <c r="L2930" i="1"/>
  <c r="K3624" i="1"/>
  <c r="L3624" i="1"/>
  <c r="K4921" i="1"/>
  <c r="L4921" i="1"/>
  <c r="K4585" i="1"/>
  <c r="L4585" i="1"/>
  <c r="K2433" i="1"/>
  <c r="L2433" i="1"/>
  <c r="K4600" i="1"/>
  <c r="L4600" i="1"/>
  <c r="K3674" i="1"/>
  <c r="L3674" i="1"/>
  <c r="K2695" i="1"/>
  <c r="L2695" i="1"/>
  <c r="K2762" i="1"/>
  <c r="L2762" i="1"/>
  <c r="K3524" i="1"/>
  <c r="L3524" i="1"/>
  <c r="K3017" i="1"/>
  <c r="L3017" i="1"/>
  <c r="K4882" i="1"/>
  <c r="L4882" i="1"/>
  <c r="K5338" i="1"/>
  <c r="L5338" i="1"/>
  <c r="K3198" i="1"/>
  <c r="L3198" i="1"/>
  <c r="K4439" i="1"/>
  <c r="L4439" i="1"/>
  <c r="K3910" i="1"/>
  <c r="L3910" i="1"/>
  <c r="K3553" i="1"/>
  <c r="L3553" i="1"/>
  <c r="K4667" i="1"/>
  <c r="L4667" i="1"/>
  <c r="K3924" i="1"/>
  <c r="L3924" i="1"/>
  <c r="K2653" i="1"/>
  <c r="L2653" i="1"/>
  <c r="K4174" i="1"/>
  <c r="L4174" i="1"/>
  <c r="K5156" i="1"/>
  <c r="L5156" i="1"/>
  <c r="K4276" i="1"/>
  <c r="L4276" i="1"/>
  <c r="K2873" i="1"/>
  <c r="L2873" i="1"/>
  <c r="K3183" i="1"/>
  <c r="L3183" i="1"/>
  <c r="K4472" i="1"/>
  <c r="L4472" i="1"/>
  <c r="K5495" i="1"/>
  <c r="L5495" i="1"/>
  <c r="K4959" i="1"/>
  <c r="L4959" i="1"/>
  <c r="K3059" i="1"/>
  <c r="L3059" i="1"/>
  <c r="K3280" i="1"/>
  <c r="L3280" i="1"/>
  <c r="K4595" i="1"/>
  <c r="L4595" i="1"/>
  <c r="K3176" i="1"/>
  <c r="L3176" i="1"/>
  <c r="K4889" i="1"/>
  <c r="L4889" i="1"/>
  <c r="K3088" i="1"/>
  <c r="L3088" i="1"/>
  <c r="K3606" i="1"/>
  <c r="L3606" i="1"/>
  <c r="K2518" i="1"/>
  <c r="L2518" i="1"/>
  <c r="K5030" i="1"/>
  <c r="L5030" i="1"/>
  <c r="K3148" i="1"/>
  <c r="L3148" i="1"/>
  <c r="K2780" i="1"/>
  <c r="L2780" i="1"/>
  <c r="K3415" i="1"/>
  <c r="L3415" i="1"/>
  <c r="K4792" i="1"/>
  <c r="L4792" i="1"/>
  <c r="K4490" i="1"/>
  <c r="L4490" i="1"/>
  <c r="K4616" i="1"/>
  <c r="L4616" i="1"/>
  <c r="K3038" i="1"/>
  <c r="L3038" i="1"/>
  <c r="K2849" i="1"/>
  <c r="L2849" i="1"/>
  <c r="K4866" i="1"/>
  <c r="L4866" i="1"/>
  <c r="K4096" i="1"/>
  <c r="L4096" i="1"/>
  <c r="K3279" i="1"/>
  <c r="L3279" i="1"/>
  <c r="K4181" i="1"/>
  <c r="L4181" i="1"/>
  <c r="K4062" i="1"/>
  <c r="L4062" i="1"/>
  <c r="K3384" i="1"/>
  <c r="L3384" i="1"/>
  <c r="K3265" i="1"/>
  <c r="L3265" i="1"/>
  <c r="K3649" i="1"/>
  <c r="L3649" i="1"/>
  <c r="K3915" i="1"/>
  <c r="L3915" i="1"/>
  <c r="K5034" i="1"/>
  <c r="L5034" i="1"/>
  <c r="K5170" i="1"/>
  <c r="L5170" i="1"/>
  <c r="K3614" i="1"/>
  <c r="L3614" i="1"/>
  <c r="K4852" i="1"/>
  <c r="L4852" i="1"/>
  <c r="K2399" i="1"/>
  <c r="L2399" i="1"/>
  <c r="K2410" i="1"/>
  <c r="L2410" i="1"/>
  <c r="K2602" i="1"/>
  <c r="L2602" i="1"/>
  <c r="K3114" i="1"/>
  <c r="L3114" i="1"/>
  <c r="K5460" i="1"/>
  <c r="L5460" i="1"/>
  <c r="K2728" i="1"/>
  <c r="L2728" i="1"/>
  <c r="K4242" i="1"/>
  <c r="L4242" i="1"/>
  <c r="K3163" i="1"/>
  <c r="L3163" i="1"/>
  <c r="K5406" i="1"/>
  <c r="L5406" i="1"/>
  <c r="K4354" i="1"/>
  <c r="L4354" i="1"/>
  <c r="K4359" i="1"/>
  <c r="L4359" i="1"/>
  <c r="K3331" i="1"/>
  <c r="L3331" i="1"/>
  <c r="K3955" i="1"/>
  <c r="L3955" i="1"/>
  <c r="K4586" i="1"/>
  <c r="L4586" i="1"/>
  <c r="K3923" i="1"/>
  <c r="L3923" i="1"/>
  <c r="K4411" i="1"/>
  <c r="L4411" i="1"/>
  <c r="K4913" i="1"/>
  <c r="L4913" i="1"/>
  <c r="K2593" i="1"/>
  <c r="L2593" i="1"/>
  <c r="K4467" i="1"/>
  <c r="L4467" i="1"/>
  <c r="K2516" i="1"/>
  <c r="L2516" i="1"/>
  <c r="K4437" i="1"/>
  <c r="L4437" i="1"/>
  <c r="K5583" i="1"/>
  <c r="L5583" i="1"/>
  <c r="K4768" i="1"/>
  <c r="L4768" i="1"/>
  <c r="K3794" i="1"/>
  <c r="L3794" i="1"/>
  <c r="K5500" i="1"/>
  <c r="L5500" i="1"/>
  <c r="K4662" i="1"/>
  <c r="L4662" i="1"/>
  <c r="K5386" i="1"/>
  <c r="L5386" i="1"/>
  <c r="K5242" i="1"/>
  <c r="L5242" i="1"/>
  <c r="K4718" i="1"/>
  <c r="L4718" i="1"/>
  <c r="K2923" i="1"/>
  <c r="L2923" i="1"/>
  <c r="K4219" i="1"/>
  <c r="L4219" i="1"/>
  <c r="K5448" i="1"/>
  <c r="L5448" i="1"/>
  <c r="K4202" i="1"/>
  <c r="L4202" i="1"/>
  <c r="K4821" i="1"/>
  <c r="L4821" i="1"/>
  <c r="K2686" i="1"/>
  <c r="L2686" i="1"/>
  <c r="K4856" i="1"/>
  <c r="L4856" i="1"/>
  <c r="K5255" i="1"/>
  <c r="L5255" i="1"/>
  <c r="K5555" i="1"/>
  <c r="L5555" i="1"/>
  <c r="K3761" i="1"/>
  <c r="L3761" i="1"/>
  <c r="K5251" i="1"/>
  <c r="L5251" i="1"/>
  <c r="K3658" i="1"/>
  <c r="L3658" i="1"/>
  <c r="K2868" i="1"/>
  <c r="L2868" i="1"/>
  <c r="K3262" i="1"/>
  <c r="L3262" i="1"/>
  <c r="K5138" i="1"/>
  <c r="L5138" i="1"/>
  <c r="K5161" i="1"/>
  <c r="L5161" i="1"/>
  <c r="K4434" i="1"/>
  <c r="L4434" i="1"/>
  <c r="K2552" i="1"/>
  <c r="L2552" i="1"/>
  <c r="K4099" i="1"/>
  <c r="L4099" i="1"/>
  <c r="K2968" i="1"/>
  <c r="L2968" i="1"/>
  <c r="K3196" i="1"/>
  <c r="L3196" i="1"/>
  <c r="K4275" i="1"/>
  <c r="L4275" i="1"/>
  <c r="K5224" i="1"/>
  <c r="L5224" i="1"/>
  <c r="K3659" i="1"/>
  <c r="L3659" i="1"/>
  <c r="K5229" i="1"/>
  <c r="L5229" i="1"/>
  <c r="K4685" i="1"/>
  <c r="L4685" i="1"/>
  <c r="K2785" i="1"/>
  <c r="L2785" i="1"/>
  <c r="K2731" i="1"/>
  <c r="L2731" i="1"/>
  <c r="K4840" i="1"/>
  <c r="L4840" i="1"/>
  <c r="K3694" i="1"/>
  <c r="L3694" i="1"/>
  <c r="K5450" i="1"/>
  <c r="L5450" i="1"/>
  <c r="K3995" i="1"/>
  <c r="L3995" i="1"/>
  <c r="K3200" i="1"/>
  <c r="L3200" i="1"/>
  <c r="K4461" i="1"/>
  <c r="L4461" i="1"/>
  <c r="K5012" i="1"/>
  <c r="L5012" i="1"/>
  <c r="K3508" i="1"/>
  <c r="L3508" i="1"/>
  <c r="K4754" i="1"/>
  <c r="L4754" i="1"/>
  <c r="K4601" i="1"/>
  <c r="L4601" i="1"/>
  <c r="K4555" i="1"/>
  <c r="L4555" i="1"/>
  <c r="K3141" i="1"/>
  <c r="L3141" i="1"/>
  <c r="K4406" i="1"/>
  <c r="L4406" i="1"/>
  <c r="K2825" i="1"/>
  <c r="L2825" i="1"/>
  <c r="K2623" i="1"/>
  <c r="L2623" i="1"/>
  <c r="K4564" i="1"/>
  <c r="L4564" i="1"/>
  <c r="K4453" i="1"/>
  <c r="L4453" i="1"/>
  <c r="K3815" i="1"/>
  <c r="L3815" i="1"/>
  <c r="K2936" i="1"/>
  <c r="L2936" i="1"/>
  <c r="K3033" i="1"/>
  <c r="L3033" i="1"/>
  <c r="K3657" i="1"/>
  <c r="L3657" i="1"/>
  <c r="K3003" i="1"/>
  <c r="L3003" i="1"/>
  <c r="K4930" i="1"/>
  <c r="L4930" i="1"/>
  <c r="K3091" i="1"/>
  <c r="L3091" i="1"/>
  <c r="K4193" i="1"/>
  <c r="L4193" i="1"/>
  <c r="K4610" i="1"/>
  <c r="L4610" i="1"/>
  <c r="K2527" i="1"/>
  <c r="L2527" i="1"/>
  <c r="K4740" i="1"/>
  <c r="L4740" i="1"/>
  <c r="K5017" i="1"/>
  <c r="L5017" i="1"/>
  <c r="K4696" i="1"/>
  <c r="L4696" i="1"/>
  <c r="K2577" i="1"/>
  <c r="L2577" i="1"/>
  <c r="K2969" i="1"/>
  <c r="L2969" i="1"/>
  <c r="K4870" i="1"/>
  <c r="L4870" i="1"/>
  <c r="K4280" i="1"/>
  <c r="L4280" i="1"/>
  <c r="K4037" i="1"/>
  <c r="L4037" i="1"/>
  <c r="K2826" i="1"/>
  <c r="L2826" i="1"/>
  <c r="K4680" i="1"/>
  <c r="L4680" i="1"/>
  <c r="K4621" i="1"/>
  <c r="L4621" i="1"/>
  <c r="K5325" i="1"/>
  <c r="L5325" i="1"/>
  <c r="K4706" i="1"/>
  <c r="L4706" i="1"/>
  <c r="K4254" i="1"/>
  <c r="L4254" i="1"/>
  <c r="K5602" i="1"/>
  <c r="L5602" i="1"/>
  <c r="K4137" i="1"/>
  <c r="L4137" i="1"/>
  <c r="K3783" i="1"/>
  <c r="L3783" i="1"/>
  <c r="K2628" i="1"/>
  <c r="L2628" i="1"/>
  <c r="K4217" i="1"/>
  <c r="L4217" i="1"/>
  <c r="K4432" i="1"/>
  <c r="L4432" i="1"/>
  <c r="K3554" i="1"/>
  <c r="L3554" i="1"/>
  <c r="K3049" i="1"/>
  <c r="L3049" i="1"/>
  <c r="K3653" i="1"/>
  <c r="L3653" i="1"/>
  <c r="K4645" i="1"/>
  <c r="L4645" i="1"/>
  <c r="K5293" i="1"/>
  <c r="L5293" i="1"/>
  <c r="K4236" i="1"/>
  <c r="L4236" i="1"/>
  <c r="K4223" i="1"/>
  <c r="L4223" i="1"/>
  <c r="K5461" i="1"/>
  <c r="L5461" i="1"/>
  <c r="K5563" i="1"/>
  <c r="L5563" i="1"/>
  <c r="K5142" i="1"/>
  <c r="L5142" i="1"/>
  <c r="K3014" i="1"/>
  <c r="L3014" i="1"/>
  <c r="K5094" i="1"/>
  <c r="L5094" i="1"/>
  <c r="K3577" i="1"/>
  <c r="L3577" i="1"/>
  <c r="K4474" i="1"/>
  <c r="L4474" i="1"/>
  <c r="K2705" i="1"/>
  <c r="L2705" i="1"/>
  <c r="K4788" i="1"/>
  <c r="L4788" i="1"/>
  <c r="K5391" i="1"/>
  <c r="L5391" i="1"/>
  <c r="K5315" i="1"/>
  <c r="L5315" i="1"/>
  <c r="K2665" i="1"/>
  <c r="L2665" i="1"/>
  <c r="K4521" i="1"/>
  <c r="L4521" i="1"/>
  <c r="K3182" i="1"/>
  <c r="L3182" i="1"/>
  <c r="K3747" i="1"/>
  <c r="L3747" i="1"/>
  <c r="K2977" i="1"/>
  <c r="L2977" i="1"/>
  <c r="K3661" i="1"/>
  <c r="L3661" i="1"/>
  <c r="K2755" i="1"/>
  <c r="L2755" i="1"/>
  <c r="K2772" i="1"/>
  <c r="L2772" i="1"/>
  <c r="K3437" i="1"/>
  <c r="L3437" i="1"/>
  <c r="K4151" i="1"/>
  <c r="L4151" i="1"/>
  <c r="K5171" i="1"/>
  <c r="L5171" i="1"/>
  <c r="K2766" i="1"/>
  <c r="L2766" i="1"/>
  <c r="K2934" i="1"/>
  <c r="L2934" i="1"/>
  <c r="K2891" i="1"/>
  <c r="L2891" i="1"/>
  <c r="K4015" i="1"/>
  <c r="L4015" i="1"/>
  <c r="K3600" i="1"/>
  <c r="L3600" i="1"/>
  <c r="K4149" i="1"/>
  <c r="L4149" i="1"/>
  <c r="K3901" i="1"/>
  <c r="L3901" i="1"/>
  <c r="K4245" i="1"/>
  <c r="L4245" i="1"/>
  <c r="K5568" i="1"/>
  <c r="L5568" i="1"/>
  <c r="K3802" i="1"/>
  <c r="L3802" i="1"/>
  <c r="K3912" i="1"/>
  <c r="L3912" i="1"/>
  <c r="K2534" i="1"/>
  <c r="L2534" i="1"/>
  <c r="K4634" i="1"/>
  <c r="L4634" i="1"/>
  <c r="K4263" i="1"/>
  <c r="L4263" i="1"/>
  <c r="K5097" i="1"/>
  <c r="L5097" i="1"/>
  <c r="K4638" i="1"/>
  <c r="L4638" i="1"/>
  <c r="K4481" i="1"/>
  <c r="L4481" i="1"/>
  <c r="K5453" i="1"/>
  <c r="L5453" i="1"/>
  <c r="K3566" i="1"/>
  <c r="L3566" i="1"/>
  <c r="K3808" i="1"/>
  <c r="L3808" i="1"/>
  <c r="K2533" i="1"/>
  <c r="L2533" i="1"/>
  <c r="K5135" i="1"/>
  <c r="L5135" i="1"/>
  <c r="K2485" i="1"/>
  <c r="L2485" i="1"/>
  <c r="K5275" i="1"/>
  <c r="L5275" i="1"/>
  <c r="K5178" i="1"/>
  <c r="L5178" i="1"/>
  <c r="K5022" i="1"/>
  <c r="L5022" i="1"/>
  <c r="K4767" i="1"/>
  <c r="L4767" i="1"/>
  <c r="K5141" i="1"/>
  <c r="L5141" i="1"/>
  <c r="K4114" i="1"/>
  <c r="L4114" i="1"/>
  <c r="K3590" i="1"/>
  <c r="L3590" i="1"/>
  <c r="K5353" i="1"/>
  <c r="L5353" i="1"/>
  <c r="K3431" i="1"/>
  <c r="L3431" i="1"/>
  <c r="K3891" i="1"/>
  <c r="L3891" i="1"/>
  <c r="K3730" i="1"/>
  <c r="L3730" i="1"/>
  <c r="K4560" i="1"/>
  <c r="L4560" i="1"/>
  <c r="K3916" i="1"/>
  <c r="L3916" i="1"/>
  <c r="K4042" i="1"/>
  <c r="L4042" i="1"/>
  <c r="K3086" i="1"/>
  <c r="L3086" i="1"/>
  <c r="K4498" i="1"/>
  <c r="L4498" i="1"/>
  <c r="K4438" i="1"/>
  <c r="L4438" i="1"/>
  <c r="K4681" i="1"/>
  <c r="L4681" i="1"/>
  <c r="K5561" i="1"/>
  <c r="L5561" i="1"/>
  <c r="K3721" i="1"/>
  <c r="L3721" i="1"/>
  <c r="K2562" i="1"/>
  <c r="L2562" i="1"/>
  <c r="K3385" i="1"/>
  <c r="L3385" i="1"/>
  <c r="K3494" i="1"/>
  <c r="L3494" i="1"/>
  <c r="K4551" i="1"/>
  <c r="L4551" i="1"/>
  <c r="K3367" i="1"/>
  <c r="L3367" i="1"/>
  <c r="K3125" i="1"/>
  <c r="L3125" i="1"/>
  <c r="K4675" i="1"/>
  <c r="L4675" i="1"/>
  <c r="K3584" i="1"/>
  <c r="L3584" i="1"/>
  <c r="K3487" i="1"/>
  <c r="L3487" i="1"/>
  <c r="K4626" i="1"/>
  <c r="L4626" i="1"/>
  <c r="K3424" i="1"/>
  <c r="L3424" i="1"/>
  <c r="K4962" i="1"/>
  <c r="L4962" i="1"/>
  <c r="K5582" i="1"/>
  <c r="L5582" i="1"/>
  <c r="K2801" i="1"/>
  <c r="L2801" i="1"/>
  <c r="K2488" i="1"/>
  <c r="L2488" i="1"/>
  <c r="K3665" i="1"/>
  <c r="L3665" i="1"/>
  <c r="K4171" i="1"/>
  <c r="L4171" i="1"/>
  <c r="K2711" i="1"/>
  <c r="L2711" i="1"/>
  <c r="K5508" i="1"/>
  <c r="L5508" i="1"/>
  <c r="K5604" i="1"/>
  <c r="L5604" i="1"/>
  <c r="K4216" i="1"/>
  <c r="L4216" i="1"/>
  <c r="K3312" i="1"/>
  <c r="L3312" i="1"/>
  <c r="K5429" i="1"/>
  <c r="L5429" i="1"/>
  <c r="K2450" i="1"/>
  <c r="L2450" i="1"/>
  <c r="K5049" i="1"/>
  <c r="L5049" i="1"/>
  <c r="K4596" i="1"/>
  <c r="L4596" i="1"/>
  <c r="K4883" i="1"/>
  <c r="L4883" i="1"/>
  <c r="K4049" i="1"/>
  <c r="L4049" i="1"/>
  <c r="K3640" i="1"/>
  <c r="L3640" i="1"/>
  <c r="K2387" i="1"/>
  <c r="L2387" i="1"/>
  <c r="K4082" i="1"/>
  <c r="L4082" i="1"/>
  <c r="K3743" i="1"/>
  <c r="L3743" i="1"/>
  <c r="K4554" i="1"/>
  <c r="L4554" i="1"/>
  <c r="K4897" i="1"/>
  <c r="L4897" i="1"/>
  <c r="K4934" i="1"/>
  <c r="L4934" i="1"/>
  <c r="K5226" i="1"/>
  <c r="L5226" i="1"/>
  <c r="K3862" i="1"/>
  <c r="L3862" i="1"/>
  <c r="K5523" i="1"/>
  <c r="L5523" i="1"/>
  <c r="K3304" i="1"/>
  <c r="L3304" i="1"/>
  <c r="K3215" i="1"/>
  <c r="L3215" i="1"/>
  <c r="K4725" i="1"/>
  <c r="L4725" i="1"/>
  <c r="K4159" i="1"/>
  <c r="L4159" i="1"/>
  <c r="K3963" i="1"/>
  <c r="L3963" i="1"/>
  <c r="K3480" i="1"/>
  <c r="L3480" i="1"/>
  <c r="K2797" i="1"/>
  <c r="L2797" i="1"/>
  <c r="K3276" i="1"/>
  <c r="L3276" i="1"/>
  <c r="K2483" i="1"/>
  <c r="L2483" i="1"/>
  <c r="K4470" i="1"/>
  <c r="L4470" i="1"/>
  <c r="K3856" i="1"/>
  <c r="L3856" i="1"/>
  <c r="K3618" i="1"/>
  <c r="L3618" i="1"/>
  <c r="K4430" i="1"/>
  <c r="L4430" i="1"/>
  <c r="K4496" i="1"/>
  <c r="L4496" i="1"/>
  <c r="K4570" i="1"/>
  <c r="L4570" i="1"/>
  <c r="K5446" i="1"/>
  <c r="L5446" i="1"/>
  <c r="K2758" i="1"/>
  <c r="L2758" i="1"/>
  <c r="K5363" i="1"/>
  <c r="L5363" i="1"/>
  <c r="K2863" i="1"/>
  <c r="L2863" i="1"/>
  <c r="K3737" i="1"/>
  <c r="L3737" i="1"/>
  <c r="K5413" i="1"/>
  <c r="L5413" i="1"/>
  <c r="K2990" i="1"/>
  <c r="L2990" i="1"/>
  <c r="K5499" i="1"/>
  <c r="L5499" i="1"/>
  <c r="K2871" i="1"/>
  <c r="L2871" i="1"/>
  <c r="K4965" i="1"/>
  <c r="L4965" i="1"/>
  <c r="K3402" i="1"/>
  <c r="L3402" i="1"/>
  <c r="K3401" i="1"/>
  <c r="L3401" i="1"/>
  <c r="K3532" i="1"/>
  <c r="L3532" i="1"/>
  <c r="K4939" i="1"/>
  <c r="L4939" i="1"/>
  <c r="K5424" i="1"/>
  <c r="L5424" i="1"/>
  <c r="K5129" i="1"/>
  <c r="L5129" i="1"/>
  <c r="K4922" i="1"/>
  <c r="L4922" i="1"/>
  <c r="K5550" i="1"/>
  <c r="L5550" i="1"/>
  <c r="K2819" i="1"/>
  <c r="L2819" i="1"/>
  <c r="K3552" i="1"/>
  <c r="L3552" i="1"/>
  <c r="K5488" i="1"/>
  <c r="L5488" i="1"/>
  <c r="K3840" i="1"/>
  <c r="L3840" i="1"/>
  <c r="K5302" i="1"/>
  <c r="L5302" i="1"/>
  <c r="K3722" i="1"/>
  <c r="L3722" i="1"/>
  <c r="K5110" i="1"/>
  <c r="L5110" i="1"/>
  <c r="K3662" i="1"/>
  <c r="L3662" i="1"/>
  <c r="K3885" i="1"/>
  <c r="L3885" i="1"/>
  <c r="K5100" i="1"/>
  <c r="L5100" i="1"/>
  <c r="K3663" i="1"/>
  <c r="L3663" i="1"/>
  <c r="K5444" i="1"/>
  <c r="L5444" i="1"/>
  <c r="K4055" i="1"/>
  <c r="L4055" i="1"/>
  <c r="K3660" i="1"/>
  <c r="L3660" i="1"/>
  <c r="K5493" i="1"/>
  <c r="L5493" i="1"/>
  <c r="K4958" i="1"/>
  <c r="L4958" i="1"/>
  <c r="K3024" i="1"/>
  <c r="L3024" i="1"/>
  <c r="K2438" i="1"/>
  <c r="L2438" i="1"/>
  <c r="K4806" i="1"/>
  <c r="L4806" i="1"/>
  <c r="K4656" i="1"/>
  <c r="L4656" i="1"/>
  <c r="K4066" i="1"/>
  <c r="L4066" i="1"/>
  <c r="K5055" i="1"/>
  <c r="L5055" i="1"/>
  <c r="K4972" i="1"/>
  <c r="L4972" i="1"/>
  <c r="K5580" i="1"/>
  <c r="L5580" i="1"/>
  <c r="K2697" i="1"/>
  <c r="L2697" i="1"/>
  <c r="K3300" i="1"/>
  <c r="L3300" i="1"/>
  <c r="K5099" i="1"/>
  <c r="L5099" i="1"/>
  <c r="K5525" i="1"/>
  <c r="L5525" i="1"/>
  <c r="K3255" i="1"/>
  <c r="L3255" i="1"/>
  <c r="K2864" i="1"/>
  <c r="L2864" i="1"/>
  <c r="K2918" i="1"/>
  <c r="L2918" i="1"/>
  <c r="K4108" i="1"/>
  <c r="L4108" i="1"/>
  <c r="K2833" i="1"/>
  <c r="L2833" i="1"/>
  <c r="K2687" i="1"/>
  <c r="L2687" i="1"/>
  <c r="K2827" i="1"/>
  <c r="L2827" i="1"/>
  <c r="K3983" i="1"/>
  <c r="L3983" i="1"/>
  <c r="K3601" i="1"/>
  <c r="L3601" i="1"/>
  <c r="K4021" i="1"/>
  <c r="L4021" i="1"/>
  <c r="K3129" i="1"/>
  <c r="L3129" i="1"/>
  <c r="K4646" i="1"/>
  <c r="L4646" i="1"/>
  <c r="K4388" i="1"/>
  <c r="L4388" i="1"/>
  <c r="K2509" i="1"/>
  <c r="L2509" i="1"/>
  <c r="K4157" i="1"/>
  <c r="L4157" i="1"/>
  <c r="K2736" i="1"/>
  <c r="L2736" i="1"/>
  <c r="K5606" i="1"/>
  <c r="L5606" i="1"/>
  <c r="K3378" i="1"/>
  <c r="L3378" i="1"/>
  <c r="K5196" i="1"/>
  <c r="L5196" i="1"/>
  <c r="K2775" i="1"/>
  <c r="L2775" i="1"/>
  <c r="K4324" i="1"/>
  <c r="L4324" i="1"/>
  <c r="K3160" i="1"/>
  <c r="L3160" i="1"/>
  <c r="K2976" i="1"/>
  <c r="L2976" i="1"/>
  <c r="K4772" i="1"/>
  <c r="L4772" i="1"/>
  <c r="K4335" i="1"/>
  <c r="L4335" i="1"/>
  <c r="K3809" i="1"/>
  <c r="L3809" i="1"/>
  <c r="K2812" i="1"/>
  <c r="L2812" i="1"/>
  <c r="K5324" i="1"/>
  <c r="L5324" i="1"/>
  <c r="K3253" i="1"/>
  <c r="L3253" i="1"/>
  <c r="K3349" i="1"/>
  <c r="L3349" i="1"/>
  <c r="K4876" i="1"/>
  <c r="L4876" i="1"/>
  <c r="K2463" i="1"/>
  <c r="L2463" i="1"/>
  <c r="K5319" i="1"/>
  <c r="L5319" i="1"/>
  <c r="K4640" i="1"/>
  <c r="L4640" i="1"/>
  <c r="K3434" i="1"/>
  <c r="L3434" i="1"/>
  <c r="K4112" i="1"/>
  <c r="L4112" i="1"/>
  <c r="K3383" i="1"/>
  <c r="L3383" i="1"/>
  <c r="K5180" i="1"/>
  <c r="L5180" i="1"/>
  <c r="K2506" i="1"/>
  <c r="L2506" i="1"/>
  <c r="K2818" i="1"/>
  <c r="L2818" i="1"/>
  <c r="K4408" i="1"/>
  <c r="L4408" i="1"/>
  <c r="K2789" i="1"/>
  <c r="L2789" i="1"/>
  <c r="K5198" i="1"/>
  <c r="L5198" i="1"/>
  <c r="K3448" i="1"/>
  <c r="L3448" i="1"/>
  <c r="K4246" i="1"/>
  <c r="L4246" i="1"/>
  <c r="K3880" i="1"/>
  <c r="L3880" i="1"/>
  <c r="K2446" i="1"/>
  <c r="L2446" i="1"/>
  <c r="K3564" i="1"/>
  <c r="L3564" i="1"/>
  <c r="K4317" i="1"/>
  <c r="L4317" i="1"/>
  <c r="K4428" i="1"/>
  <c r="L4428" i="1"/>
  <c r="K4299" i="1"/>
  <c r="L4299" i="1"/>
  <c r="K5182" i="1"/>
  <c r="L5182" i="1"/>
  <c r="K3867" i="1"/>
  <c r="L3867" i="1"/>
  <c r="K3567" i="1"/>
  <c r="L3567" i="1"/>
  <c r="K3683" i="1"/>
  <c r="L3683" i="1"/>
  <c r="K5059" i="1"/>
  <c r="L5059" i="1"/>
  <c r="K4392" i="1"/>
  <c r="L4392" i="1"/>
  <c r="K4829" i="1"/>
  <c r="L4829" i="1"/>
  <c r="K4612" i="1"/>
  <c r="L4612" i="1"/>
  <c r="K3225" i="1"/>
  <c r="L3225" i="1"/>
  <c r="K3167" i="1"/>
  <c r="L3167" i="1"/>
  <c r="K3997" i="1"/>
  <c r="L3997" i="1"/>
  <c r="K5216" i="1"/>
  <c r="L5216" i="1"/>
  <c r="K4669" i="1"/>
  <c r="L4669" i="1"/>
  <c r="K2495" i="1"/>
  <c r="L2495" i="1"/>
  <c r="K4539" i="1"/>
  <c r="L4539" i="1"/>
  <c r="K5263" i="1"/>
  <c r="L5263" i="1"/>
  <c r="K3469" i="1"/>
  <c r="L3469" i="1"/>
  <c r="K4497" i="1"/>
  <c r="L4497" i="1"/>
  <c r="K4405" i="1"/>
  <c r="L4405" i="1"/>
  <c r="K4983" i="1"/>
  <c r="L4983" i="1"/>
  <c r="K2597" i="1"/>
  <c r="L2597" i="1"/>
  <c r="K2528" i="1"/>
  <c r="L2528" i="1"/>
  <c r="K3246" i="1"/>
  <c r="L3246" i="1"/>
  <c r="K2526" i="1"/>
  <c r="L2526" i="1"/>
  <c r="K4319" i="1"/>
  <c r="L4319" i="1"/>
  <c r="K5104" i="1"/>
  <c r="L5104" i="1"/>
  <c r="K5113" i="1"/>
  <c r="L5113" i="1"/>
  <c r="K2680" i="1"/>
  <c r="L2680" i="1"/>
  <c r="K5438" i="1"/>
  <c r="L5438" i="1"/>
  <c r="K2390" i="1"/>
  <c r="L2390" i="1"/>
  <c r="K4923" i="1"/>
  <c r="L4923" i="1"/>
  <c r="K4967" i="1"/>
  <c r="L4967" i="1"/>
  <c r="K3275" i="1"/>
  <c r="L3275" i="1"/>
  <c r="K5352" i="1"/>
  <c r="L5352" i="1"/>
  <c r="K2972" i="1"/>
  <c r="L2972" i="1"/>
  <c r="K4789" i="1"/>
  <c r="L4789" i="1"/>
  <c r="K4191" i="1"/>
  <c r="L4191" i="1"/>
  <c r="K4184" i="1"/>
  <c r="L4184" i="1"/>
  <c r="K3852" i="1"/>
  <c r="L3852" i="1"/>
  <c r="K2677" i="1"/>
  <c r="L2677" i="1"/>
  <c r="K3223" i="1"/>
  <c r="L3223" i="1"/>
  <c r="K5576" i="1"/>
  <c r="L5576" i="1"/>
  <c r="K5176" i="1"/>
  <c r="L5176" i="1"/>
  <c r="K4311" i="1"/>
  <c r="L4311" i="1"/>
  <c r="K2606" i="1"/>
  <c r="L2606" i="1"/>
  <c r="K3390" i="1"/>
  <c r="L3390" i="1"/>
  <c r="K2429" i="1"/>
  <c r="L2429" i="1"/>
  <c r="K2938" i="1"/>
  <c r="L2938" i="1"/>
  <c r="K2461" i="1"/>
  <c r="L2461" i="1"/>
  <c r="K2899" i="1"/>
  <c r="L2899" i="1"/>
  <c r="K3550" i="1"/>
  <c r="L3550" i="1"/>
  <c r="K5306" i="1"/>
  <c r="L5306" i="1"/>
  <c r="K3177" i="1"/>
  <c r="L3177" i="1"/>
  <c r="K2613" i="1"/>
  <c r="L2613" i="1"/>
  <c r="K2536" i="1"/>
  <c r="L2536" i="1"/>
  <c r="K5440" i="1"/>
  <c r="L5440" i="1"/>
  <c r="K2747" i="1"/>
  <c r="L2747" i="1"/>
  <c r="K5418" i="1"/>
  <c r="L5418" i="1"/>
  <c r="K4942" i="1"/>
  <c r="L4942" i="1"/>
  <c r="K3193" i="1"/>
  <c r="L3193" i="1"/>
  <c r="K4515" i="1"/>
  <c r="L4515" i="1"/>
  <c r="K2414" i="1"/>
  <c r="L2414" i="1"/>
  <c r="K2396" i="1"/>
  <c r="L2396" i="1"/>
  <c r="K2670" i="1"/>
  <c r="L2670" i="1"/>
  <c r="K5425" i="1"/>
  <c r="L5425" i="1"/>
  <c r="K5281" i="1"/>
  <c r="L5281" i="1"/>
  <c r="K5510" i="1"/>
  <c r="L5510" i="1"/>
  <c r="K3252" i="1"/>
  <c r="L3252" i="1"/>
  <c r="K4416" i="1"/>
  <c r="L4416" i="1"/>
  <c r="K4735" i="1"/>
  <c r="L4735" i="1"/>
  <c r="K4770" i="1"/>
  <c r="L4770" i="1"/>
  <c r="K4707" i="1"/>
  <c r="L4707" i="1"/>
  <c r="K5060" i="1"/>
  <c r="L5060" i="1"/>
  <c r="K3615" i="1"/>
  <c r="L3615" i="1"/>
  <c r="K3692" i="1"/>
  <c r="L3692" i="1"/>
  <c r="K5587" i="1"/>
  <c r="L5587" i="1"/>
  <c r="K5599" i="1"/>
  <c r="L5599" i="1"/>
  <c r="K2988" i="1"/>
  <c r="L2988" i="1"/>
  <c r="K5350" i="1"/>
  <c r="L5350" i="1"/>
  <c r="K4413" i="1"/>
  <c r="L4413" i="1"/>
  <c r="K5153" i="1"/>
  <c r="L5153" i="1"/>
  <c r="K3283" i="1"/>
  <c r="L3283" i="1"/>
  <c r="K4253" i="1"/>
  <c r="L4253" i="1"/>
  <c r="K3666" i="1"/>
  <c r="L3666" i="1"/>
  <c r="K3849" i="1"/>
  <c r="L3849" i="1"/>
  <c r="K5402" i="1"/>
  <c r="L5402" i="1"/>
  <c r="K4543" i="1"/>
  <c r="L4543" i="1"/>
  <c r="K4542" i="1"/>
  <c r="L4542" i="1"/>
  <c r="K2882" i="1"/>
  <c r="L2882" i="1"/>
  <c r="K2751" i="1"/>
  <c r="L2751" i="1"/>
  <c r="K4918" i="1"/>
  <c r="L4918" i="1"/>
  <c r="K3463" i="1"/>
  <c r="L3463" i="1"/>
  <c r="K3922" i="1"/>
  <c r="L3922" i="1"/>
  <c r="K5123" i="1"/>
  <c r="L5123" i="1"/>
  <c r="K3751" i="1"/>
  <c r="L3751" i="1"/>
  <c r="K4262" i="1"/>
  <c r="L4262" i="1"/>
  <c r="K3680" i="1"/>
  <c r="L3680" i="1"/>
  <c r="K5194" i="1"/>
  <c r="L5194" i="1"/>
  <c r="K4952" i="1"/>
  <c r="L4952" i="1"/>
  <c r="K2962" i="1"/>
  <c r="L2962" i="1"/>
  <c r="K2949" i="1"/>
  <c r="L2949" i="1"/>
  <c r="K5422" i="1"/>
  <c r="L5422" i="1"/>
  <c r="K2773" i="1"/>
  <c r="L2773" i="1"/>
  <c r="K4006" i="1"/>
  <c r="L4006" i="1"/>
  <c r="K4047" i="1"/>
  <c r="L4047" i="1"/>
  <c r="K5309" i="1"/>
  <c r="L5309" i="1"/>
  <c r="K5218" i="1"/>
  <c r="L5218" i="1"/>
  <c r="K5131" i="1"/>
  <c r="L5131" i="1"/>
  <c r="K3576" i="1"/>
  <c r="L3576" i="1"/>
  <c r="K2431" i="1"/>
  <c r="L2431" i="1"/>
  <c r="K3209" i="1"/>
  <c r="L3209" i="1"/>
  <c r="K5522" i="1"/>
  <c r="L5522" i="1"/>
  <c r="K3516" i="1"/>
  <c r="L3516" i="1"/>
  <c r="K3188" i="1"/>
  <c r="L3188" i="1"/>
  <c r="K3957" i="1"/>
  <c r="L3957" i="1"/>
  <c r="K4301" i="1"/>
  <c r="L4301" i="1"/>
  <c r="K3213" i="1"/>
  <c r="L3213" i="1"/>
  <c r="K3518" i="1"/>
  <c r="L3518" i="1"/>
  <c r="K3705" i="1"/>
  <c r="L3705" i="1"/>
  <c r="K2794" i="1"/>
  <c r="L2794" i="1"/>
  <c r="K3780" i="1"/>
  <c r="L3780" i="1"/>
  <c r="K3341" i="1"/>
  <c r="L3341" i="1"/>
  <c r="K2503" i="1"/>
  <c r="L2503" i="1"/>
  <c r="K3011" i="1"/>
  <c r="L3011" i="1"/>
  <c r="K4028" i="1"/>
  <c r="L4028" i="1"/>
  <c r="K4732" i="1"/>
  <c r="L4732" i="1"/>
  <c r="K5329" i="1"/>
  <c r="L5329" i="1"/>
  <c r="K2781" i="1"/>
  <c r="L2781" i="1"/>
  <c r="K5107" i="1"/>
  <c r="L5107" i="1"/>
  <c r="K5208" i="1"/>
  <c r="L5208" i="1"/>
  <c r="K3541" i="1"/>
  <c r="L3541" i="1"/>
  <c r="K2674" i="1"/>
  <c r="L2674" i="1"/>
  <c r="K4593" i="1"/>
  <c r="L4593" i="1"/>
  <c r="K3889" i="1"/>
  <c r="L3889" i="1"/>
  <c r="K3855" i="1"/>
  <c r="L3855" i="1"/>
  <c r="K3120" i="1"/>
  <c r="L3120" i="1"/>
  <c r="K5292" i="1"/>
  <c r="L5292" i="1"/>
  <c r="K3892" i="1"/>
  <c r="L3892" i="1"/>
  <c r="K3900" i="1"/>
  <c r="L3900" i="1"/>
  <c r="K4370" i="1"/>
  <c r="L4370" i="1"/>
  <c r="K3476" i="1"/>
  <c r="L3476" i="1"/>
  <c r="K2389" i="1"/>
  <c r="L2389" i="1"/>
  <c r="K2814" i="1"/>
  <c r="L2814" i="1"/>
  <c r="K3334" i="1"/>
  <c r="L3334" i="1"/>
  <c r="K3720" i="1"/>
  <c r="L3720" i="1"/>
  <c r="K2382" i="1"/>
  <c r="L2382" i="1"/>
  <c r="K2957" i="1"/>
  <c r="L2957" i="1"/>
  <c r="K2576" i="1"/>
  <c r="L2576" i="1"/>
  <c r="K5122" i="1"/>
  <c r="L5122" i="1"/>
  <c r="K3950" i="1"/>
  <c r="L3950" i="1"/>
  <c r="K5215" i="1"/>
  <c r="L5215" i="1"/>
  <c r="K2723" i="1"/>
  <c r="L2723" i="1"/>
  <c r="K3776" i="1"/>
  <c r="L3776" i="1"/>
  <c r="K2872" i="1"/>
  <c r="L2872" i="1"/>
  <c r="K5397" i="1"/>
  <c r="L5397" i="1"/>
  <c r="K3026" i="1"/>
  <c r="L3026" i="1"/>
  <c r="K3342" i="1"/>
  <c r="L3342" i="1"/>
  <c r="K3700" i="1"/>
  <c r="L3700" i="1"/>
  <c r="K4345" i="1"/>
  <c r="L4345" i="1"/>
  <c r="K5082" i="1"/>
  <c r="L5082" i="1"/>
  <c r="K5195" i="1"/>
  <c r="L5195" i="1"/>
  <c r="K5087" i="1"/>
  <c r="L5087" i="1"/>
  <c r="K4979" i="1"/>
  <c r="L4979" i="1"/>
  <c r="K5343" i="1"/>
  <c r="L5343" i="1"/>
  <c r="K4100" i="1"/>
  <c r="L4100" i="1"/>
  <c r="K5492" i="1"/>
  <c r="L5492" i="1"/>
  <c r="K2704" i="1"/>
  <c r="L2704" i="1"/>
  <c r="K2989" i="1"/>
  <c r="L2989" i="1"/>
  <c r="K3650" i="1"/>
  <c r="L3650" i="1"/>
  <c r="K3906" i="1"/>
  <c r="L3906" i="1"/>
  <c r="K2490" i="1"/>
  <c r="L2490" i="1"/>
  <c r="K3740" i="1"/>
  <c r="L3740" i="1"/>
  <c r="K4237" i="1"/>
  <c r="L4237" i="1"/>
  <c r="K3405" i="1"/>
  <c r="L3405" i="1"/>
  <c r="K3784" i="1"/>
  <c r="L3784" i="1"/>
  <c r="K2620" i="1"/>
  <c r="L2620" i="1"/>
  <c r="K3933" i="1"/>
  <c r="L3933" i="1"/>
  <c r="K4125" i="1"/>
  <c r="L4125" i="1"/>
  <c r="K4990" i="1"/>
  <c r="L4990" i="1"/>
  <c r="K2591" i="1"/>
  <c r="L2591" i="1"/>
  <c r="K4372" i="1"/>
  <c r="L4372" i="1"/>
  <c r="K4783" i="1"/>
  <c r="L4783" i="1"/>
  <c r="K4482" i="1"/>
  <c r="L4482" i="1"/>
  <c r="K5132" i="1"/>
  <c r="L5132" i="1"/>
  <c r="K3357" i="1"/>
  <c r="L3357" i="1"/>
  <c r="K3237" i="1"/>
  <c r="L3237" i="1"/>
  <c r="K4033" i="1"/>
  <c r="L4033" i="1"/>
  <c r="K4391" i="1"/>
  <c r="L4391" i="1"/>
  <c r="K2713" i="1"/>
  <c r="L2713" i="1"/>
  <c r="K3940" i="1"/>
  <c r="L3940" i="1"/>
  <c r="K4339" i="1"/>
  <c r="L4339" i="1"/>
  <c r="K3695" i="1"/>
  <c r="L3695" i="1"/>
  <c r="K2380" i="1"/>
  <c r="L2380" i="1"/>
  <c r="K3333" i="1"/>
  <c r="L3333" i="1"/>
  <c r="K4282" i="1"/>
  <c r="L4282" i="1"/>
  <c r="K3247" i="1"/>
  <c r="L3247" i="1"/>
  <c r="K2617" i="1"/>
  <c r="L2617" i="1"/>
  <c r="K3993" i="1"/>
  <c r="L3993" i="1"/>
  <c r="K3598" i="1"/>
  <c r="L3598" i="1"/>
  <c r="K4684" i="1"/>
  <c r="L4684" i="1"/>
  <c r="K3028" i="1"/>
  <c r="L3028" i="1"/>
  <c r="K4269" i="1"/>
  <c r="L4269" i="1"/>
  <c r="K5210" i="1"/>
  <c r="L5210" i="1"/>
  <c r="K5482" i="1"/>
  <c r="L5482" i="1"/>
  <c r="K5051" i="1"/>
  <c r="L5051" i="1"/>
  <c r="K4890" i="1"/>
  <c r="L4890" i="1"/>
  <c r="K4208" i="1"/>
  <c r="L4208" i="1"/>
  <c r="K3513" i="1"/>
  <c r="L3513" i="1"/>
  <c r="K4916" i="1"/>
  <c r="L4916" i="1"/>
  <c r="K3307" i="1"/>
  <c r="L3307" i="1"/>
  <c r="K2579" i="1"/>
  <c r="L2579" i="1"/>
  <c r="K3071" i="1"/>
  <c r="L3071" i="1"/>
  <c r="K4397" i="1"/>
  <c r="L4397" i="1"/>
  <c r="K2839" i="1"/>
  <c r="L2839" i="1"/>
  <c r="K3301" i="1"/>
  <c r="L3301" i="1"/>
  <c r="K3036" i="1"/>
  <c r="L3036" i="1"/>
  <c r="K4726" i="1"/>
  <c r="L4726" i="1"/>
  <c r="K4144" i="1"/>
  <c r="L4144" i="1"/>
  <c r="K2515" i="1"/>
  <c r="L2515" i="1"/>
  <c r="K5047" i="1"/>
  <c r="L5047" i="1"/>
  <c r="K3613" i="1"/>
  <c r="L3613" i="1"/>
  <c r="K5560" i="1"/>
  <c r="L5560" i="1"/>
  <c r="K4857" i="1"/>
  <c r="L4857" i="1"/>
  <c r="K4579" i="1"/>
  <c r="L4579" i="1"/>
  <c r="K3952" i="1"/>
  <c r="L3952" i="1"/>
  <c r="K5204" i="1"/>
  <c r="L5204" i="1"/>
  <c r="K4833" i="1"/>
  <c r="L4833" i="1"/>
  <c r="K3879" i="1"/>
  <c r="L3879" i="1"/>
  <c r="K4775" i="1"/>
  <c r="L4775" i="1"/>
  <c r="K3064" i="1"/>
  <c r="L3064" i="1"/>
  <c r="K2359" i="1"/>
  <c r="L2359" i="1"/>
  <c r="K2388" i="1"/>
  <c r="L2388" i="1"/>
  <c r="K4692" i="1"/>
  <c r="L4692" i="1"/>
  <c r="K4141" i="1"/>
  <c r="L4141" i="1"/>
  <c r="K2538" i="1"/>
  <c r="L2538" i="1"/>
  <c r="K4129" i="1"/>
  <c r="L4129" i="1"/>
  <c r="K3328" i="1"/>
  <c r="L3328" i="1"/>
  <c r="K4838" i="1"/>
  <c r="L4838" i="1"/>
  <c r="K3043" i="1"/>
  <c r="L3043" i="1"/>
  <c r="K4519" i="1"/>
  <c r="L4519" i="1"/>
  <c r="K4762" i="1"/>
  <c r="L4762" i="1"/>
  <c r="K5496" i="1"/>
  <c r="L5496" i="1"/>
  <c r="K3418" i="1"/>
  <c r="L3418" i="1"/>
  <c r="K5077" i="1"/>
  <c r="L5077" i="1"/>
  <c r="K3009" i="1"/>
  <c r="L3009" i="1"/>
  <c r="K4502" i="1"/>
  <c r="L4502" i="1"/>
  <c r="K2886" i="1"/>
  <c r="L2886" i="1"/>
  <c r="K4403" i="1"/>
  <c r="L4403" i="1"/>
  <c r="K3959" i="1"/>
  <c r="L3959" i="1"/>
  <c r="K3619" i="1"/>
  <c r="L3619" i="1"/>
  <c r="K4287" i="1"/>
  <c r="L4287" i="1"/>
  <c r="K2858" i="1"/>
  <c r="L2858" i="1"/>
  <c r="K4147" i="1"/>
  <c r="L4147" i="1"/>
  <c r="K4844" i="1"/>
  <c r="L4844" i="1"/>
  <c r="K3748" i="1"/>
  <c r="L3748" i="1"/>
  <c r="K4358" i="1"/>
  <c r="L4358" i="1"/>
  <c r="K2851" i="1"/>
  <c r="L2851" i="1"/>
  <c r="K4167" i="1"/>
  <c r="L4167" i="1"/>
  <c r="K2693" i="1"/>
  <c r="L2693" i="1"/>
  <c r="K3062" i="1"/>
  <c r="L3062" i="1"/>
  <c r="K5365" i="1"/>
  <c r="L5365" i="1"/>
  <c r="K4631" i="1"/>
  <c r="L4631" i="1"/>
  <c r="K4252" i="1"/>
  <c r="L4252" i="1"/>
  <c r="K3556" i="1"/>
  <c r="L3556" i="1"/>
  <c r="K2366" i="1"/>
  <c r="L2366" i="1"/>
  <c r="K4331" i="1"/>
  <c r="L4331" i="1"/>
  <c r="K5473" i="1"/>
  <c r="L5473" i="1"/>
  <c r="K4318" i="1"/>
  <c r="L4318" i="1"/>
  <c r="K4194" i="1"/>
  <c r="L4194" i="1"/>
  <c r="K3298" i="1"/>
  <c r="L3298" i="1"/>
  <c r="K3758" i="1"/>
  <c r="L3758" i="1"/>
  <c r="K2651" i="1"/>
  <c r="L2651" i="1"/>
  <c r="K3976" i="1"/>
  <c r="L3976" i="1"/>
  <c r="K5085" i="1"/>
  <c r="L5085" i="1"/>
  <c r="K5581" i="1"/>
  <c r="L5581" i="1"/>
  <c r="K3733" i="1"/>
  <c r="L3733" i="1"/>
  <c r="K3986" i="1"/>
  <c r="L3986" i="1"/>
  <c r="K3004" i="1"/>
  <c r="L3004" i="1"/>
  <c r="K3330" i="1"/>
  <c r="L3330" i="1"/>
  <c r="K2572" i="1"/>
  <c r="L2572" i="1"/>
  <c r="K3057" i="1"/>
  <c r="L3057" i="1"/>
  <c r="K5238" i="1"/>
  <c r="L5238" i="1"/>
  <c r="K3238" i="1"/>
  <c r="L3238" i="1"/>
  <c r="K3127" i="1"/>
  <c r="L3127" i="1"/>
  <c r="K3936" i="1"/>
  <c r="L3936" i="1"/>
  <c r="K2823" i="1"/>
  <c r="L2823" i="1"/>
  <c r="K4410" i="1"/>
  <c r="L4410" i="1"/>
  <c r="K3738" i="1"/>
  <c r="L3738" i="1"/>
  <c r="K2861" i="1"/>
  <c r="L2861" i="1"/>
  <c r="K3629" i="1"/>
  <c r="L3629" i="1"/>
  <c r="K4091" i="1"/>
  <c r="L4091" i="1"/>
  <c r="K3756" i="1"/>
  <c r="L3756" i="1"/>
  <c r="K4971" i="1"/>
  <c r="L4971" i="1"/>
  <c r="K5175" i="1"/>
  <c r="L5175" i="1"/>
  <c r="K2770" i="1"/>
  <c r="L2770" i="1"/>
  <c r="K4786" i="1"/>
  <c r="L4786" i="1"/>
  <c r="K2692" i="1"/>
  <c r="L2692" i="1"/>
  <c r="K5184" i="1"/>
  <c r="L5184" i="1"/>
  <c r="K2604" i="1"/>
  <c r="L2604" i="1"/>
  <c r="K2834" i="1"/>
  <c r="L2834" i="1"/>
  <c r="K4077" i="1"/>
  <c r="L4077" i="1"/>
  <c r="K2432" i="1"/>
  <c r="L2432" i="1"/>
  <c r="K2484" i="1"/>
  <c r="L2484" i="1"/>
  <c r="K4891" i="1"/>
  <c r="L4891" i="1"/>
  <c r="K5220" i="1"/>
  <c r="L5220" i="1"/>
  <c r="K3596" i="1"/>
  <c r="L3596" i="1"/>
  <c r="K2529" i="1"/>
  <c r="L2529" i="1"/>
  <c r="K4508" i="1"/>
  <c r="L4508" i="1"/>
  <c r="K4292" i="1"/>
  <c r="L4292" i="1"/>
  <c r="K2867" i="1"/>
  <c r="L2867" i="1"/>
  <c r="K4794" i="1"/>
  <c r="L4794" i="1"/>
  <c r="K2543" i="1"/>
  <c r="L2543" i="1"/>
  <c r="K2682" i="1"/>
  <c r="L2682" i="1"/>
  <c r="K3380" i="1"/>
  <c r="L3380" i="1"/>
  <c r="K3498" i="1"/>
  <c r="L3498" i="1"/>
  <c r="K3540" i="1"/>
  <c r="L3540" i="1"/>
  <c r="K3829" i="1"/>
  <c r="L3829" i="1"/>
  <c r="K5106" i="1"/>
  <c r="L5106" i="1"/>
  <c r="K3350" i="1"/>
  <c r="L3350" i="1"/>
  <c r="K4847" i="1"/>
  <c r="L4847" i="1"/>
  <c r="K2776" i="1"/>
  <c r="L2776" i="1"/>
  <c r="K2475" i="1"/>
  <c r="L2475" i="1"/>
  <c r="K3574" i="1"/>
  <c r="L3574" i="1"/>
  <c r="K4633" i="1"/>
  <c r="L4633" i="1"/>
  <c r="K4364" i="1"/>
  <c r="L4364" i="1"/>
  <c r="K4652" i="1"/>
  <c r="L4652" i="1"/>
  <c r="K3189" i="1"/>
  <c r="L3189" i="1"/>
  <c r="K3593" i="1"/>
  <c r="L3593" i="1"/>
  <c r="K4289" i="1"/>
  <c r="L4289" i="1"/>
  <c r="K4278" i="1"/>
  <c r="L4278" i="1"/>
  <c r="K5594" i="1"/>
  <c r="L5594" i="1"/>
  <c r="K3838" i="1"/>
  <c r="L3838" i="1"/>
  <c r="K4902" i="1"/>
  <c r="L4902" i="1"/>
  <c r="K3195" i="1"/>
  <c r="L3195" i="1"/>
  <c r="K5083" i="1"/>
  <c r="L5083" i="1"/>
  <c r="K4451" i="1"/>
  <c r="L4451" i="1"/>
  <c r="K4442" i="1"/>
  <c r="L4442" i="1"/>
  <c r="K4304" i="1"/>
  <c r="L4304" i="1"/>
  <c r="K3522" i="1"/>
  <c r="L3522" i="1"/>
  <c r="K2644" i="1"/>
  <c r="L2644" i="1"/>
  <c r="K4425" i="1"/>
  <c r="L4425" i="1"/>
  <c r="K3241" i="1"/>
  <c r="L3241" i="1"/>
  <c r="K5312" i="1"/>
  <c r="L5312" i="1"/>
  <c r="K2878" i="1"/>
  <c r="L2878" i="1"/>
  <c r="K4591" i="1"/>
  <c r="L4591" i="1"/>
  <c r="K2493" i="1"/>
  <c r="L2493" i="1"/>
  <c r="K4604" i="1"/>
  <c r="L4604" i="1"/>
  <c r="K4547" i="1"/>
  <c r="L4547" i="1"/>
  <c r="K2480" i="1"/>
  <c r="L2480" i="1"/>
  <c r="K5516" i="1"/>
  <c r="L5516" i="1"/>
  <c r="K2377" i="1"/>
  <c r="L2377" i="1"/>
  <c r="K4749" i="1"/>
  <c r="L4749" i="1"/>
  <c r="K4385" i="1"/>
  <c r="L4385" i="1"/>
  <c r="K4573" i="1"/>
  <c r="L4573" i="1"/>
  <c r="K3411" i="1"/>
  <c r="L3411" i="1"/>
  <c r="K5009" i="1"/>
  <c r="L5009" i="1"/>
  <c r="K2406" i="1"/>
  <c r="L2406" i="1"/>
  <c r="K3990" i="1"/>
  <c r="L3990" i="1"/>
  <c r="K3052" i="1"/>
  <c r="L3052" i="1"/>
  <c r="K3273" i="1"/>
  <c r="L3273" i="1"/>
  <c r="K4195" i="1"/>
  <c r="L4195" i="1"/>
  <c r="K4970" i="1"/>
  <c r="L4970" i="1"/>
  <c r="K3287" i="1"/>
  <c r="L3287" i="1"/>
  <c r="K3542" i="1"/>
  <c r="L3542" i="1"/>
  <c r="K3066" i="1"/>
  <c r="L3066" i="1"/>
  <c r="K3108" i="1"/>
  <c r="L3108" i="1"/>
  <c r="K2457" i="1"/>
  <c r="L2457" i="1"/>
  <c r="K5470" i="1"/>
  <c r="L5470" i="1"/>
  <c r="K2400" i="1"/>
  <c r="L2400" i="1"/>
  <c r="K4124" i="1"/>
  <c r="L4124" i="1"/>
  <c r="K3835" i="1"/>
  <c r="L3835" i="1"/>
  <c r="K3184" i="1"/>
  <c r="L3184" i="1"/>
  <c r="K4711" i="1"/>
  <c r="L4711" i="1"/>
  <c r="K2671" i="1"/>
  <c r="L2671" i="1"/>
  <c r="K5490" i="1"/>
  <c r="L5490" i="1"/>
  <c r="K3608" i="1"/>
  <c r="L3608" i="1"/>
  <c r="K2630" i="1"/>
  <c r="L2630" i="1"/>
  <c r="K4128" i="1"/>
  <c r="L4128" i="1"/>
  <c r="K4313" i="1"/>
  <c r="L4313" i="1"/>
  <c r="K5108" i="1"/>
  <c r="L5108" i="1"/>
  <c r="K2815" i="1"/>
  <c r="L2815" i="1"/>
  <c r="K5401" i="1"/>
  <c r="L5401" i="1"/>
  <c r="K2915" i="1"/>
  <c r="L2915" i="1"/>
  <c r="K4800" i="1"/>
  <c r="L4800" i="1"/>
  <c r="K3929" i="1"/>
  <c r="L3929" i="1"/>
  <c r="K2566" i="1"/>
  <c r="L2566" i="1"/>
  <c r="K5130" i="1"/>
  <c r="L5130" i="1"/>
  <c r="K4211" i="1"/>
  <c r="L4211" i="1"/>
  <c r="K4917" i="1"/>
  <c r="L4917" i="1"/>
  <c r="K3786" i="1"/>
  <c r="L3786" i="1"/>
  <c r="K3742" i="1"/>
  <c r="L3742" i="1"/>
  <c r="K4658" i="1"/>
  <c r="L4658" i="1"/>
  <c r="K4231" i="1"/>
  <c r="L4231" i="1"/>
  <c r="K3768" i="1"/>
  <c r="L3768" i="1"/>
  <c r="K5288" i="1"/>
  <c r="L5288" i="1"/>
  <c r="K4314" i="1"/>
  <c r="L4314" i="1"/>
  <c r="K3578" i="1"/>
  <c r="L3578" i="1"/>
  <c r="K5345" i="1"/>
  <c r="L5345" i="1"/>
  <c r="K3966" i="1"/>
  <c r="L3966" i="1"/>
  <c r="K3579" i="1"/>
  <c r="L3579" i="1"/>
  <c r="K2401" i="1"/>
  <c r="L2401" i="1"/>
  <c r="K4901" i="1"/>
  <c r="L4901" i="1"/>
  <c r="K2505" i="1"/>
  <c r="L2505" i="1"/>
  <c r="K4457" i="1"/>
  <c r="L4457" i="1"/>
  <c r="K5501" i="1"/>
  <c r="L5501" i="1"/>
  <c r="K3403" i="1"/>
  <c r="L3403" i="1"/>
  <c r="K4395" i="1"/>
  <c r="L4395" i="1"/>
  <c r="K4493" i="1"/>
  <c r="L4493" i="1"/>
  <c r="K5518" i="1"/>
  <c r="L5518" i="1"/>
  <c r="K3306" i="1"/>
  <c r="L3306" i="1"/>
  <c r="K3831" i="1"/>
  <c r="L3831" i="1"/>
  <c r="K4622" i="1"/>
  <c r="L4622" i="1"/>
  <c r="K2423" i="1"/>
  <c r="L2423" i="1"/>
  <c r="K5574" i="1"/>
  <c r="L5574" i="1"/>
  <c r="K2684" i="1"/>
  <c r="L2684" i="1"/>
  <c r="K4536" i="1"/>
  <c r="L4536" i="1"/>
  <c r="K5412" i="1"/>
  <c r="L5412" i="1"/>
  <c r="K4537" i="1"/>
  <c r="L4537" i="1"/>
  <c r="K4088" i="1"/>
  <c r="L4088" i="1"/>
  <c r="K5370" i="1"/>
  <c r="L5370" i="1"/>
  <c r="K3271" i="1"/>
  <c r="L3271" i="1"/>
  <c r="K3018" i="1"/>
  <c r="L3018" i="1"/>
  <c r="K5362" i="1"/>
  <c r="L5362" i="1"/>
  <c r="K4371" i="1"/>
  <c r="L4371" i="1"/>
  <c r="K4132" i="1"/>
  <c r="L4132" i="1"/>
  <c r="K2492" i="1"/>
  <c r="L2492" i="1"/>
  <c r="K2845" i="1"/>
  <c r="L2845" i="1"/>
  <c r="K3846" i="1"/>
  <c r="L3846" i="1"/>
  <c r="K3734" i="1"/>
  <c r="L3734" i="1"/>
  <c r="K3047" i="1"/>
  <c r="L3047" i="1"/>
  <c r="K5531" i="1"/>
  <c r="L5531" i="1"/>
  <c r="K2384" i="1"/>
  <c r="L2384" i="1"/>
  <c r="K5590" i="1"/>
  <c r="L5590" i="1"/>
  <c r="K5105" i="1"/>
  <c r="L5105" i="1"/>
  <c r="K2913" i="1"/>
  <c r="L2913" i="1"/>
  <c r="K5326" i="1"/>
  <c r="L5326" i="1"/>
  <c r="K5044" i="1"/>
  <c r="L5044" i="1"/>
  <c r="K4887" i="1"/>
  <c r="L4887" i="1"/>
  <c r="K5486" i="1"/>
  <c r="L5486" i="1"/>
  <c r="K3607" i="1"/>
  <c r="L3607" i="1"/>
  <c r="K5145" i="1"/>
  <c r="L5145" i="1"/>
  <c r="K4736" i="1"/>
  <c r="L4736" i="1"/>
  <c r="K2625" i="1"/>
  <c r="L2625" i="1"/>
  <c r="K4305" i="1"/>
  <c r="L4305" i="1"/>
  <c r="K4315" i="1"/>
  <c r="L4315" i="1"/>
  <c r="K3972" i="1"/>
  <c r="L3972" i="1"/>
  <c r="K2876" i="1"/>
  <c r="L2876" i="1"/>
  <c r="K4896" i="1"/>
  <c r="L4896" i="1"/>
  <c r="K3771" i="1"/>
  <c r="L3771" i="1"/>
  <c r="K4310" i="1"/>
  <c r="L4310" i="1"/>
  <c r="K3774" i="1"/>
  <c r="L3774" i="1"/>
  <c r="K4347" i="1"/>
  <c r="L4347" i="1"/>
  <c r="K5466" i="1"/>
  <c r="L5466" i="1"/>
  <c r="K5517" i="1"/>
  <c r="L5517" i="1"/>
  <c r="K3069" i="1"/>
  <c r="L3069" i="1"/>
  <c r="K2946" i="1"/>
  <c r="L2946" i="1"/>
  <c r="K4044" i="1"/>
  <c r="L4044" i="1"/>
  <c r="K3724" i="1"/>
  <c r="L3724" i="1"/>
  <c r="K4243" i="1"/>
  <c r="L4243" i="1"/>
  <c r="K5013" i="1"/>
  <c r="L5013" i="1"/>
  <c r="K3386" i="1"/>
  <c r="L3386" i="1"/>
  <c r="K2768" i="1"/>
  <c r="L2768" i="1"/>
  <c r="K5001" i="1"/>
  <c r="L5001" i="1"/>
  <c r="K2959" i="1"/>
  <c r="L2959" i="1"/>
  <c r="K4724" i="1"/>
  <c r="L4724" i="1"/>
  <c r="K3992" i="1"/>
  <c r="L3992" i="1"/>
  <c r="K5294" i="1"/>
  <c r="L5294" i="1"/>
  <c r="K4344" i="1"/>
  <c r="L4344" i="1"/>
  <c r="K2763" i="1"/>
  <c r="L2763" i="1"/>
  <c r="K3320" i="1"/>
  <c r="L3320" i="1"/>
  <c r="K3101" i="1"/>
  <c r="L3101" i="1"/>
  <c r="K4183" i="1"/>
  <c r="L4183" i="1"/>
  <c r="K5228" i="1"/>
  <c r="L5228" i="1"/>
  <c r="K2600" i="1"/>
  <c r="L2600" i="1"/>
  <c r="K2585" i="1"/>
  <c r="L2585" i="1"/>
  <c r="K4022" i="1"/>
  <c r="L4022" i="1"/>
  <c r="K3805" i="1"/>
  <c r="L3805" i="1"/>
  <c r="K4443" i="1"/>
  <c r="L4443" i="1"/>
  <c r="K5266" i="1"/>
  <c r="L5266" i="1"/>
  <c r="K3845" i="1"/>
  <c r="L3845" i="1"/>
  <c r="K2596" i="1"/>
  <c r="L2596" i="1"/>
  <c r="K5115" i="1"/>
  <c r="L5115" i="1"/>
  <c r="K2912" i="1"/>
  <c r="L2912" i="1"/>
  <c r="K3149" i="1"/>
  <c r="L3149" i="1"/>
  <c r="K5230" i="1"/>
  <c r="L5230" i="1"/>
  <c r="K4863" i="1"/>
  <c r="L4863" i="1"/>
  <c r="K2452" i="1"/>
  <c r="L2452" i="1"/>
  <c r="K3269" i="1"/>
  <c r="L3269" i="1"/>
  <c r="K3397" i="1"/>
  <c r="L3397" i="1"/>
  <c r="K2879" i="1"/>
  <c r="L2879" i="1"/>
  <c r="K2945" i="1"/>
  <c r="L2945" i="1"/>
  <c r="K3507" i="1"/>
  <c r="L3507" i="1"/>
  <c r="K4188" i="1"/>
  <c r="L4188" i="1"/>
  <c r="K2524" i="1"/>
  <c r="L2524" i="1"/>
  <c r="K3807" i="1"/>
  <c r="L3807" i="1"/>
  <c r="K3388" i="1"/>
  <c r="L3388" i="1"/>
  <c r="K2836" i="1"/>
  <c r="L2836" i="1"/>
  <c r="K3421" i="1"/>
  <c r="L3421" i="1"/>
  <c r="K3631" i="1"/>
  <c r="L3631" i="1"/>
  <c r="K4982" i="1"/>
  <c r="L4982" i="1"/>
  <c r="K3723" i="1"/>
  <c r="L3723" i="1"/>
  <c r="K5143" i="1"/>
  <c r="L5143" i="1"/>
  <c r="K3089" i="1"/>
  <c r="L3089" i="1"/>
  <c r="K3360" i="1"/>
  <c r="L3360" i="1"/>
  <c r="K4026" i="1"/>
  <c r="L4026" i="1"/>
  <c r="K2510" i="1"/>
  <c r="L2510" i="1"/>
  <c r="K4227" i="1"/>
  <c r="L4227" i="1"/>
  <c r="K4426" i="1"/>
  <c r="L4426" i="1"/>
  <c r="K3882" i="1"/>
  <c r="L3882" i="1"/>
  <c r="K3447" i="1"/>
  <c r="L3447" i="1"/>
  <c r="K2846" i="1"/>
  <c r="L2846" i="1"/>
  <c r="K3604" i="1"/>
  <c r="L3604" i="1"/>
  <c r="K4779" i="1"/>
  <c r="L4779" i="1"/>
  <c r="K3741" i="1"/>
  <c r="L3741" i="1"/>
  <c r="K3035" i="1"/>
  <c r="L3035" i="1"/>
  <c r="K3881" i="1"/>
  <c r="L3881" i="1"/>
  <c r="K3651" i="1"/>
  <c r="L3651" i="1"/>
  <c r="K3558" i="1"/>
  <c r="L3558" i="1"/>
  <c r="K3898" i="1"/>
  <c r="L3898" i="1"/>
  <c r="K2361" i="1"/>
  <c r="L2361" i="1"/>
  <c r="K4239" i="1"/>
  <c r="L4239" i="1"/>
  <c r="K2742" i="1"/>
  <c r="L2742" i="1"/>
  <c r="K3732" i="1"/>
  <c r="L3732" i="1"/>
  <c r="K3433" i="1"/>
  <c r="L3433" i="1"/>
  <c r="K3691" i="1"/>
  <c r="L3691" i="1"/>
  <c r="K3245" i="1"/>
  <c r="L3245" i="1"/>
  <c r="K3523" i="1"/>
  <c r="L3523" i="1"/>
  <c r="K3859" i="1"/>
  <c r="L3859" i="1"/>
  <c r="K4089" i="1"/>
  <c r="L4089" i="1"/>
  <c r="K3104" i="1"/>
  <c r="L3104" i="1"/>
  <c r="K3689" i="1"/>
  <c r="L3689" i="1"/>
  <c r="K4664" i="1"/>
  <c r="L4664" i="1"/>
  <c r="K3587" i="1"/>
  <c r="L3587" i="1"/>
  <c r="K2494" i="1"/>
  <c r="L2494" i="1"/>
  <c r="K4592" i="1"/>
  <c r="L4592" i="1"/>
  <c r="K4784" i="1"/>
  <c r="L4784" i="1"/>
  <c r="K3580" i="1"/>
  <c r="L3580" i="1"/>
  <c r="K5032" i="1"/>
  <c r="L5032" i="1"/>
  <c r="K4808" i="1"/>
  <c r="L4808" i="1"/>
  <c r="K4207" i="1"/>
  <c r="L4207" i="1"/>
  <c r="K4828" i="1"/>
  <c r="L4828" i="1"/>
  <c r="K2570" i="1"/>
  <c r="L2570" i="1"/>
  <c r="K4582" i="1"/>
  <c r="L4582" i="1"/>
  <c r="K4250" i="1"/>
  <c r="L4250" i="1"/>
  <c r="K3031" i="1"/>
  <c r="L3031" i="1"/>
  <c r="K5027" i="1"/>
  <c r="L5027" i="1"/>
  <c r="K2956" i="1"/>
  <c r="L2956" i="1"/>
  <c r="K4933" i="1"/>
  <c r="L4933" i="1"/>
  <c r="K4449" i="1"/>
  <c r="L4449" i="1"/>
  <c r="K4687" i="1"/>
  <c r="L4687" i="1"/>
  <c r="K4045" i="1"/>
  <c r="L4045" i="1"/>
  <c r="K3930" i="1"/>
  <c r="L3930" i="1"/>
  <c r="K4836" i="1"/>
  <c r="L4836" i="1"/>
  <c r="K4163" i="1"/>
  <c r="L4163" i="1"/>
  <c r="K5006" i="1"/>
  <c r="L5006" i="1"/>
  <c r="K5188" i="1"/>
  <c r="L5188" i="1"/>
  <c r="K4720" i="1"/>
  <c r="L4720" i="1"/>
  <c r="K3164" i="1"/>
  <c r="L3164" i="1"/>
  <c r="K3142" i="1"/>
  <c r="L3142" i="1"/>
  <c r="K2885" i="1"/>
  <c r="L2885" i="1"/>
  <c r="K5575" i="1"/>
  <c r="L5575" i="1"/>
  <c r="K5236" i="1"/>
  <c r="L5236" i="1"/>
  <c r="K4019" i="1"/>
  <c r="L4019" i="1"/>
  <c r="K4079" i="1"/>
  <c r="L4079" i="1"/>
  <c r="K5274" i="1"/>
  <c r="L5274" i="1"/>
  <c r="K3359" i="1"/>
  <c r="L3359" i="1"/>
  <c r="K2944" i="1"/>
  <c r="L2944" i="1"/>
  <c r="K4107" i="1"/>
  <c r="L4107" i="1"/>
  <c r="K2889" i="1"/>
  <c r="L2889" i="1"/>
  <c r="K2456" i="1"/>
  <c r="L2456" i="1"/>
  <c r="K2658" i="1"/>
  <c r="L2658" i="1"/>
  <c r="K3427" i="1"/>
  <c r="L3427" i="1"/>
  <c r="K3745" i="1"/>
  <c r="L3745" i="1"/>
  <c r="K5323" i="1"/>
  <c r="L5323" i="1"/>
  <c r="K2580" i="1"/>
  <c r="L2580" i="1"/>
  <c r="K5295" i="1"/>
  <c r="L5295" i="1"/>
  <c r="K5304" i="1"/>
  <c r="L5304" i="1"/>
  <c r="K5420" i="1"/>
  <c r="L5420" i="1"/>
  <c r="K4928" i="1"/>
  <c r="L4928" i="1"/>
  <c r="K5241" i="1"/>
  <c r="L5241" i="1"/>
  <c r="K5062" i="1"/>
  <c r="L5062" i="1"/>
  <c r="K5276" i="1"/>
  <c r="L5276" i="1"/>
  <c r="K4980" i="1"/>
  <c r="L4980" i="1"/>
  <c r="K3956" i="1"/>
  <c r="L3956" i="1"/>
  <c r="K3727" i="1"/>
  <c r="L3727" i="1"/>
  <c r="K2951" i="1"/>
  <c r="L2951" i="1"/>
  <c r="K3989" i="1"/>
  <c r="L3989" i="1"/>
  <c r="K4584" i="1"/>
  <c r="L4584" i="1"/>
  <c r="K4686" i="1"/>
  <c r="L4686" i="1"/>
  <c r="K3872" i="1"/>
  <c r="L3872" i="1"/>
  <c r="K2703" i="1"/>
  <c r="L2703" i="1"/>
  <c r="K5532" i="1"/>
  <c r="L5532" i="1"/>
  <c r="K3338" i="1"/>
  <c r="L3338" i="1"/>
  <c r="K2372" i="1"/>
  <c r="L2372" i="1"/>
  <c r="K4728" i="1"/>
  <c r="L4728" i="1"/>
  <c r="K4760" i="1"/>
  <c r="L4760" i="1"/>
  <c r="K3490" i="1"/>
  <c r="L3490" i="1"/>
  <c r="K5357" i="1"/>
  <c r="L5357" i="1"/>
  <c r="K3109" i="1"/>
  <c r="L3109" i="1"/>
  <c r="K4514" i="1"/>
  <c r="L4514" i="1"/>
  <c r="K2935" i="1"/>
  <c r="L2935" i="1"/>
  <c r="K4729" i="1"/>
  <c r="L4729" i="1"/>
  <c r="K3495" i="1"/>
  <c r="L3495" i="1"/>
  <c r="K5526" i="1"/>
  <c r="L5526" i="1"/>
  <c r="K2567" i="1"/>
  <c r="L2567" i="1"/>
  <c r="K2793" i="1"/>
  <c r="L2793" i="1"/>
  <c r="K2698" i="1"/>
  <c r="L2698" i="1"/>
  <c r="K5211" i="1"/>
  <c r="L5211" i="1"/>
  <c r="K4657" i="1"/>
  <c r="L4657" i="1"/>
  <c r="K3451" i="1"/>
  <c r="L3451" i="1"/>
  <c r="K2765" i="1"/>
  <c r="L2765" i="1"/>
  <c r="K2831" i="1"/>
  <c r="L2831" i="1"/>
  <c r="K3439" i="1"/>
  <c r="L3439" i="1"/>
  <c r="K5025" i="1"/>
  <c r="L5025" i="1"/>
  <c r="K3417" i="1"/>
  <c r="L3417" i="1"/>
  <c r="K4671" i="1"/>
  <c r="L4671" i="1"/>
  <c r="K5327" i="1"/>
  <c r="L5327" i="1"/>
  <c r="K2771" i="1"/>
  <c r="L2771" i="1"/>
  <c r="K2955" i="1"/>
  <c r="L2955" i="1"/>
  <c r="K5162" i="1"/>
  <c r="L5162" i="1"/>
  <c r="K3224" i="1"/>
  <c r="L3224" i="1"/>
  <c r="K3192" i="1"/>
  <c r="L3192" i="1"/>
  <c r="K4974" i="1"/>
  <c r="L4974" i="1"/>
  <c r="K3907" i="1"/>
  <c r="L3907" i="1"/>
  <c r="K3181" i="1"/>
  <c r="L3181" i="1"/>
  <c r="K2975" i="1"/>
  <c r="L2975" i="1"/>
  <c r="K2999" i="1"/>
  <c r="L2999" i="1"/>
  <c r="K4798" i="1"/>
  <c r="L4798" i="1"/>
  <c r="K2820" i="1"/>
  <c r="L2820" i="1"/>
  <c r="K5029" i="1"/>
  <c r="L5029" i="1"/>
  <c r="K4136" i="1"/>
  <c r="L4136" i="1"/>
  <c r="K3327" i="1"/>
  <c r="L3327" i="1"/>
  <c r="K2884" i="1"/>
  <c r="L2884" i="1"/>
  <c r="K5225" i="1"/>
  <c r="L5225" i="1"/>
  <c r="K2783" i="1"/>
  <c r="L2783" i="1"/>
  <c r="K3535" i="1"/>
  <c r="L3535" i="1"/>
  <c r="K3499" i="1"/>
  <c r="L3499" i="1"/>
  <c r="K2795" i="1"/>
  <c r="L2795" i="1"/>
  <c r="K3103" i="1"/>
  <c r="L3103" i="1"/>
  <c r="K5396" i="1"/>
  <c r="L5396" i="1"/>
  <c r="K5040" i="1"/>
  <c r="L5040" i="1"/>
  <c r="K3130" i="1"/>
  <c r="L3130" i="1"/>
  <c r="K3762" i="1"/>
  <c r="L3762" i="1"/>
  <c r="K3562" i="1"/>
  <c r="L3562" i="1"/>
  <c r="K5320" i="1"/>
  <c r="L5320" i="1"/>
  <c r="K4212" i="1"/>
  <c r="L4212" i="1"/>
  <c r="K4590" i="1"/>
  <c r="L4590" i="1"/>
  <c r="K4520" i="1"/>
  <c r="L4520" i="1"/>
  <c r="K2635" i="1"/>
  <c r="L2635" i="1"/>
  <c r="K5284" i="1"/>
  <c r="L5284" i="1"/>
  <c r="K4214" i="1"/>
  <c r="L4214" i="1"/>
  <c r="K4065" i="1"/>
  <c r="L4065" i="1"/>
  <c r="K3234" i="1"/>
  <c r="L3234" i="1"/>
  <c r="K4485" i="1"/>
  <c r="L4485" i="1"/>
  <c r="K2790" i="1"/>
  <c r="L2790" i="1"/>
  <c r="K3016" i="1"/>
  <c r="L3016" i="1"/>
  <c r="K3087" i="1"/>
  <c r="L3087" i="1"/>
  <c r="K5151" i="1"/>
  <c r="L5151" i="1"/>
  <c r="K5469" i="1"/>
  <c r="L5469" i="1"/>
  <c r="K2828" i="1"/>
  <c r="L2828" i="1"/>
  <c r="K2724" i="1"/>
  <c r="L2724" i="1"/>
  <c r="K4513" i="1"/>
  <c r="L4513" i="1"/>
  <c r="K3473" i="1"/>
  <c r="L3473" i="1"/>
  <c r="K2668" i="1"/>
  <c r="L2668" i="1"/>
  <c r="K4969" i="1"/>
  <c r="L4969" i="1"/>
  <c r="K2634" i="1"/>
  <c r="L2634" i="1"/>
  <c r="K3874" i="1"/>
  <c r="L3874" i="1"/>
  <c r="K2500" i="1"/>
  <c r="L2500" i="1"/>
  <c r="K3053" i="1"/>
  <c r="L3053" i="1"/>
  <c r="K3232" i="1"/>
  <c r="L3232" i="1"/>
  <c r="K2632" i="1"/>
  <c r="L2632" i="1"/>
  <c r="K4682" i="1"/>
  <c r="L4682" i="1"/>
  <c r="K3459" i="1"/>
  <c r="L3459" i="1"/>
  <c r="K2629" i="1"/>
  <c r="L2629" i="1"/>
  <c r="K4947" i="1"/>
  <c r="L4947" i="1"/>
  <c r="K5310" i="1"/>
  <c r="L5310" i="1"/>
  <c r="K3739" i="1"/>
  <c r="L3739" i="1"/>
  <c r="K3642" i="1"/>
  <c r="L3642" i="1"/>
  <c r="K2416" i="1"/>
  <c r="L2416" i="1"/>
  <c r="K3126" i="1"/>
  <c r="L3126" i="1"/>
  <c r="K4115" i="1"/>
  <c r="L4115" i="1"/>
  <c r="K4346" i="1"/>
  <c r="L4346" i="1"/>
  <c r="K3871" i="1"/>
  <c r="L3871" i="1"/>
  <c r="K4306" i="1"/>
  <c r="L4306" i="1"/>
  <c r="K4247" i="1"/>
  <c r="L4247" i="1"/>
  <c r="K4352" i="1"/>
  <c r="L4352" i="1"/>
  <c r="K5264" i="1"/>
  <c r="L5264" i="1"/>
  <c r="K4038" i="1"/>
  <c r="L4038" i="1"/>
  <c r="K5197" i="1"/>
  <c r="L5197" i="1"/>
  <c r="K4545" i="1"/>
  <c r="L4545" i="1"/>
  <c r="K5262" i="1"/>
  <c r="L5262" i="1"/>
  <c r="K4218" i="1"/>
  <c r="L4218" i="1"/>
  <c r="K4594" i="1"/>
  <c r="L4594" i="1"/>
  <c r="K3999" i="1"/>
  <c r="L3999" i="1"/>
  <c r="K3537" i="1"/>
  <c r="L3537" i="1"/>
  <c r="K3461" i="1"/>
  <c r="L3461" i="1"/>
  <c r="K3795" i="1"/>
  <c r="L3795" i="1"/>
  <c r="K3139" i="1"/>
  <c r="L3139" i="1"/>
  <c r="K2646" i="1"/>
  <c r="L2646" i="1"/>
  <c r="K2615" i="1"/>
  <c r="L2615" i="1"/>
  <c r="K3857" i="1"/>
  <c r="L3857" i="1"/>
  <c r="K2508" i="1"/>
  <c r="L2508" i="1"/>
  <c r="K3793" i="1"/>
  <c r="L3793" i="1"/>
  <c r="K5416" i="1"/>
  <c r="L5416" i="1"/>
  <c r="K4530" i="1"/>
  <c r="L4530" i="1"/>
  <c r="K4004" i="1"/>
  <c r="L4004" i="1"/>
  <c r="K4135" i="1"/>
  <c r="L4135" i="1"/>
  <c r="K4510" i="1"/>
  <c r="L4510" i="1"/>
  <c r="K4566" i="1"/>
  <c r="L4566" i="1"/>
  <c r="K4303" i="1"/>
  <c r="L4303" i="1"/>
  <c r="K4240" i="1"/>
  <c r="L4240" i="1"/>
  <c r="K4785" i="1"/>
  <c r="L4785" i="1"/>
  <c r="K5046" i="1"/>
  <c r="L5046" i="1"/>
  <c r="K4839" i="1"/>
  <c r="L4839" i="1"/>
  <c r="K4030" i="1"/>
  <c r="L4030" i="1"/>
  <c r="K3045" i="1"/>
  <c r="L3045" i="1"/>
  <c r="K4713" i="1"/>
  <c r="L4713" i="1"/>
  <c r="K4293" i="1"/>
  <c r="L4293" i="1"/>
  <c r="K3932" i="1"/>
  <c r="L3932" i="1"/>
  <c r="K4503" i="1"/>
  <c r="L4503" i="1"/>
  <c r="K3354" i="1"/>
  <c r="L3354" i="1"/>
  <c r="K5405" i="1"/>
  <c r="L5405" i="1"/>
  <c r="K2464" i="1"/>
  <c r="L2464" i="1"/>
  <c r="K4143" i="1"/>
  <c r="L4143" i="1"/>
  <c r="K5571" i="1"/>
  <c r="L5571" i="1"/>
  <c r="K4730" i="1"/>
  <c r="L4730" i="1"/>
  <c r="K5436" i="1"/>
  <c r="L5436" i="1"/>
  <c r="K4412" i="1"/>
  <c r="L4412" i="1"/>
  <c r="K4286" i="1"/>
  <c r="L4286" i="1"/>
  <c r="K3197" i="1"/>
  <c r="L3197" i="1"/>
  <c r="K4221" i="1"/>
  <c r="L4221" i="1"/>
  <c r="K3939" i="1"/>
  <c r="L3939" i="1"/>
  <c r="K2883" i="1"/>
  <c r="L2883" i="1"/>
  <c r="K3911" i="1"/>
  <c r="L3911" i="1"/>
  <c r="K4518" i="1"/>
  <c r="L4518" i="1"/>
  <c r="K2986" i="1"/>
  <c r="L2986" i="1"/>
  <c r="K4226" i="1"/>
  <c r="L4226" i="1"/>
  <c r="K4632" i="1"/>
  <c r="L4632" i="1"/>
  <c r="K4756" i="1"/>
  <c r="L4756" i="1"/>
  <c r="K3365" i="1"/>
  <c r="L3365" i="1"/>
  <c r="K3909" i="1"/>
  <c r="L3909" i="1"/>
  <c r="K2586" i="1"/>
  <c r="L2586" i="1"/>
  <c r="K4350" i="1"/>
  <c r="L4350" i="1"/>
  <c r="K2900" i="1"/>
  <c r="L2900" i="1"/>
  <c r="K5437" i="1"/>
  <c r="L5437" i="1"/>
  <c r="K2581" i="1"/>
  <c r="L2581" i="1"/>
  <c r="K4419" i="1"/>
  <c r="L4419" i="1"/>
  <c r="K4298" i="1"/>
  <c r="L4298" i="1"/>
  <c r="K4182" i="1"/>
  <c r="L4182" i="1"/>
  <c r="K3335" i="1"/>
  <c r="L3335" i="1"/>
  <c r="K2373" i="1"/>
  <c r="L2373" i="1"/>
  <c r="K3987" i="1"/>
  <c r="L3987" i="1"/>
  <c r="K2393" i="1"/>
  <c r="L2393" i="1"/>
  <c r="K2402" i="1"/>
  <c r="L2402" i="1"/>
  <c r="K2465" i="1"/>
  <c r="L2465" i="1"/>
  <c r="K3467" i="1"/>
  <c r="L3467" i="1"/>
  <c r="K3173" i="1"/>
  <c r="L3173" i="1"/>
  <c r="K4773" i="1"/>
  <c r="L4773" i="1"/>
  <c r="K5577" i="1"/>
  <c r="L5577" i="1"/>
  <c r="K4540" i="1"/>
  <c r="L4540" i="1"/>
  <c r="K2877" i="1"/>
  <c r="L2877" i="1"/>
  <c r="K5593" i="1"/>
  <c r="L5593" i="1"/>
  <c r="K4755" i="1"/>
  <c r="L4755" i="1"/>
  <c r="K2721" i="1"/>
  <c r="L2721" i="1"/>
  <c r="K2803" i="1"/>
  <c r="L2803" i="1"/>
  <c r="K5355" i="1"/>
  <c r="L5355" i="1"/>
  <c r="K2618" i="1"/>
  <c r="L2618" i="1"/>
  <c r="K3528" i="1"/>
  <c r="L3528" i="1"/>
  <c r="K5346" i="1"/>
  <c r="L5346" i="1"/>
  <c r="K4327" i="1"/>
  <c r="L4327" i="1"/>
  <c r="K4763" i="1"/>
  <c r="L4763" i="1"/>
  <c r="K5024" i="1"/>
  <c r="L5024" i="1"/>
  <c r="K2612" i="1"/>
  <c r="L2612" i="1"/>
  <c r="K2666" i="1"/>
  <c r="L2666" i="1"/>
  <c r="K5385" i="1"/>
  <c r="L5385" i="1"/>
  <c r="K3716" i="1"/>
  <c r="L3716" i="1"/>
  <c r="K3322" i="1"/>
  <c r="L3322" i="1"/>
  <c r="K3671" i="1"/>
  <c r="L3671" i="1"/>
  <c r="K4084" i="1"/>
  <c r="L4084" i="1"/>
  <c r="K4884" i="1"/>
  <c r="L4884" i="1"/>
  <c r="K4968" i="1"/>
  <c r="L4968" i="1"/>
  <c r="K3569" i="1"/>
  <c r="L3569" i="1"/>
  <c r="K2678" i="1"/>
  <c r="L2678" i="1"/>
  <c r="K5601" i="1"/>
  <c r="L5601" i="1"/>
  <c r="K4598" i="1"/>
  <c r="L4598" i="1"/>
  <c r="K4398" i="1"/>
  <c r="L4398" i="1"/>
  <c r="K3749" i="1"/>
  <c r="L3749" i="1"/>
  <c r="K4266" i="1"/>
  <c r="L4266" i="1"/>
  <c r="K2992" i="1"/>
  <c r="L2992" i="1"/>
  <c r="K2799" i="1"/>
  <c r="L2799" i="1"/>
  <c r="K4105" i="1"/>
  <c r="L4105" i="1"/>
  <c r="K5054" i="1"/>
  <c r="L5054" i="1"/>
  <c r="K2995" i="1"/>
  <c r="L2995" i="1"/>
  <c r="K3787" i="1"/>
  <c r="L3787" i="1"/>
  <c r="K2897" i="1"/>
  <c r="L2897" i="1"/>
  <c r="K3764" i="1"/>
  <c r="L3764" i="1"/>
  <c r="K5367" i="1"/>
  <c r="L5367" i="1"/>
  <c r="K4791" i="1"/>
  <c r="L4791" i="1"/>
  <c r="K3369" i="1"/>
  <c r="L3369" i="1"/>
  <c r="K5586" i="1"/>
  <c r="L5586" i="1"/>
  <c r="K5159" i="1"/>
  <c r="L5159" i="1"/>
  <c r="K3643" i="1"/>
  <c r="L3643" i="1"/>
  <c r="K3054" i="1"/>
  <c r="L3054" i="1"/>
  <c r="K5128" i="1"/>
  <c r="L5128" i="1"/>
  <c r="K4507" i="1"/>
  <c r="L4507" i="1"/>
  <c r="K3235" i="1"/>
  <c r="L3235" i="1"/>
  <c r="K5096" i="1"/>
  <c r="L5096" i="1"/>
  <c r="K5595" i="1"/>
  <c r="L5595" i="1"/>
  <c r="K2592" i="1"/>
  <c r="L2592" i="1"/>
  <c r="K2953" i="1"/>
  <c r="L2953" i="1"/>
  <c r="K3281" i="1"/>
  <c r="L3281" i="1"/>
  <c r="K3219" i="1"/>
  <c r="L3219" i="1"/>
  <c r="K3628" i="1"/>
  <c r="L3628" i="1"/>
  <c r="K2902" i="1"/>
  <c r="L2902" i="1"/>
  <c r="K3134" i="1"/>
  <c r="L3134" i="1"/>
  <c r="K5454" i="1"/>
  <c r="L5454" i="1"/>
  <c r="K4576" i="1"/>
  <c r="L4576" i="1"/>
  <c r="K4321" i="1"/>
  <c r="L4321" i="1"/>
  <c r="K4126" i="1"/>
  <c r="L4126" i="1"/>
  <c r="K3491" i="1"/>
  <c r="L3491" i="1"/>
  <c r="K4087" i="1"/>
  <c r="L4087" i="1"/>
  <c r="K2748" i="1"/>
  <c r="L2748" i="1"/>
  <c r="K4613" i="1"/>
  <c r="L4613" i="1"/>
  <c r="K3180" i="1"/>
  <c r="L3180" i="1"/>
  <c r="K4703" i="1"/>
  <c r="L4703" i="1"/>
  <c r="K4423" i="1"/>
  <c r="L4423" i="1"/>
  <c r="K3817" i="1"/>
  <c r="L3817" i="1"/>
  <c r="K4607" i="1"/>
  <c r="L4607" i="1"/>
  <c r="K2702" i="1"/>
  <c r="L2702" i="1"/>
  <c r="K2531" i="1"/>
  <c r="L2531" i="1"/>
  <c r="K4606" i="1"/>
  <c r="L4606" i="1"/>
  <c r="K2574" i="1"/>
  <c r="L2574" i="1"/>
  <c r="K4048" i="1"/>
  <c r="L4048" i="1"/>
  <c r="K2395" i="1"/>
  <c r="L2395" i="1"/>
  <c r="K5227" i="1"/>
  <c r="L5227" i="1"/>
  <c r="K3488" i="1"/>
  <c r="L3488" i="1"/>
  <c r="K3519" i="1"/>
  <c r="L3519" i="1"/>
  <c r="K2548" i="1"/>
  <c r="L2548" i="1"/>
  <c r="K3063" i="1"/>
  <c r="L3063" i="1"/>
  <c r="K4544" i="1"/>
  <c r="L4544" i="1"/>
  <c r="K4603" i="1"/>
  <c r="L4603" i="1"/>
  <c r="K5432" i="1"/>
  <c r="L5432" i="1"/>
  <c r="K3187" i="1"/>
  <c r="L3187" i="1"/>
  <c r="K3191" i="1"/>
  <c r="L3191" i="1"/>
  <c r="K3296" i="1"/>
  <c r="L3296" i="1"/>
  <c r="K4113" i="1"/>
  <c r="L4113" i="1"/>
  <c r="K2598" i="1"/>
  <c r="L2598" i="1"/>
  <c r="K2657" i="1"/>
  <c r="L2657" i="1"/>
  <c r="K4012" i="1"/>
  <c r="L4012" i="1"/>
  <c r="K3156" i="1"/>
  <c r="L3156" i="1"/>
  <c r="K3068" i="1"/>
  <c r="L3068" i="1"/>
  <c r="K3037" i="1"/>
  <c r="L3037" i="1"/>
  <c r="K4109" i="1"/>
  <c r="L4109" i="1"/>
  <c r="K3002" i="1"/>
  <c r="L3002" i="1"/>
  <c r="K2365" i="1"/>
  <c r="L2365" i="1"/>
  <c r="K3058" i="1"/>
  <c r="L3058" i="1"/>
  <c r="K3828" i="1"/>
  <c r="L3828" i="1"/>
  <c r="K4164" i="1"/>
  <c r="L4164" i="1"/>
  <c r="K3632" i="1"/>
  <c r="L3632" i="1"/>
  <c r="K2866" i="1"/>
  <c r="L2866" i="1"/>
  <c r="K4156" i="1"/>
  <c r="L4156" i="1"/>
  <c r="K2985" i="1"/>
  <c r="L2985" i="1"/>
  <c r="K3934" i="1"/>
  <c r="L3934" i="1"/>
  <c r="K3462" i="1"/>
  <c r="L3462" i="1"/>
  <c r="K4538" i="1"/>
  <c r="L4538" i="1"/>
  <c r="K5250" i="1"/>
  <c r="L5250" i="1"/>
  <c r="K3441" i="1"/>
  <c r="L3441" i="1"/>
  <c r="K4765" i="1"/>
  <c r="L4765" i="1"/>
  <c r="K2449" i="1"/>
  <c r="L2449" i="1"/>
  <c r="K3254" i="1"/>
  <c r="L3254" i="1"/>
  <c r="K3084" i="1"/>
  <c r="L3084" i="1"/>
  <c r="K5427" i="1"/>
  <c r="L5427" i="1"/>
  <c r="K4259" i="1"/>
  <c r="L4259" i="1"/>
  <c r="K3220" i="1"/>
  <c r="L3220" i="1"/>
  <c r="K3704" i="1"/>
  <c r="L3704" i="1"/>
  <c r="K5389" i="1"/>
  <c r="L5389" i="1"/>
  <c r="K4559" i="1"/>
  <c r="L4559" i="1"/>
  <c r="K4689" i="1"/>
  <c r="L4689" i="1"/>
  <c r="K4748" i="1"/>
  <c r="L4748" i="1"/>
  <c r="K4294" i="1"/>
  <c r="L4294" i="1"/>
  <c r="K2378" i="1"/>
  <c r="L2378" i="1"/>
  <c r="K3688" i="1"/>
  <c r="L3688" i="1"/>
  <c r="K2376" i="1"/>
  <c r="L2376" i="1"/>
  <c r="K3073" i="1"/>
  <c r="L3073" i="1"/>
  <c r="K4034" i="1"/>
  <c r="L4034" i="1"/>
  <c r="K3779" i="1"/>
  <c r="L3779" i="1"/>
  <c r="K4420" i="1"/>
  <c r="L4420" i="1"/>
  <c r="K4575" i="1"/>
  <c r="L4575" i="1"/>
  <c r="K5053" i="1"/>
  <c r="L5053" i="1"/>
  <c r="K5451" i="1"/>
  <c r="L5451" i="1"/>
  <c r="K4404" i="1"/>
  <c r="L4404" i="1"/>
  <c r="K4516" i="1"/>
  <c r="L4516" i="1"/>
  <c r="K4995" i="1"/>
  <c r="L4995" i="1"/>
  <c r="K4407" i="1"/>
  <c r="L4407" i="1"/>
  <c r="K4574" i="1"/>
  <c r="L4574" i="1"/>
  <c r="K5277" i="1"/>
  <c r="L5277" i="1"/>
  <c r="K4330" i="1"/>
  <c r="L4330" i="1"/>
  <c r="K4445" i="1"/>
  <c r="L4445" i="1"/>
  <c r="K4178" i="1"/>
  <c r="L4178" i="1"/>
  <c r="K4134" i="1"/>
  <c r="L4134" i="1"/>
  <c r="K4561" i="1"/>
  <c r="L4561" i="1"/>
  <c r="K2922" i="1"/>
  <c r="L2922" i="1"/>
  <c r="K3873" i="1"/>
  <c r="L3873" i="1"/>
  <c r="K2739" i="1"/>
  <c r="L2739" i="1"/>
  <c r="K3676" i="1"/>
  <c r="L3676" i="1"/>
  <c r="K5330" i="1"/>
  <c r="L5330" i="1"/>
  <c r="K4528" i="1"/>
  <c r="L4528" i="1"/>
  <c r="K5119" i="1"/>
  <c r="L5119" i="1"/>
  <c r="K2473" i="1"/>
  <c r="L2473" i="1"/>
  <c r="K4715" i="1"/>
  <c r="L4715" i="1"/>
  <c r="K3641" i="1"/>
  <c r="L3641" i="1"/>
  <c r="K3199" i="1"/>
  <c r="L3199" i="1"/>
  <c r="K5439" i="1"/>
  <c r="L5439" i="1"/>
  <c r="K2411" i="1"/>
  <c r="L2411" i="1"/>
  <c r="K3470" i="1"/>
  <c r="L3470" i="1"/>
  <c r="K3466" i="1"/>
  <c r="L3466" i="1"/>
  <c r="K2960" i="1"/>
  <c r="L2960" i="1"/>
  <c r="K2706" i="1"/>
  <c r="L2706" i="1"/>
  <c r="K2971" i="1"/>
  <c r="L2971" i="1"/>
  <c r="K5544" i="1"/>
  <c r="L5544" i="1"/>
  <c r="K4409" i="1"/>
  <c r="L4409" i="1"/>
  <c r="K5503" i="1"/>
  <c r="L5503" i="1"/>
  <c r="K3067" i="1"/>
  <c r="L3067" i="1"/>
  <c r="K4911" i="1"/>
  <c r="L4911" i="1"/>
  <c r="K4734" i="1"/>
  <c r="L4734" i="1"/>
  <c r="K2729" i="1"/>
  <c r="L2729" i="1"/>
  <c r="K4509" i="1"/>
  <c r="L4509" i="1"/>
  <c r="K5394" i="1"/>
  <c r="L5394" i="1"/>
  <c r="K4325" i="1"/>
  <c r="L4325" i="1"/>
  <c r="K4444" i="1"/>
  <c r="L4444" i="1"/>
  <c r="K4702" i="1"/>
  <c r="L4702" i="1"/>
  <c r="K3351" i="1"/>
  <c r="L3351" i="1"/>
  <c r="K4071" i="1"/>
  <c r="L4071" i="1"/>
  <c r="K3810" i="1"/>
  <c r="L3810" i="1"/>
  <c r="K4295" i="1"/>
  <c r="L4295" i="1"/>
  <c r="K4865" i="1"/>
  <c r="L4865" i="1"/>
  <c r="K4747" i="1"/>
  <c r="L4747" i="1"/>
  <c r="K2852" i="1"/>
  <c r="L2852" i="1"/>
  <c r="K4880" i="1"/>
  <c r="L4880" i="1"/>
  <c r="K3005" i="1"/>
  <c r="L3005" i="1"/>
  <c r="K3755" i="1"/>
  <c r="L3755" i="1"/>
  <c r="K4148" i="1"/>
  <c r="L4148" i="1"/>
  <c r="K4104" i="1"/>
  <c r="L4104" i="1"/>
  <c r="K5075" i="1"/>
  <c r="L5075" i="1"/>
  <c r="K3319" i="1"/>
  <c r="L3319" i="1"/>
  <c r="K3775" i="1"/>
  <c r="L3775" i="1"/>
  <c r="K5212" i="1"/>
  <c r="L5212" i="1"/>
  <c r="K2590" i="1"/>
  <c r="L2590" i="1"/>
  <c r="K5303" i="1"/>
  <c r="L5303" i="1"/>
  <c r="K3216" i="1"/>
  <c r="L3216" i="1"/>
  <c r="K3797" i="1"/>
  <c r="L3797" i="1"/>
  <c r="K4630" i="1"/>
  <c r="L4630" i="1"/>
  <c r="K3592" i="1"/>
  <c r="L3592" i="1"/>
  <c r="K3836" i="1"/>
  <c r="L3836" i="1"/>
  <c r="K3332" i="1"/>
  <c r="L3332" i="1"/>
  <c r="K4152" i="1"/>
  <c r="L4152" i="1"/>
  <c r="K4198" i="1"/>
  <c r="L4198" i="1"/>
  <c r="K4384" i="1"/>
  <c r="L4384" i="1"/>
  <c r="K4873" i="1"/>
  <c r="L4873" i="1"/>
  <c r="K4281" i="1"/>
  <c r="L4281" i="1"/>
  <c r="K2403" i="1"/>
  <c r="L2403" i="1"/>
  <c r="K5008" i="1"/>
  <c r="L5008" i="1"/>
  <c r="K2847" i="1"/>
  <c r="L2847" i="1"/>
  <c r="K4456" i="1"/>
  <c r="L4456" i="1"/>
  <c r="K3025" i="1"/>
  <c r="L3025" i="1"/>
  <c r="K3894" i="1"/>
  <c r="L3894" i="1"/>
  <c r="K2784" i="1"/>
  <c r="L2784" i="1"/>
  <c r="K5015" i="1"/>
  <c r="L5015" i="1"/>
  <c r="K2843" i="1"/>
  <c r="L2843" i="1"/>
  <c r="K3174" i="1"/>
  <c r="L3174" i="1"/>
  <c r="K4076" i="1"/>
  <c r="L4076" i="1"/>
  <c r="K4954" i="1"/>
  <c r="L4954" i="1"/>
  <c r="K4399" i="1"/>
  <c r="L4399" i="1"/>
  <c r="K5341" i="1"/>
  <c r="L5341" i="1"/>
  <c r="K2472" i="1"/>
  <c r="L2472" i="1"/>
  <c r="K3323" i="1"/>
  <c r="L3323" i="1"/>
  <c r="K3555" i="1"/>
  <c r="L3555" i="1"/>
  <c r="K4960" i="1"/>
  <c r="L4960" i="1"/>
  <c r="K3782" i="1"/>
  <c r="L3782" i="1"/>
  <c r="K3719" i="1"/>
  <c r="L3719" i="1"/>
  <c r="K3798" i="1"/>
  <c r="L3798" i="1"/>
  <c r="K3682" i="1"/>
  <c r="L3682" i="1"/>
  <c r="K3144" i="1"/>
  <c r="L3144" i="1"/>
  <c r="K5409" i="1"/>
  <c r="L5409" i="1"/>
  <c r="K2627" i="1"/>
  <c r="L2627" i="1"/>
  <c r="K3744" i="1"/>
  <c r="L3744" i="1"/>
  <c r="K5039" i="1"/>
  <c r="L5039" i="1"/>
  <c r="K3362" i="1"/>
  <c r="L3362" i="1"/>
  <c r="K4083" i="1"/>
  <c r="L4083" i="1"/>
  <c r="K4343" i="1"/>
  <c r="L4343" i="1"/>
  <c r="K3399" i="1"/>
  <c r="L3399" i="1"/>
  <c r="K4258" i="1"/>
  <c r="L4258" i="1"/>
  <c r="K4587" i="1"/>
  <c r="L4587" i="1"/>
  <c r="K4753" i="1"/>
  <c r="L4753" i="1"/>
  <c r="K3027" i="1"/>
  <c r="L3027" i="1"/>
  <c r="K4878" i="1"/>
  <c r="L4878" i="1"/>
  <c r="K5278" i="1"/>
  <c r="L5278" i="1"/>
  <c r="K3896" i="1"/>
  <c r="L3896" i="1"/>
  <c r="K5597" i="1"/>
  <c r="L5597" i="1"/>
  <c r="K4693" i="1"/>
  <c r="L4693" i="1"/>
  <c r="K4712" i="1"/>
  <c r="L4712" i="1"/>
  <c r="K3708" i="1"/>
  <c r="L3708" i="1"/>
  <c r="K2375" i="1"/>
  <c r="L2375" i="1"/>
  <c r="K3505" i="1"/>
  <c r="L3505" i="1"/>
  <c r="K2874" i="1"/>
  <c r="L2874" i="1"/>
  <c r="K2560" i="1"/>
  <c r="L2560" i="1"/>
  <c r="K2407" i="1"/>
  <c r="L2407" i="1"/>
  <c r="K4704" i="1"/>
  <c r="L4704" i="1"/>
  <c r="K2519" i="1"/>
  <c r="L2519" i="1"/>
  <c r="K5072" i="1"/>
  <c r="L5072" i="1"/>
  <c r="K2802" i="1"/>
  <c r="L2802" i="1"/>
  <c r="K2924" i="1"/>
  <c r="L2924" i="1"/>
  <c r="K3157" i="1"/>
  <c r="L3157" i="1"/>
  <c r="K3270" i="1"/>
  <c r="L3270" i="1"/>
  <c r="K4244" i="1"/>
  <c r="L4244" i="1"/>
  <c r="K4864" i="1"/>
  <c r="L4864" i="1"/>
  <c r="K3474" i="1"/>
  <c r="L3474" i="1"/>
  <c r="K2941" i="1"/>
  <c r="L2941" i="1"/>
  <c r="K2838" i="1"/>
  <c r="L2838" i="1"/>
  <c r="K4787" i="1"/>
  <c r="L4787" i="1"/>
  <c r="K2544" i="1"/>
  <c r="L2544" i="1"/>
  <c r="K2638" i="1"/>
  <c r="L2638" i="1"/>
  <c r="K4940" i="1"/>
  <c r="L4940" i="1"/>
  <c r="K3249" i="1"/>
  <c r="L3249" i="1"/>
  <c r="K3712" i="1"/>
  <c r="L3712" i="1"/>
  <c r="K3736" i="1"/>
  <c r="L3736" i="1"/>
  <c r="K3765" i="1"/>
  <c r="L3765" i="1"/>
  <c r="K5567" i="1"/>
  <c r="L5567" i="1"/>
  <c r="K5033" i="1"/>
  <c r="L5033" i="1"/>
  <c r="K2470" i="1"/>
  <c r="L2470" i="1"/>
  <c r="K3834" i="1"/>
  <c r="L3834" i="1"/>
  <c r="K4698" i="1"/>
  <c r="L4698" i="1"/>
  <c r="K5076" i="1"/>
  <c r="L5076" i="1"/>
  <c r="K3773" i="1"/>
  <c r="L3773" i="1"/>
  <c r="K2652" i="1"/>
  <c r="L2652" i="1"/>
  <c r="K4081" i="1"/>
  <c r="L4081" i="1"/>
  <c r="K2601" i="1"/>
  <c r="L2601" i="1"/>
  <c r="K5442" i="1"/>
  <c r="L5442" i="1"/>
  <c r="K4495" i="1"/>
  <c r="L4495" i="1"/>
  <c r="K5289" i="1"/>
  <c r="L5289" i="1"/>
  <c r="K2904" i="1"/>
  <c r="L2904" i="1"/>
  <c r="K2605" i="1"/>
  <c r="L2605" i="1"/>
  <c r="K2467" i="1"/>
  <c r="L2467" i="1"/>
  <c r="K4185" i="1"/>
  <c r="L4185" i="1"/>
  <c r="K4103" i="1"/>
  <c r="L4103" i="1"/>
  <c r="K4056" i="1"/>
  <c r="L4056" i="1"/>
  <c r="K3161" i="1"/>
  <c r="L3161" i="1"/>
  <c r="K5484" i="1"/>
  <c r="L5484" i="1"/>
  <c r="K4589" i="1"/>
  <c r="L4589" i="1"/>
  <c r="K2656" i="1"/>
  <c r="L2656" i="1"/>
  <c r="K4039" i="1"/>
  <c r="L4039" i="1"/>
  <c r="K3162" i="1"/>
  <c r="L3162" i="1"/>
  <c r="K4867" i="1"/>
  <c r="L4867" i="1"/>
  <c r="K2810" i="1"/>
  <c r="L2810" i="1"/>
  <c r="K5375" i="1"/>
  <c r="L5375" i="1"/>
  <c r="K2554" i="1"/>
  <c r="L2554" i="1"/>
  <c r="K2947" i="1"/>
  <c r="L2947" i="1"/>
  <c r="K4853" i="1"/>
  <c r="L4853" i="1"/>
  <c r="K2737" i="1"/>
  <c r="L2737" i="1"/>
  <c r="K4158" i="1"/>
  <c r="L4158" i="1"/>
  <c r="K4823" i="1"/>
  <c r="L4823" i="1"/>
  <c r="K4802" i="1"/>
  <c r="L4802" i="1"/>
  <c r="K5387" i="1"/>
  <c r="L5387" i="1"/>
  <c r="K5554" i="1"/>
  <c r="L5554" i="1"/>
  <c r="K4389" i="1"/>
  <c r="L4389" i="1"/>
  <c r="K3410" i="1"/>
  <c r="L3410" i="1"/>
  <c r="K2541" i="1"/>
  <c r="L2541" i="1"/>
  <c r="K3848" i="1"/>
  <c r="L3848" i="1"/>
  <c r="K4296" i="1"/>
  <c r="L4296" i="1"/>
  <c r="K5190" i="1"/>
  <c r="L5190" i="1"/>
  <c r="K3799" i="1"/>
  <c r="L3799" i="1"/>
  <c r="K4949" i="1"/>
  <c r="L4949" i="1"/>
  <c r="K3085" i="1"/>
  <c r="L3085" i="1"/>
  <c r="K4146" i="1"/>
  <c r="L4146" i="1"/>
  <c r="K3282" i="1"/>
  <c r="L3282" i="1"/>
  <c r="K4059" i="1"/>
  <c r="L4059" i="1"/>
  <c r="K3501" i="1"/>
  <c r="L3501" i="1"/>
  <c r="K2430" i="1"/>
  <c r="L2430" i="1"/>
  <c r="K2892" i="1"/>
  <c r="L2892" i="1"/>
  <c r="K2397" i="1"/>
  <c r="L2397" i="1"/>
  <c r="K4678" i="1"/>
  <c r="L4678" i="1"/>
  <c r="K2391" i="1"/>
  <c r="L2391" i="1"/>
  <c r="K2448" i="1"/>
  <c r="L2448" i="1"/>
  <c r="K5494" i="1"/>
  <c r="L5494" i="1"/>
  <c r="K5515" i="1"/>
  <c r="L5515" i="1"/>
  <c r="K4903" i="1"/>
  <c r="L4903" i="1"/>
  <c r="K2" i="1"/>
  <c r="L2" i="1"/>
  <c r="K4" i="1"/>
  <c r="L4" i="1"/>
  <c r="K5" i="1"/>
  <c r="L5" i="1"/>
  <c r="K3" i="1"/>
  <c r="L3" i="1"/>
  <c r="K6" i="1"/>
  <c r="L6" i="1"/>
  <c r="K12" i="1"/>
  <c r="L12" i="1"/>
  <c r="K13" i="1"/>
  <c r="L13" i="1"/>
  <c r="K20" i="1"/>
  <c r="L20" i="1"/>
  <c r="K21" i="1"/>
  <c r="L21" i="1"/>
  <c r="K18" i="1"/>
  <c r="L18" i="1"/>
  <c r="K17" i="1"/>
  <c r="L17" i="1"/>
  <c r="K19" i="1"/>
  <c r="L19" i="1"/>
  <c r="K16" i="1"/>
  <c r="L16" i="1"/>
  <c r="K15" i="1"/>
  <c r="L15" i="1"/>
  <c r="K14" i="1"/>
  <c r="L14" i="1"/>
  <c r="K11" i="1"/>
  <c r="L11" i="1"/>
  <c r="K7" i="1"/>
  <c r="L7" i="1"/>
  <c r="K10" i="1"/>
  <c r="L10" i="1"/>
  <c r="K9" i="1"/>
  <c r="L9" i="1"/>
  <c r="K8" i="1"/>
  <c r="L8" i="1"/>
  <c r="K39" i="1"/>
  <c r="L39" i="1"/>
  <c r="K41" i="1"/>
  <c r="L41" i="1"/>
  <c r="K40" i="1"/>
  <c r="L40" i="1"/>
  <c r="K42" i="1"/>
  <c r="L42" i="1"/>
  <c r="K46" i="1"/>
  <c r="L46" i="1"/>
  <c r="K48" i="1"/>
  <c r="L48" i="1"/>
  <c r="K47" i="1"/>
  <c r="L47" i="1"/>
  <c r="K51" i="1"/>
  <c r="L51" i="1"/>
  <c r="K53" i="1"/>
  <c r="L53" i="1"/>
  <c r="K54" i="1"/>
  <c r="L54" i="1"/>
  <c r="K55" i="1"/>
  <c r="L55" i="1"/>
  <c r="K57" i="1"/>
  <c r="L57" i="1"/>
  <c r="K58" i="1"/>
  <c r="L58" i="1"/>
  <c r="K60" i="1"/>
  <c r="L60" i="1"/>
  <c r="K61" i="1"/>
  <c r="L61" i="1"/>
  <c r="K65" i="1"/>
  <c r="L65" i="1"/>
  <c r="K64" i="1"/>
  <c r="L64" i="1"/>
  <c r="K66" i="1"/>
  <c r="L66" i="1"/>
  <c r="K68" i="1"/>
  <c r="L68" i="1"/>
  <c r="K67" i="1"/>
  <c r="L67" i="1"/>
  <c r="K70" i="1"/>
  <c r="L70" i="1"/>
  <c r="K77" i="1"/>
  <c r="L77" i="1"/>
  <c r="K75" i="1"/>
  <c r="L75" i="1"/>
  <c r="K76" i="1"/>
  <c r="L76" i="1"/>
  <c r="K84" i="1"/>
  <c r="L84" i="1"/>
  <c r="K81" i="1"/>
  <c r="L81" i="1"/>
  <c r="K78" i="1"/>
  <c r="L78" i="1"/>
  <c r="K85" i="1"/>
  <c r="L85" i="1"/>
  <c r="K119" i="1"/>
  <c r="L119" i="1"/>
  <c r="K89" i="1"/>
  <c r="L89" i="1"/>
  <c r="K86" i="1"/>
  <c r="L86" i="1"/>
  <c r="K108" i="1"/>
  <c r="L108" i="1"/>
  <c r="K117" i="1"/>
  <c r="L117" i="1"/>
  <c r="K116" i="1"/>
  <c r="L116" i="1"/>
  <c r="K118" i="1"/>
  <c r="L118" i="1"/>
  <c r="K91" i="1"/>
  <c r="L91" i="1"/>
  <c r="K87" i="1"/>
  <c r="L87" i="1"/>
  <c r="K110" i="1"/>
  <c r="L110" i="1"/>
  <c r="K99" i="1"/>
  <c r="L99" i="1"/>
  <c r="K93" i="1"/>
  <c r="L93" i="1"/>
  <c r="K98" i="1"/>
  <c r="L98" i="1"/>
  <c r="K100" i="1"/>
  <c r="L100" i="1"/>
  <c r="K92" i="1"/>
  <c r="L92" i="1"/>
  <c r="K114" i="1"/>
  <c r="L114" i="1"/>
  <c r="K94" i="1"/>
  <c r="L94" i="1"/>
  <c r="K95" i="1"/>
  <c r="L95" i="1"/>
  <c r="K104" i="1"/>
  <c r="L104" i="1"/>
  <c r="K26" i="1"/>
  <c r="L26" i="1"/>
  <c r="K32" i="1"/>
  <c r="L32" i="1"/>
  <c r="K80" i="1"/>
  <c r="L80" i="1"/>
  <c r="K30" i="1"/>
  <c r="L30" i="1"/>
  <c r="K112" i="1"/>
  <c r="L112" i="1"/>
  <c r="K31" i="1"/>
  <c r="L31" i="1"/>
  <c r="K102" i="1"/>
  <c r="L102" i="1"/>
  <c r="K23" i="1"/>
  <c r="L23" i="1"/>
  <c r="K79" i="1"/>
  <c r="L79" i="1"/>
  <c r="K29" i="1"/>
  <c r="L29" i="1"/>
  <c r="K113" i="1"/>
  <c r="L113" i="1"/>
  <c r="K96" i="1"/>
  <c r="L96" i="1"/>
  <c r="K97" i="1"/>
  <c r="L97" i="1"/>
  <c r="K34" i="1"/>
  <c r="L34" i="1"/>
  <c r="K25" i="1"/>
  <c r="L25" i="1"/>
  <c r="K105" i="1"/>
  <c r="L105" i="1"/>
  <c r="K33" i="1"/>
  <c r="L33" i="1"/>
  <c r="K37" i="1"/>
  <c r="L37" i="1"/>
  <c r="K103" i="1"/>
  <c r="L103" i="1"/>
  <c r="K27" i="1"/>
  <c r="L27" i="1"/>
  <c r="K35" i="1"/>
  <c r="L35" i="1"/>
  <c r="K28" i="1"/>
  <c r="L28" i="1"/>
  <c r="K115" i="1"/>
  <c r="L115" i="1"/>
  <c r="K106" i="1"/>
  <c r="L106" i="1"/>
  <c r="K107" i="1"/>
  <c r="L107" i="1"/>
  <c r="K111" i="1"/>
  <c r="L111" i="1"/>
  <c r="K22" i="1"/>
  <c r="L22" i="1"/>
  <c r="K36" i="1"/>
  <c r="L36" i="1"/>
  <c r="K38" i="1"/>
  <c r="L38" i="1"/>
  <c r="K24" i="1"/>
  <c r="L24" i="1"/>
  <c r="K101" i="1"/>
  <c r="L101" i="1"/>
  <c r="K73" i="1"/>
  <c r="L73" i="1"/>
  <c r="K72" i="1"/>
  <c r="L72" i="1"/>
  <c r="K109" i="1"/>
  <c r="L109" i="1"/>
  <c r="K90" i="1"/>
  <c r="L90" i="1"/>
  <c r="K74" i="1"/>
  <c r="L74" i="1"/>
  <c r="K63" i="1"/>
  <c r="L63" i="1"/>
  <c r="K88" i="1"/>
  <c r="L88" i="1"/>
  <c r="K82" i="1"/>
  <c r="L82" i="1"/>
  <c r="K83" i="1"/>
  <c r="L83" i="1"/>
  <c r="K71" i="1"/>
  <c r="L71" i="1"/>
  <c r="K69" i="1"/>
  <c r="L69" i="1"/>
  <c r="K62" i="1"/>
  <c r="L62" i="1"/>
  <c r="K59" i="1"/>
  <c r="L59" i="1"/>
  <c r="K56" i="1"/>
  <c r="L56" i="1"/>
  <c r="K52" i="1"/>
  <c r="L52" i="1"/>
  <c r="K49" i="1"/>
  <c r="L49" i="1"/>
  <c r="K50" i="1"/>
  <c r="L50" i="1"/>
  <c r="K43" i="1"/>
  <c r="L43" i="1"/>
  <c r="K44" i="1"/>
  <c r="L44" i="1"/>
  <c r="K45" i="1"/>
  <c r="L45" i="1"/>
  <c r="K121" i="1"/>
  <c r="L121" i="1"/>
  <c r="K120" i="1"/>
  <c r="L120" i="1"/>
  <c r="K125" i="1"/>
  <c r="L125" i="1"/>
  <c r="K129" i="1"/>
  <c r="L129" i="1"/>
  <c r="K131" i="1"/>
  <c r="L131" i="1"/>
  <c r="K133" i="1"/>
  <c r="L133" i="1"/>
  <c r="K137" i="1"/>
  <c r="L137" i="1"/>
  <c r="K138" i="1"/>
  <c r="L138" i="1"/>
  <c r="K139" i="1"/>
  <c r="L139" i="1"/>
  <c r="K141" i="1"/>
  <c r="L141" i="1"/>
  <c r="K264" i="1"/>
  <c r="L264" i="1"/>
  <c r="K146" i="1"/>
  <c r="L146" i="1"/>
  <c r="K148" i="1"/>
  <c r="L148" i="1"/>
  <c r="K145" i="1"/>
  <c r="L145" i="1"/>
  <c r="K150" i="1"/>
  <c r="L150" i="1"/>
  <c r="K157" i="1"/>
  <c r="L157" i="1"/>
  <c r="K151" i="1"/>
  <c r="L151" i="1"/>
  <c r="K153" i="1"/>
  <c r="L153" i="1"/>
  <c r="K263" i="1"/>
  <c r="L263" i="1"/>
  <c r="K262" i="1"/>
  <c r="L262" i="1"/>
  <c r="K161" i="1"/>
  <c r="L161" i="1"/>
  <c r="K156" i="1"/>
  <c r="L156" i="1"/>
  <c r="K177" i="1"/>
  <c r="L177" i="1"/>
  <c r="K160" i="1"/>
  <c r="L160" i="1"/>
  <c r="K158" i="1"/>
  <c r="L158" i="1"/>
  <c r="K172" i="1"/>
  <c r="L172" i="1"/>
  <c r="K175" i="1"/>
  <c r="L175" i="1"/>
  <c r="K259" i="1"/>
  <c r="L259" i="1"/>
  <c r="K184" i="1"/>
  <c r="L184" i="1"/>
  <c r="K195" i="1"/>
  <c r="L195" i="1"/>
  <c r="K182" i="1"/>
  <c r="L182" i="1"/>
  <c r="K261" i="1"/>
  <c r="L261" i="1"/>
  <c r="K260" i="1"/>
  <c r="L260" i="1"/>
  <c r="K187" i="1"/>
  <c r="L187" i="1"/>
  <c r="K242" i="1"/>
  <c r="L242" i="1"/>
  <c r="K183" i="1"/>
  <c r="L183" i="1"/>
  <c r="K258" i="1"/>
  <c r="L258" i="1"/>
  <c r="K174" i="1"/>
  <c r="L174" i="1"/>
  <c r="K257" i="1"/>
  <c r="L257" i="1"/>
  <c r="K199" i="1"/>
  <c r="L199" i="1"/>
  <c r="K191" i="1"/>
  <c r="L191" i="1"/>
  <c r="K252" i="1"/>
  <c r="L252" i="1"/>
  <c r="K239" i="1"/>
  <c r="L239" i="1"/>
  <c r="K185" i="1"/>
  <c r="L185" i="1"/>
  <c r="K236" i="1"/>
  <c r="L236" i="1"/>
  <c r="K254" i="1"/>
  <c r="L254" i="1"/>
  <c r="K253" i="1"/>
  <c r="L253" i="1"/>
  <c r="K256" i="1"/>
  <c r="L256" i="1"/>
  <c r="K255" i="1"/>
  <c r="L255" i="1"/>
  <c r="K249" i="1"/>
  <c r="L249" i="1"/>
  <c r="K241" i="1"/>
  <c r="L241" i="1"/>
  <c r="K251" i="1"/>
  <c r="L251" i="1"/>
  <c r="K206" i="1"/>
  <c r="L206" i="1"/>
  <c r="K208" i="1"/>
  <c r="L208" i="1"/>
  <c r="K186" i="1"/>
  <c r="L186" i="1"/>
  <c r="K250" i="1"/>
  <c r="L250" i="1"/>
  <c r="K214" i="1"/>
  <c r="L214" i="1"/>
  <c r="K201" i="1"/>
  <c r="L201" i="1"/>
  <c r="K228" i="1"/>
  <c r="L228" i="1"/>
  <c r="K246" i="1"/>
  <c r="L246" i="1"/>
  <c r="K229" i="1"/>
  <c r="L229" i="1"/>
  <c r="K216" i="1"/>
  <c r="L216" i="1"/>
  <c r="K212" i="1"/>
  <c r="L212" i="1"/>
  <c r="K233" i="1"/>
  <c r="L233" i="1"/>
  <c r="K217" i="1"/>
  <c r="L217" i="1"/>
  <c r="K223" i="1"/>
  <c r="L223" i="1"/>
  <c r="K222" i="1"/>
  <c r="L222" i="1"/>
  <c r="K225" i="1"/>
  <c r="L225" i="1"/>
  <c r="K234" i="1"/>
  <c r="L234" i="1"/>
  <c r="K231" i="1"/>
  <c r="L231" i="1"/>
  <c r="K230" i="1"/>
  <c r="L230" i="1"/>
  <c r="K205" i="1"/>
  <c r="L205" i="1"/>
  <c r="K238" i="1"/>
  <c r="L238" i="1"/>
  <c r="K240" i="1"/>
  <c r="L240" i="1"/>
  <c r="K220" i="1"/>
  <c r="L220" i="1"/>
  <c r="K235" i="1"/>
  <c r="L235" i="1"/>
  <c r="K237" i="1"/>
  <c r="L237" i="1"/>
  <c r="K221" i="1"/>
  <c r="L221" i="1"/>
  <c r="K227" i="1"/>
  <c r="L227" i="1"/>
  <c r="K226" i="1"/>
  <c r="L226" i="1"/>
  <c r="K232" i="1"/>
  <c r="L232" i="1"/>
  <c r="K224" i="1"/>
  <c r="L224" i="1"/>
  <c r="K219" i="1"/>
  <c r="L219" i="1"/>
  <c r="K215" i="1"/>
  <c r="L215" i="1"/>
  <c r="K218" i="1"/>
  <c r="L218" i="1"/>
  <c r="K210" i="1"/>
  <c r="L210" i="1"/>
  <c r="K176" i="1"/>
  <c r="L176" i="1"/>
  <c r="K203" i="1"/>
  <c r="L203" i="1"/>
  <c r="K170" i="1"/>
  <c r="L170" i="1"/>
  <c r="K193" i="1"/>
  <c r="L193" i="1"/>
  <c r="K200" i="1"/>
  <c r="L200" i="1"/>
  <c r="K169" i="1"/>
  <c r="L169" i="1"/>
  <c r="K198" i="1"/>
  <c r="L198" i="1"/>
  <c r="K213" i="1"/>
  <c r="L213" i="1"/>
  <c r="K211" i="1"/>
  <c r="L211" i="1"/>
  <c r="K173" i="1"/>
  <c r="L173" i="1"/>
  <c r="K180" i="1"/>
  <c r="L180" i="1"/>
  <c r="K171" i="1"/>
  <c r="L171" i="1"/>
  <c r="K188" i="1"/>
  <c r="L188" i="1"/>
  <c r="K194" i="1"/>
  <c r="L194" i="1"/>
  <c r="K190" i="1"/>
  <c r="L190" i="1"/>
  <c r="K181" i="1"/>
  <c r="L181" i="1"/>
  <c r="K243" i="1"/>
  <c r="L243" i="1"/>
  <c r="K248" i="1"/>
  <c r="L248" i="1"/>
  <c r="K207" i="1"/>
  <c r="L207" i="1"/>
  <c r="K204" i="1"/>
  <c r="L204" i="1"/>
  <c r="K167" i="1"/>
  <c r="L167" i="1"/>
  <c r="K162" i="1"/>
  <c r="L162" i="1"/>
  <c r="K165" i="1"/>
  <c r="L165" i="1"/>
  <c r="K197" i="1"/>
  <c r="L197" i="1"/>
  <c r="K245" i="1"/>
  <c r="L245" i="1"/>
  <c r="K152" i="1"/>
  <c r="L152" i="1"/>
  <c r="K147" i="1"/>
  <c r="L147" i="1"/>
  <c r="K154" i="1"/>
  <c r="L154" i="1"/>
  <c r="K178" i="1"/>
  <c r="L178" i="1"/>
  <c r="K196" i="1"/>
  <c r="L196" i="1"/>
  <c r="K163" i="1"/>
  <c r="L163" i="1"/>
  <c r="K164" i="1"/>
  <c r="L164" i="1"/>
  <c r="K202" i="1"/>
  <c r="L202" i="1"/>
  <c r="K168" i="1"/>
  <c r="L168" i="1"/>
  <c r="K244" i="1"/>
  <c r="L244" i="1"/>
  <c r="K155" i="1"/>
  <c r="L155" i="1"/>
  <c r="K209" i="1"/>
  <c r="L209" i="1"/>
  <c r="K247" i="1"/>
  <c r="L247" i="1"/>
  <c r="K166" i="1"/>
  <c r="L166" i="1"/>
  <c r="K189" i="1"/>
  <c r="L189" i="1"/>
  <c r="K144" i="1"/>
  <c r="L144" i="1"/>
  <c r="K179" i="1"/>
  <c r="L179" i="1"/>
  <c r="K159" i="1"/>
  <c r="L159" i="1"/>
  <c r="K192" i="1"/>
  <c r="L192" i="1"/>
  <c r="K140" i="1"/>
  <c r="L140" i="1"/>
  <c r="K149" i="1"/>
  <c r="L149" i="1"/>
  <c r="K143" i="1"/>
  <c r="L143" i="1"/>
  <c r="K142" i="1"/>
  <c r="L142" i="1"/>
  <c r="K136" i="1"/>
  <c r="L136" i="1"/>
  <c r="K135" i="1"/>
  <c r="L135" i="1"/>
  <c r="K134" i="1"/>
  <c r="L134" i="1"/>
  <c r="K132" i="1"/>
  <c r="L132" i="1"/>
  <c r="K130" i="1"/>
  <c r="L130" i="1"/>
  <c r="K128" i="1"/>
  <c r="L128" i="1"/>
  <c r="K127" i="1"/>
  <c r="L127" i="1"/>
  <c r="K126" i="1"/>
  <c r="L126" i="1"/>
  <c r="K124" i="1"/>
  <c r="L124" i="1"/>
  <c r="K122" i="1"/>
  <c r="L122" i="1"/>
  <c r="K123" i="1"/>
  <c r="L123" i="1"/>
  <c r="K267" i="1"/>
  <c r="L267" i="1"/>
  <c r="K266" i="1"/>
  <c r="L266" i="1"/>
  <c r="K269" i="1"/>
  <c r="L269" i="1"/>
  <c r="K268" i="1"/>
  <c r="L268" i="1"/>
  <c r="K270" i="1"/>
  <c r="L270" i="1"/>
  <c r="K278" i="1"/>
  <c r="L278" i="1"/>
  <c r="K280" i="1"/>
  <c r="L280" i="1"/>
  <c r="K282" i="1"/>
  <c r="L282" i="1"/>
  <c r="K284" i="1"/>
  <c r="L284" i="1"/>
  <c r="K286" i="1"/>
  <c r="L286" i="1"/>
  <c r="K285" i="1"/>
  <c r="L285" i="1"/>
  <c r="K287" i="1"/>
  <c r="L287" i="1"/>
  <c r="K288" i="1"/>
  <c r="L288" i="1"/>
  <c r="K289" i="1"/>
  <c r="L289" i="1"/>
  <c r="K291" i="1"/>
  <c r="L291" i="1"/>
  <c r="K297" i="1"/>
  <c r="L297" i="1"/>
  <c r="K300" i="1"/>
  <c r="L300" i="1"/>
  <c r="K313" i="1"/>
  <c r="L313" i="1"/>
  <c r="K304" i="1"/>
  <c r="L304" i="1"/>
  <c r="K296" i="1"/>
  <c r="L296" i="1"/>
  <c r="K307" i="1"/>
  <c r="L307" i="1"/>
  <c r="K329" i="1"/>
  <c r="L329" i="1"/>
  <c r="K308" i="1"/>
  <c r="L308" i="1"/>
  <c r="K320" i="1"/>
  <c r="L320" i="1"/>
  <c r="K325" i="1"/>
  <c r="L325" i="1"/>
  <c r="K316" i="1"/>
  <c r="L316" i="1"/>
  <c r="K306" i="1"/>
  <c r="L306" i="1"/>
  <c r="K343" i="1"/>
  <c r="L343" i="1"/>
  <c r="K315" i="1"/>
  <c r="L315" i="1"/>
  <c r="K330" i="1"/>
  <c r="L330" i="1"/>
  <c r="K311" i="1"/>
  <c r="L311" i="1"/>
  <c r="K333" i="1"/>
  <c r="L333" i="1"/>
  <c r="K314" i="1"/>
  <c r="L314" i="1"/>
  <c r="K327" i="1"/>
  <c r="L327" i="1"/>
  <c r="K322" i="1"/>
  <c r="L322" i="1"/>
  <c r="K321" i="1"/>
  <c r="L321" i="1"/>
  <c r="K319" i="1"/>
  <c r="L319" i="1"/>
  <c r="K323" i="1"/>
  <c r="L323" i="1"/>
  <c r="K348" i="1"/>
  <c r="L348" i="1"/>
  <c r="K331" i="1"/>
  <c r="L331" i="1"/>
  <c r="K360" i="1"/>
  <c r="L360" i="1"/>
  <c r="K375" i="1"/>
  <c r="L375" i="1"/>
  <c r="K344" i="1"/>
  <c r="L344" i="1"/>
  <c r="K355" i="1"/>
  <c r="L355" i="1"/>
  <c r="K345" i="1"/>
  <c r="L345" i="1"/>
  <c r="K378" i="1"/>
  <c r="L378" i="1"/>
  <c r="K376" i="1"/>
  <c r="L376" i="1"/>
  <c r="K312" i="1"/>
  <c r="L312" i="1"/>
  <c r="K370" i="1"/>
  <c r="L370" i="1"/>
  <c r="K369" i="1"/>
  <c r="L369" i="1"/>
  <c r="K351" i="1"/>
  <c r="L351" i="1"/>
  <c r="K371" i="1"/>
  <c r="L371" i="1"/>
  <c r="K373" i="1"/>
  <c r="L373" i="1"/>
  <c r="K332" i="1"/>
  <c r="L332" i="1"/>
  <c r="K374" i="1"/>
  <c r="L374" i="1"/>
  <c r="K336" i="1"/>
  <c r="L336" i="1"/>
  <c r="K334" i="1"/>
  <c r="L334" i="1"/>
  <c r="K368" i="1"/>
  <c r="L368" i="1"/>
  <c r="K366" i="1"/>
  <c r="L366" i="1"/>
  <c r="K367" i="1"/>
  <c r="L367" i="1"/>
  <c r="K372" i="1"/>
  <c r="L372" i="1"/>
  <c r="K380" i="1"/>
  <c r="L380" i="1"/>
  <c r="K365" i="1"/>
  <c r="L365" i="1"/>
  <c r="K347" i="1"/>
  <c r="L347" i="1"/>
  <c r="K352" i="1"/>
  <c r="L352" i="1"/>
  <c r="K349" i="1"/>
  <c r="L349" i="1"/>
  <c r="K361" i="1"/>
  <c r="L361" i="1"/>
  <c r="K340" i="1"/>
  <c r="L340" i="1"/>
  <c r="K359" i="1"/>
  <c r="L359" i="1"/>
  <c r="K326" i="1"/>
  <c r="L326" i="1"/>
  <c r="K377" i="1"/>
  <c r="L377" i="1"/>
  <c r="K310" i="1"/>
  <c r="L310" i="1"/>
  <c r="K338" i="1"/>
  <c r="L338" i="1"/>
  <c r="K342" i="1"/>
  <c r="L342" i="1"/>
  <c r="K379" i="1"/>
  <c r="L379" i="1"/>
  <c r="K362" i="1"/>
  <c r="L362" i="1"/>
  <c r="K358" i="1"/>
  <c r="L358" i="1"/>
  <c r="K364" i="1"/>
  <c r="L364" i="1"/>
  <c r="K339" i="1"/>
  <c r="L339" i="1"/>
  <c r="K363" i="1"/>
  <c r="L363" i="1"/>
  <c r="K337" i="1"/>
  <c r="L337" i="1"/>
  <c r="K324" i="1"/>
  <c r="L324" i="1"/>
  <c r="K346" i="1"/>
  <c r="L346" i="1"/>
  <c r="K303" i="1"/>
  <c r="L303" i="1"/>
  <c r="K350" i="1"/>
  <c r="L350" i="1"/>
  <c r="K357" i="1"/>
  <c r="L357" i="1"/>
  <c r="K354" i="1"/>
  <c r="L354" i="1"/>
  <c r="K353" i="1"/>
  <c r="L353" i="1"/>
  <c r="K328" i="1"/>
  <c r="L328" i="1"/>
  <c r="K356" i="1"/>
  <c r="L356" i="1"/>
  <c r="K341" i="1"/>
  <c r="L341" i="1"/>
  <c r="K299" i="1"/>
  <c r="L299" i="1"/>
  <c r="K301" i="1"/>
  <c r="L301" i="1"/>
  <c r="K293" i="1"/>
  <c r="L293" i="1"/>
  <c r="K335" i="1"/>
  <c r="L335" i="1"/>
  <c r="K305" i="1"/>
  <c r="L305" i="1"/>
  <c r="K317" i="1"/>
  <c r="L317" i="1"/>
  <c r="K309" i="1"/>
  <c r="L309" i="1"/>
  <c r="K265" i="1"/>
  <c r="L265" i="1"/>
  <c r="K318" i="1"/>
  <c r="L318" i="1"/>
  <c r="K295" i="1"/>
  <c r="L295" i="1"/>
  <c r="K298" i="1"/>
  <c r="L298" i="1"/>
  <c r="K302" i="1"/>
  <c r="L302" i="1"/>
  <c r="K294" i="1"/>
  <c r="L294" i="1"/>
  <c r="K292" i="1"/>
  <c r="L292" i="1"/>
  <c r="K290" i="1"/>
  <c r="L290" i="1"/>
  <c r="K281" i="1"/>
  <c r="L281" i="1"/>
  <c r="K283" i="1"/>
  <c r="L283" i="1"/>
  <c r="K279" i="1"/>
  <c r="L279" i="1"/>
  <c r="K271" i="1"/>
  <c r="L271" i="1"/>
  <c r="K272" i="1"/>
  <c r="L272" i="1"/>
  <c r="K276" i="1"/>
  <c r="L276" i="1"/>
  <c r="K275" i="1"/>
  <c r="L275" i="1"/>
  <c r="K273" i="1"/>
  <c r="L273" i="1"/>
  <c r="K274" i="1"/>
  <c r="L274" i="1"/>
  <c r="K277" i="1"/>
  <c r="L277" i="1"/>
  <c r="K381" i="1"/>
  <c r="L381" i="1"/>
  <c r="K384" i="1"/>
  <c r="L384" i="1"/>
  <c r="K382" i="1"/>
  <c r="L382" i="1"/>
  <c r="K383" i="1"/>
  <c r="L383" i="1"/>
  <c r="K385" i="1"/>
  <c r="L385" i="1"/>
  <c r="K386" i="1"/>
  <c r="L386" i="1"/>
  <c r="K387" i="1"/>
  <c r="L387" i="1"/>
  <c r="K391" i="1"/>
  <c r="L391" i="1"/>
  <c r="K395" i="1"/>
  <c r="L395" i="1"/>
  <c r="K394" i="1"/>
  <c r="L394" i="1"/>
  <c r="K396" i="1"/>
  <c r="L396" i="1"/>
  <c r="K397" i="1"/>
  <c r="L397" i="1"/>
  <c r="K398" i="1"/>
  <c r="L398" i="1"/>
  <c r="K399" i="1"/>
  <c r="L399" i="1"/>
  <c r="K401" i="1"/>
  <c r="L401" i="1"/>
  <c r="K402" i="1"/>
  <c r="L402" i="1"/>
  <c r="K404" i="1"/>
  <c r="L404" i="1"/>
  <c r="K403" i="1"/>
  <c r="L403" i="1"/>
  <c r="K406" i="1"/>
  <c r="L406" i="1"/>
  <c r="K405" i="1"/>
  <c r="L405" i="1"/>
  <c r="K408" i="1"/>
  <c r="L408" i="1"/>
  <c r="K446" i="1"/>
  <c r="L446" i="1"/>
  <c r="K409" i="1"/>
  <c r="L409" i="1"/>
  <c r="K412" i="1"/>
  <c r="L412" i="1"/>
  <c r="K416" i="1"/>
  <c r="L416" i="1"/>
  <c r="K445" i="1"/>
  <c r="L445" i="1"/>
  <c r="K407" i="1"/>
  <c r="L407" i="1"/>
  <c r="K425" i="1"/>
  <c r="L425" i="1"/>
  <c r="K430" i="1"/>
  <c r="L430" i="1"/>
  <c r="K421" i="1"/>
  <c r="L421" i="1"/>
  <c r="K417" i="1"/>
  <c r="L417" i="1"/>
  <c r="K433" i="1"/>
  <c r="L433" i="1"/>
  <c r="K435" i="1"/>
  <c r="L435" i="1"/>
  <c r="K427" i="1"/>
  <c r="L427" i="1"/>
  <c r="K444" i="1"/>
  <c r="L444" i="1"/>
  <c r="K428" i="1"/>
  <c r="L428" i="1"/>
  <c r="K441" i="1"/>
  <c r="L441" i="1"/>
  <c r="K443" i="1"/>
  <c r="L443" i="1"/>
  <c r="K442" i="1"/>
  <c r="L442" i="1"/>
  <c r="K419" i="1"/>
  <c r="L419" i="1"/>
  <c r="K437" i="1"/>
  <c r="L437" i="1"/>
  <c r="K426" i="1"/>
  <c r="L426" i="1"/>
  <c r="K432" i="1"/>
  <c r="L432" i="1"/>
  <c r="K424" i="1"/>
  <c r="L424" i="1"/>
  <c r="K440" i="1"/>
  <c r="L440" i="1"/>
  <c r="K431" i="1"/>
  <c r="L431" i="1"/>
  <c r="K434" i="1"/>
  <c r="L434" i="1"/>
  <c r="K436" i="1"/>
  <c r="L436" i="1"/>
  <c r="K438" i="1"/>
  <c r="L438" i="1"/>
  <c r="K420" i="1"/>
  <c r="L420" i="1"/>
  <c r="K429" i="1"/>
  <c r="L429" i="1"/>
  <c r="K422" i="1"/>
  <c r="L422" i="1"/>
  <c r="K423" i="1"/>
  <c r="L423" i="1"/>
  <c r="K439" i="1"/>
  <c r="L439" i="1"/>
  <c r="K415" i="1"/>
  <c r="L415" i="1"/>
  <c r="K414" i="1"/>
  <c r="L414" i="1"/>
  <c r="K411" i="1"/>
  <c r="L411" i="1"/>
  <c r="K410" i="1"/>
  <c r="L410" i="1"/>
  <c r="K418" i="1"/>
  <c r="L418" i="1"/>
  <c r="K413" i="1"/>
  <c r="L413" i="1"/>
  <c r="K400" i="1"/>
  <c r="L400" i="1"/>
  <c r="K392" i="1"/>
  <c r="L392" i="1"/>
  <c r="K393" i="1"/>
  <c r="L393" i="1"/>
  <c r="K388" i="1"/>
  <c r="L388" i="1"/>
  <c r="K389" i="1"/>
  <c r="L389" i="1"/>
  <c r="K390" i="1"/>
  <c r="L390" i="1"/>
  <c r="K448" i="1"/>
  <c r="L448" i="1"/>
  <c r="K449" i="1"/>
  <c r="L449" i="1"/>
  <c r="K450" i="1"/>
  <c r="L450" i="1"/>
  <c r="K451" i="1"/>
  <c r="L451" i="1"/>
  <c r="K461" i="1"/>
  <c r="L461" i="1"/>
  <c r="K463" i="1"/>
  <c r="L463" i="1"/>
  <c r="K467" i="1"/>
  <c r="L467" i="1"/>
  <c r="K465" i="1"/>
  <c r="L465" i="1"/>
  <c r="K468" i="1"/>
  <c r="L468" i="1"/>
  <c r="K471" i="1"/>
  <c r="L471" i="1"/>
  <c r="K472" i="1"/>
  <c r="L472" i="1"/>
  <c r="K477" i="1"/>
  <c r="L477" i="1"/>
  <c r="K473" i="1"/>
  <c r="L473" i="1"/>
  <c r="K470" i="1"/>
  <c r="L470" i="1"/>
  <c r="K475" i="1"/>
  <c r="L475" i="1"/>
  <c r="K485" i="1"/>
  <c r="L485" i="1"/>
  <c r="K483" i="1"/>
  <c r="L483" i="1"/>
  <c r="K510" i="1"/>
  <c r="L510" i="1"/>
  <c r="K489" i="1"/>
  <c r="L489" i="1"/>
  <c r="K501" i="1"/>
  <c r="L501" i="1"/>
  <c r="K499" i="1"/>
  <c r="L499" i="1"/>
  <c r="K480" i="1"/>
  <c r="L480" i="1"/>
  <c r="K502" i="1"/>
  <c r="L502" i="1"/>
  <c r="K497" i="1"/>
  <c r="L497" i="1"/>
  <c r="K500" i="1"/>
  <c r="L500" i="1"/>
  <c r="K505" i="1"/>
  <c r="L505" i="1"/>
  <c r="K490" i="1"/>
  <c r="L490" i="1"/>
  <c r="K484" i="1"/>
  <c r="L484" i="1"/>
  <c r="K492" i="1"/>
  <c r="L492" i="1"/>
  <c r="K506" i="1"/>
  <c r="L506" i="1"/>
  <c r="K496" i="1"/>
  <c r="L496" i="1"/>
  <c r="K493" i="1"/>
  <c r="L493" i="1"/>
  <c r="K509" i="1"/>
  <c r="L509" i="1"/>
  <c r="K508" i="1"/>
  <c r="L508" i="1"/>
  <c r="K503" i="1"/>
  <c r="L503" i="1"/>
  <c r="K491" i="1"/>
  <c r="L491" i="1"/>
  <c r="K495" i="1"/>
  <c r="L495" i="1"/>
  <c r="K498" i="1"/>
  <c r="L498" i="1"/>
  <c r="K504" i="1"/>
  <c r="L504" i="1"/>
  <c r="K507" i="1"/>
  <c r="L507" i="1"/>
  <c r="K494" i="1"/>
  <c r="L494" i="1"/>
  <c r="K474" i="1"/>
  <c r="L474" i="1"/>
  <c r="K482" i="1"/>
  <c r="L482" i="1"/>
  <c r="K486" i="1"/>
  <c r="L486" i="1"/>
  <c r="K487" i="1"/>
  <c r="L487" i="1"/>
  <c r="K488" i="1"/>
  <c r="L488" i="1"/>
  <c r="K481" i="1"/>
  <c r="L481" i="1"/>
  <c r="K479" i="1"/>
  <c r="L479" i="1"/>
  <c r="K478" i="1"/>
  <c r="L478" i="1"/>
  <c r="K476" i="1"/>
  <c r="L476" i="1"/>
  <c r="K469" i="1"/>
  <c r="L469" i="1"/>
  <c r="K447" i="1"/>
  <c r="L447" i="1"/>
  <c r="K464" i="1"/>
  <c r="L464" i="1"/>
  <c r="K466" i="1"/>
  <c r="L466" i="1"/>
  <c r="K462" i="1"/>
  <c r="L462" i="1"/>
  <c r="K460" i="1"/>
  <c r="L460" i="1"/>
  <c r="K458" i="1"/>
  <c r="L458" i="1"/>
  <c r="K459" i="1"/>
  <c r="L459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512" i="1"/>
  <c r="L512" i="1"/>
  <c r="K511" i="1"/>
  <c r="L511" i="1"/>
  <c r="K520" i="1"/>
  <c r="L520" i="1"/>
  <c r="K523" i="1"/>
  <c r="L523" i="1"/>
  <c r="K524" i="1"/>
  <c r="L524" i="1"/>
  <c r="K525" i="1"/>
  <c r="L525" i="1"/>
  <c r="K527" i="1"/>
  <c r="L527" i="1"/>
  <c r="K528" i="1"/>
  <c r="L528" i="1"/>
  <c r="K532" i="1"/>
  <c r="L532" i="1"/>
  <c r="K530" i="1"/>
  <c r="L530" i="1"/>
  <c r="K529" i="1"/>
  <c r="L529" i="1"/>
  <c r="K531" i="1"/>
  <c r="L531" i="1"/>
  <c r="K540" i="1"/>
  <c r="L540" i="1"/>
  <c r="K534" i="1"/>
  <c r="L534" i="1"/>
  <c r="K535" i="1"/>
  <c r="L535" i="1"/>
  <c r="K539" i="1"/>
  <c r="L539" i="1"/>
  <c r="K536" i="1"/>
  <c r="L536" i="1"/>
  <c r="K537" i="1"/>
  <c r="L537" i="1"/>
  <c r="K549" i="1"/>
  <c r="L549" i="1"/>
  <c r="K547" i="1"/>
  <c r="L547" i="1"/>
  <c r="K541" i="1"/>
  <c r="L541" i="1"/>
  <c r="K542" i="1"/>
  <c r="L542" i="1"/>
  <c r="K545" i="1"/>
  <c r="L545" i="1"/>
  <c r="K548" i="1"/>
  <c r="L548" i="1"/>
  <c r="K543" i="1"/>
  <c r="L543" i="1"/>
  <c r="K538" i="1"/>
  <c r="L538" i="1"/>
  <c r="K546" i="1"/>
  <c r="L546" i="1"/>
  <c r="K544" i="1"/>
  <c r="L544" i="1"/>
  <c r="K533" i="1"/>
  <c r="L533" i="1"/>
  <c r="K526" i="1"/>
  <c r="L526" i="1"/>
  <c r="K522" i="1"/>
  <c r="L522" i="1"/>
  <c r="K521" i="1"/>
  <c r="L521" i="1"/>
  <c r="K519" i="1"/>
  <c r="L519" i="1"/>
  <c r="K514" i="1"/>
  <c r="L514" i="1"/>
  <c r="K513" i="1"/>
  <c r="L513" i="1"/>
  <c r="K515" i="1"/>
  <c r="L515" i="1"/>
  <c r="K516" i="1"/>
  <c r="L516" i="1"/>
  <c r="K517" i="1"/>
  <c r="L517" i="1"/>
  <c r="K518" i="1"/>
  <c r="L518" i="1"/>
  <c r="K550" i="1"/>
  <c r="L550" i="1"/>
  <c r="K551" i="1"/>
  <c r="L551" i="1"/>
  <c r="K552" i="1"/>
  <c r="L552" i="1"/>
  <c r="K553" i="1"/>
  <c r="L553" i="1"/>
  <c r="K554" i="1"/>
  <c r="L554" i="1"/>
  <c r="K558" i="1"/>
  <c r="L558" i="1"/>
  <c r="K561" i="1"/>
  <c r="L561" i="1"/>
  <c r="K563" i="1"/>
  <c r="L563" i="1"/>
  <c r="K566" i="1"/>
  <c r="L566" i="1"/>
  <c r="K567" i="1"/>
  <c r="L567" i="1"/>
  <c r="K562" i="1"/>
  <c r="L562" i="1"/>
  <c r="K564" i="1"/>
  <c r="L564" i="1"/>
  <c r="K568" i="1"/>
  <c r="L568" i="1"/>
  <c r="K569" i="1"/>
  <c r="L569" i="1"/>
  <c r="K570" i="1"/>
  <c r="L570" i="1"/>
  <c r="K572" i="1"/>
  <c r="L572" i="1"/>
  <c r="K573" i="1"/>
  <c r="L573" i="1"/>
  <c r="K578" i="1"/>
  <c r="L578" i="1"/>
  <c r="K577" i="1"/>
  <c r="L577" i="1"/>
  <c r="K581" i="1"/>
  <c r="L581" i="1"/>
  <c r="K586" i="1"/>
  <c r="L586" i="1"/>
  <c r="K580" i="1"/>
  <c r="L580" i="1"/>
  <c r="K583" i="1"/>
  <c r="L583" i="1"/>
  <c r="K579" i="1"/>
  <c r="L579" i="1"/>
  <c r="K571" i="1"/>
  <c r="L571" i="1"/>
  <c r="K587" i="1"/>
  <c r="L587" i="1"/>
  <c r="K582" i="1"/>
  <c r="L582" i="1"/>
  <c r="K585" i="1"/>
  <c r="L585" i="1"/>
  <c r="K575" i="1"/>
  <c r="L575" i="1"/>
  <c r="K574" i="1"/>
  <c r="L574" i="1"/>
  <c r="K584" i="1"/>
  <c r="L584" i="1"/>
  <c r="K576" i="1"/>
  <c r="L576" i="1"/>
  <c r="K565" i="1"/>
  <c r="L565" i="1"/>
  <c r="K560" i="1"/>
  <c r="L560" i="1"/>
  <c r="K559" i="1"/>
  <c r="L559" i="1"/>
  <c r="K557" i="1"/>
  <c r="L557" i="1"/>
  <c r="K556" i="1"/>
  <c r="L556" i="1"/>
  <c r="K555" i="1"/>
  <c r="L555" i="1"/>
  <c r="K589" i="1"/>
  <c r="L589" i="1"/>
  <c r="K590" i="1"/>
  <c r="L590" i="1"/>
  <c r="K591" i="1"/>
  <c r="L591" i="1"/>
  <c r="K592" i="1"/>
  <c r="L592" i="1"/>
  <c r="K594" i="1"/>
  <c r="L594" i="1"/>
  <c r="K596" i="1"/>
  <c r="L596" i="1"/>
  <c r="K597" i="1"/>
  <c r="L597" i="1"/>
  <c r="K600" i="1"/>
  <c r="L600" i="1"/>
  <c r="K599" i="1"/>
  <c r="L599" i="1"/>
  <c r="K601" i="1"/>
  <c r="L601" i="1"/>
  <c r="K602" i="1"/>
  <c r="L602" i="1"/>
  <c r="K605" i="1"/>
  <c r="L605" i="1"/>
  <c r="K604" i="1"/>
  <c r="L604" i="1"/>
  <c r="K606" i="1"/>
  <c r="L606" i="1"/>
  <c r="K614" i="1"/>
  <c r="L614" i="1"/>
  <c r="K616" i="1"/>
  <c r="L616" i="1"/>
  <c r="K617" i="1"/>
  <c r="L617" i="1"/>
  <c r="K615" i="1"/>
  <c r="L615" i="1"/>
  <c r="K624" i="1"/>
  <c r="L624" i="1"/>
  <c r="K623" i="1"/>
  <c r="L623" i="1"/>
  <c r="K621" i="1"/>
  <c r="L621" i="1"/>
  <c r="K626" i="1"/>
  <c r="L626" i="1"/>
  <c r="K622" i="1"/>
  <c r="L622" i="1"/>
  <c r="K625" i="1"/>
  <c r="L625" i="1"/>
  <c r="K628" i="1"/>
  <c r="L628" i="1"/>
  <c r="K618" i="1"/>
  <c r="L618" i="1"/>
  <c r="K620" i="1"/>
  <c r="L620" i="1"/>
  <c r="K612" i="1"/>
  <c r="L612" i="1"/>
  <c r="K627" i="1"/>
  <c r="L627" i="1"/>
  <c r="K619" i="1"/>
  <c r="L619" i="1"/>
  <c r="K611" i="1"/>
  <c r="L611" i="1"/>
  <c r="K613" i="1"/>
  <c r="L613" i="1"/>
  <c r="K609" i="1"/>
  <c r="L609" i="1"/>
  <c r="K610" i="1"/>
  <c r="L610" i="1"/>
  <c r="K607" i="1"/>
  <c r="L607" i="1"/>
  <c r="K608" i="1"/>
  <c r="L608" i="1"/>
  <c r="K603" i="1"/>
  <c r="L603" i="1"/>
  <c r="K598" i="1"/>
  <c r="L598" i="1"/>
  <c r="K595" i="1"/>
  <c r="L595" i="1"/>
  <c r="K593" i="1"/>
  <c r="L593" i="1"/>
  <c r="K588" i="1"/>
  <c r="L588" i="1"/>
  <c r="K629" i="1"/>
  <c r="L629" i="1"/>
  <c r="K630" i="1"/>
  <c r="L630" i="1"/>
  <c r="K633" i="1"/>
  <c r="L633" i="1"/>
  <c r="K632" i="1"/>
  <c r="L632" i="1"/>
  <c r="K638" i="1"/>
  <c r="L638" i="1"/>
  <c r="K640" i="1"/>
  <c r="L640" i="1"/>
  <c r="K641" i="1"/>
  <c r="L641" i="1"/>
  <c r="K639" i="1"/>
  <c r="L639" i="1"/>
  <c r="K642" i="1"/>
  <c r="L642" i="1"/>
  <c r="K646" i="1"/>
  <c r="L646" i="1"/>
  <c r="K652" i="1"/>
  <c r="L652" i="1"/>
  <c r="K644" i="1"/>
  <c r="L644" i="1"/>
  <c r="K651" i="1"/>
  <c r="L651" i="1"/>
  <c r="K653" i="1"/>
  <c r="L653" i="1"/>
  <c r="K649" i="1"/>
  <c r="L649" i="1"/>
  <c r="K647" i="1"/>
  <c r="L647" i="1"/>
  <c r="K659" i="1"/>
  <c r="L659" i="1"/>
  <c r="K658" i="1"/>
  <c r="L658" i="1"/>
  <c r="K667" i="1"/>
  <c r="L667" i="1"/>
  <c r="K660" i="1"/>
  <c r="L660" i="1"/>
  <c r="K663" i="1"/>
  <c r="L663" i="1"/>
  <c r="K650" i="1"/>
  <c r="L650" i="1"/>
  <c r="K664" i="1"/>
  <c r="L664" i="1"/>
  <c r="K656" i="1"/>
  <c r="L656" i="1"/>
  <c r="K668" i="1"/>
  <c r="L668" i="1"/>
  <c r="K665" i="1"/>
  <c r="L665" i="1"/>
  <c r="K662" i="1"/>
  <c r="L662" i="1"/>
  <c r="K669" i="1"/>
  <c r="L669" i="1"/>
  <c r="K654" i="1"/>
  <c r="L654" i="1"/>
  <c r="K666" i="1"/>
  <c r="L666" i="1"/>
  <c r="K655" i="1"/>
  <c r="L655" i="1"/>
  <c r="K657" i="1"/>
  <c r="L657" i="1"/>
  <c r="K661" i="1"/>
  <c r="L661" i="1"/>
  <c r="K648" i="1"/>
  <c r="L648" i="1"/>
  <c r="K643" i="1"/>
  <c r="L643" i="1"/>
  <c r="K645" i="1"/>
  <c r="L645" i="1"/>
  <c r="K636" i="1"/>
  <c r="L636" i="1"/>
  <c r="K637" i="1"/>
  <c r="L637" i="1"/>
  <c r="K635" i="1"/>
  <c r="L635" i="1"/>
  <c r="K634" i="1"/>
  <c r="L634" i="1"/>
  <c r="K631" i="1"/>
  <c r="L631" i="1"/>
  <c r="K670" i="1"/>
  <c r="L670" i="1"/>
  <c r="K671" i="1"/>
  <c r="L671" i="1"/>
  <c r="K672" i="1"/>
  <c r="L672" i="1"/>
  <c r="K674" i="1"/>
  <c r="L674" i="1"/>
  <c r="K673" i="1"/>
  <c r="L673" i="1"/>
  <c r="K679" i="1"/>
  <c r="L679" i="1"/>
  <c r="K677" i="1"/>
  <c r="L677" i="1"/>
  <c r="K682" i="1"/>
  <c r="L682" i="1"/>
  <c r="K681" i="1"/>
  <c r="L681" i="1"/>
  <c r="K690" i="1"/>
  <c r="L690" i="1"/>
  <c r="K686" i="1"/>
  <c r="L686" i="1"/>
  <c r="K685" i="1"/>
  <c r="L685" i="1"/>
  <c r="K687" i="1"/>
  <c r="L687" i="1"/>
  <c r="K694" i="1"/>
  <c r="L694" i="1"/>
  <c r="K689" i="1"/>
  <c r="L689" i="1"/>
  <c r="K699" i="1"/>
  <c r="L699" i="1"/>
  <c r="K691" i="1"/>
  <c r="L691" i="1"/>
  <c r="K695" i="1"/>
  <c r="L695" i="1"/>
  <c r="K696" i="1"/>
  <c r="L696" i="1"/>
  <c r="K698" i="1"/>
  <c r="L698" i="1"/>
  <c r="K688" i="1"/>
  <c r="L688" i="1"/>
  <c r="K697" i="1"/>
  <c r="L697" i="1"/>
  <c r="K693" i="1"/>
  <c r="L693" i="1"/>
  <c r="K692" i="1"/>
  <c r="L692" i="1"/>
  <c r="K683" i="1"/>
  <c r="L683" i="1"/>
  <c r="K684" i="1"/>
  <c r="L684" i="1"/>
  <c r="K678" i="1"/>
  <c r="L678" i="1"/>
  <c r="K680" i="1"/>
  <c r="L680" i="1"/>
  <c r="K676" i="1"/>
  <c r="L676" i="1"/>
  <c r="K675" i="1"/>
  <c r="L675" i="1"/>
  <c r="K700" i="1"/>
  <c r="L700" i="1"/>
  <c r="K701" i="1"/>
  <c r="L701" i="1"/>
  <c r="K702" i="1"/>
  <c r="L702" i="1"/>
  <c r="K703" i="1"/>
  <c r="L703" i="1"/>
  <c r="K704" i="1"/>
  <c r="L704" i="1"/>
  <c r="K711" i="1"/>
  <c r="L711" i="1"/>
  <c r="K709" i="1"/>
  <c r="L709" i="1"/>
  <c r="K710" i="1"/>
  <c r="L710" i="1"/>
  <c r="K715" i="1"/>
  <c r="L715" i="1"/>
  <c r="K713" i="1"/>
  <c r="L713" i="1"/>
  <c r="K714" i="1"/>
  <c r="L714" i="1"/>
  <c r="K720" i="1"/>
  <c r="L720" i="1"/>
  <c r="K717" i="1"/>
  <c r="L717" i="1"/>
  <c r="K722" i="1"/>
  <c r="L722" i="1"/>
  <c r="K721" i="1"/>
  <c r="L721" i="1"/>
  <c r="K725" i="1"/>
  <c r="L725" i="1"/>
  <c r="K716" i="1"/>
  <c r="L716" i="1"/>
  <c r="K723" i="1"/>
  <c r="L723" i="1"/>
  <c r="K724" i="1"/>
  <c r="L724" i="1"/>
  <c r="K728" i="1"/>
  <c r="L728" i="1"/>
  <c r="K732" i="1"/>
  <c r="L732" i="1"/>
  <c r="K727" i="1"/>
  <c r="L727" i="1"/>
  <c r="K726" i="1"/>
  <c r="L726" i="1"/>
  <c r="K733" i="1"/>
  <c r="L733" i="1"/>
  <c r="K729" i="1"/>
  <c r="L729" i="1"/>
  <c r="K731" i="1"/>
  <c r="L731" i="1"/>
  <c r="K730" i="1"/>
  <c r="L730" i="1"/>
  <c r="K719" i="1"/>
  <c r="L719" i="1"/>
  <c r="K718" i="1"/>
  <c r="L718" i="1"/>
  <c r="K712" i="1"/>
  <c r="L712" i="1"/>
  <c r="K705" i="1"/>
  <c r="L705" i="1"/>
  <c r="K706" i="1"/>
  <c r="L706" i="1"/>
  <c r="K707" i="1"/>
  <c r="L707" i="1"/>
  <c r="K708" i="1"/>
  <c r="L708" i="1"/>
  <c r="K735" i="1"/>
  <c r="L735" i="1"/>
  <c r="K736" i="1"/>
  <c r="L736" i="1"/>
  <c r="K737" i="1"/>
  <c r="L737" i="1"/>
  <c r="K738" i="1"/>
  <c r="L738" i="1"/>
  <c r="K739" i="1"/>
  <c r="L739" i="1"/>
  <c r="K743" i="1"/>
  <c r="L743" i="1"/>
  <c r="K740" i="1"/>
  <c r="L740" i="1"/>
  <c r="K744" i="1"/>
  <c r="L744" i="1"/>
  <c r="K746" i="1"/>
  <c r="L746" i="1"/>
  <c r="K752" i="1"/>
  <c r="L752" i="1"/>
  <c r="K759" i="1"/>
  <c r="L759" i="1"/>
  <c r="K751" i="1"/>
  <c r="L751" i="1"/>
  <c r="K750" i="1"/>
  <c r="L750" i="1"/>
  <c r="K760" i="1"/>
  <c r="L760" i="1"/>
  <c r="K748" i="1"/>
  <c r="L748" i="1"/>
  <c r="K753" i="1"/>
  <c r="L753" i="1"/>
  <c r="K754" i="1"/>
  <c r="L754" i="1"/>
  <c r="K749" i="1"/>
  <c r="L749" i="1"/>
  <c r="K756" i="1"/>
  <c r="L756" i="1"/>
  <c r="K764" i="1"/>
  <c r="L764" i="1"/>
  <c r="K762" i="1"/>
  <c r="L762" i="1"/>
  <c r="K763" i="1"/>
  <c r="L763" i="1"/>
  <c r="K765" i="1"/>
  <c r="L765" i="1"/>
  <c r="K771" i="1"/>
  <c r="L771" i="1"/>
  <c r="K770" i="1"/>
  <c r="L770" i="1"/>
  <c r="K755" i="1"/>
  <c r="L755" i="1"/>
  <c r="K766" i="1"/>
  <c r="L766" i="1"/>
  <c r="K774" i="1"/>
  <c r="L774" i="1"/>
  <c r="K773" i="1"/>
  <c r="L773" i="1"/>
  <c r="K776" i="1"/>
  <c r="L776" i="1"/>
  <c r="K772" i="1"/>
  <c r="L772" i="1"/>
  <c r="K767" i="1"/>
  <c r="L767" i="1"/>
  <c r="K769" i="1"/>
  <c r="L769" i="1"/>
  <c r="K775" i="1"/>
  <c r="L775" i="1"/>
  <c r="K761" i="1"/>
  <c r="L761" i="1"/>
  <c r="K768" i="1"/>
  <c r="L768" i="1"/>
  <c r="K757" i="1"/>
  <c r="L757" i="1"/>
  <c r="K758" i="1"/>
  <c r="L758" i="1"/>
  <c r="K745" i="1"/>
  <c r="L745" i="1"/>
  <c r="K747" i="1"/>
  <c r="L747" i="1"/>
  <c r="K741" i="1"/>
  <c r="L741" i="1"/>
  <c r="K742" i="1"/>
  <c r="L742" i="1"/>
  <c r="K734" i="1"/>
  <c r="L734" i="1"/>
  <c r="K778" i="1"/>
  <c r="L778" i="1"/>
  <c r="K779" i="1"/>
  <c r="L779" i="1"/>
  <c r="K782" i="1"/>
  <c r="L782" i="1"/>
  <c r="K784" i="1"/>
  <c r="L784" i="1"/>
  <c r="K783" i="1"/>
  <c r="L783" i="1"/>
  <c r="K785" i="1"/>
  <c r="L785" i="1"/>
  <c r="K786" i="1"/>
  <c r="L786" i="1"/>
  <c r="K789" i="1"/>
  <c r="L789" i="1"/>
  <c r="K788" i="1"/>
  <c r="L788" i="1"/>
  <c r="K790" i="1"/>
  <c r="L790" i="1"/>
  <c r="K795" i="1"/>
  <c r="L795" i="1"/>
  <c r="K793" i="1"/>
  <c r="L793" i="1"/>
  <c r="K800" i="1"/>
  <c r="L800" i="1"/>
  <c r="K798" i="1"/>
  <c r="L798" i="1"/>
  <c r="K801" i="1"/>
  <c r="L801" i="1"/>
  <c r="K799" i="1"/>
  <c r="L799" i="1"/>
  <c r="K804" i="1"/>
  <c r="L804" i="1"/>
  <c r="K802" i="1"/>
  <c r="L802" i="1"/>
  <c r="K803" i="1"/>
  <c r="L803" i="1"/>
  <c r="K815" i="1"/>
  <c r="L815" i="1"/>
  <c r="K805" i="1"/>
  <c r="L805" i="1"/>
  <c r="K812" i="1"/>
  <c r="L812" i="1"/>
  <c r="K807" i="1"/>
  <c r="L807" i="1"/>
  <c r="K796" i="1"/>
  <c r="L796" i="1"/>
  <c r="K808" i="1"/>
  <c r="L808" i="1"/>
  <c r="K813" i="1"/>
  <c r="L813" i="1"/>
  <c r="K806" i="1"/>
  <c r="L806" i="1"/>
  <c r="K809" i="1"/>
  <c r="L809" i="1"/>
  <c r="K810" i="1"/>
  <c r="L810" i="1"/>
  <c r="K814" i="1"/>
  <c r="L814" i="1"/>
  <c r="K811" i="1"/>
  <c r="L811" i="1"/>
  <c r="K792" i="1"/>
  <c r="L792" i="1"/>
  <c r="K791" i="1"/>
  <c r="L791" i="1"/>
  <c r="K797" i="1"/>
  <c r="L797" i="1"/>
  <c r="K787" i="1"/>
  <c r="L787" i="1"/>
  <c r="K794" i="1"/>
  <c r="L794" i="1"/>
  <c r="K780" i="1"/>
  <c r="L780" i="1"/>
  <c r="K781" i="1"/>
  <c r="L781" i="1"/>
  <c r="K777" i="1"/>
  <c r="L777" i="1"/>
  <c r="K816" i="1"/>
  <c r="L816" i="1"/>
  <c r="K817" i="1"/>
  <c r="L817" i="1"/>
  <c r="K818" i="1"/>
  <c r="L818" i="1"/>
  <c r="K820" i="1"/>
  <c r="L820" i="1"/>
  <c r="K821" i="1"/>
  <c r="L821" i="1"/>
  <c r="K822" i="1"/>
  <c r="L822" i="1"/>
  <c r="K823" i="1"/>
  <c r="L823" i="1"/>
  <c r="K824" i="1"/>
  <c r="L824" i="1"/>
  <c r="K826" i="1"/>
  <c r="L826" i="1"/>
  <c r="K827" i="1"/>
  <c r="L827" i="1"/>
  <c r="K828" i="1"/>
  <c r="L828" i="1"/>
  <c r="K835" i="1"/>
  <c r="L835" i="1"/>
  <c r="K831" i="1"/>
  <c r="L831" i="1"/>
  <c r="K829" i="1"/>
  <c r="L829" i="1"/>
  <c r="K830" i="1"/>
  <c r="L830" i="1"/>
  <c r="K834" i="1"/>
  <c r="L834" i="1"/>
  <c r="K839" i="1"/>
  <c r="L839" i="1"/>
  <c r="K836" i="1"/>
  <c r="L836" i="1"/>
  <c r="K846" i="1"/>
  <c r="L846" i="1"/>
  <c r="K850" i="1"/>
  <c r="L850" i="1"/>
  <c r="K841" i="1"/>
  <c r="L841" i="1"/>
  <c r="K842" i="1"/>
  <c r="L842" i="1"/>
  <c r="K853" i="1"/>
  <c r="L853" i="1"/>
  <c r="K849" i="1"/>
  <c r="L849" i="1"/>
  <c r="K843" i="1"/>
  <c r="L843" i="1"/>
  <c r="K847" i="1"/>
  <c r="L847" i="1"/>
  <c r="K852" i="1"/>
  <c r="L852" i="1"/>
  <c r="K848" i="1"/>
  <c r="L848" i="1"/>
  <c r="K851" i="1"/>
  <c r="L851" i="1"/>
  <c r="K838" i="1"/>
  <c r="L838" i="1"/>
  <c r="K845" i="1"/>
  <c r="L845" i="1"/>
  <c r="K840" i="1"/>
  <c r="L840" i="1"/>
  <c r="K844" i="1"/>
  <c r="L844" i="1"/>
  <c r="K833" i="1"/>
  <c r="L833" i="1"/>
  <c r="K837" i="1"/>
  <c r="L837" i="1"/>
  <c r="K832" i="1"/>
  <c r="L832" i="1"/>
  <c r="K825" i="1"/>
  <c r="L825" i="1"/>
  <c r="K819" i="1"/>
  <c r="L819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3" i="1"/>
  <c r="L863" i="1"/>
  <c r="K864" i="1"/>
  <c r="L864" i="1"/>
  <c r="K866" i="1"/>
  <c r="L866" i="1"/>
  <c r="K868" i="1"/>
  <c r="L868" i="1"/>
  <c r="K867" i="1"/>
  <c r="L867" i="1"/>
  <c r="K870" i="1"/>
  <c r="L870" i="1"/>
  <c r="K874" i="1"/>
  <c r="L874" i="1"/>
  <c r="K879" i="1"/>
  <c r="L879" i="1"/>
  <c r="K878" i="1"/>
  <c r="L878" i="1"/>
  <c r="K877" i="1"/>
  <c r="L877" i="1"/>
  <c r="K873" i="1"/>
  <c r="L873" i="1"/>
  <c r="K869" i="1"/>
  <c r="L869" i="1"/>
  <c r="K880" i="1"/>
  <c r="L880" i="1"/>
  <c r="K875" i="1"/>
  <c r="L875" i="1"/>
  <c r="K871" i="1"/>
  <c r="L871" i="1"/>
  <c r="K865" i="1"/>
  <c r="L865" i="1"/>
  <c r="K876" i="1"/>
  <c r="L876" i="1"/>
  <c r="K872" i="1"/>
  <c r="L872" i="1"/>
  <c r="K862" i="1"/>
  <c r="L862" i="1"/>
  <c r="K854" i="1"/>
  <c r="L854" i="1"/>
  <c r="K882" i="1"/>
  <c r="L882" i="1"/>
  <c r="K883" i="1"/>
  <c r="L883" i="1"/>
  <c r="K884" i="1"/>
  <c r="L884" i="1"/>
  <c r="K885" i="1"/>
  <c r="L885" i="1"/>
  <c r="K887" i="1"/>
  <c r="L887" i="1"/>
  <c r="K888" i="1"/>
  <c r="L888" i="1"/>
  <c r="K886" i="1"/>
  <c r="L886" i="1"/>
  <c r="K889" i="1"/>
  <c r="L889" i="1"/>
  <c r="K890" i="1"/>
  <c r="L890" i="1"/>
  <c r="K900" i="1"/>
  <c r="L900" i="1"/>
  <c r="K901" i="1"/>
  <c r="L901" i="1"/>
  <c r="K891" i="1"/>
  <c r="L891" i="1"/>
  <c r="K902" i="1"/>
  <c r="L902" i="1"/>
  <c r="K899" i="1"/>
  <c r="L899" i="1"/>
  <c r="K898" i="1"/>
  <c r="L898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81" i="1"/>
  <c r="L881" i="1"/>
  <c r="K905" i="1"/>
  <c r="L905" i="1"/>
  <c r="K906" i="1"/>
  <c r="L906" i="1"/>
  <c r="K907" i="1"/>
  <c r="L907" i="1"/>
  <c r="K909" i="1"/>
  <c r="L909" i="1"/>
  <c r="K908" i="1"/>
  <c r="L908" i="1"/>
  <c r="K910" i="1"/>
  <c r="L910" i="1"/>
  <c r="K911" i="1"/>
  <c r="L911" i="1"/>
  <c r="K912" i="1"/>
  <c r="L912" i="1"/>
  <c r="K914" i="1"/>
  <c r="L914" i="1"/>
  <c r="K913" i="1"/>
  <c r="L913" i="1"/>
  <c r="K915" i="1"/>
  <c r="L915" i="1"/>
  <c r="K917" i="1"/>
  <c r="L917" i="1"/>
  <c r="K916" i="1"/>
  <c r="L916" i="1"/>
  <c r="K918" i="1"/>
  <c r="L918" i="1"/>
  <c r="K919" i="1"/>
  <c r="L919" i="1"/>
  <c r="K930" i="1"/>
  <c r="L930" i="1"/>
  <c r="K933" i="1"/>
  <c r="L933" i="1"/>
  <c r="K920" i="1"/>
  <c r="L920" i="1"/>
  <c r="K931" i="1"/>
  <c r="L931" i="1"/>
  <c r="K921" i="1"/>
  <c r="L921" i="1"/>
  <c r="K922" i="1"/>
  <c r="L922" i="1"/>
  <c r="K932" i="1"/>
  <c r="L93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04" i="1"/>
  <c r="L904" i="1"/>
  <c r="K903" i="1"/>
  <c r="L903" i="1"/>
  <c r="K934" i="1"/>
  <c r="L934" i="1"/>
  <c r="K937" i="1"/>
  <c r="L937" i="1"/>
  <c r="K936" i="1"/>
  <c r="L936" i="1"/>
  <c r="K938" i="1"/>
  <c r="L938" i="1"/>
  <c r="K939" i="1"/>
  <c r="L939" i="1"/>
  <c r="K940" i="1"/>
  <c r="L940" i="1"/>
  <c r="K942" i="1"/>
  <c r="L942" i="1"/>
  <c r="K941" i="1"/>
  <c r="L941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35" i="1"/>
  <c r="L935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62" i="1"/>
  <c r="L962" i="1"/>
  <c r="K961" i="1"/>
  <c r="L961" i="1"/>
  <c r="K960" i="1"/>
  <c r="L960" i="1"/>
  <c r="K959" i="1"/>
  <c r="L959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73" i="1"/>
  <c r="L973" i="1"/>
  <c r="K989" i="1"/>
  <c r="L989" i="1"/>
  <c r="K987" i="1"/>
  <c r="L987" i="1"/>
  <c r="K991" i="1"/>
  <c r="L991" i="1"/>
  <c r="K992" i="1"/>
  <c r="L992" i="1"/>
  <c r="K993" i="1"/>
  <c r="L993" i="1"/>
  <c r="K994" i="1"/>
  <c r="L994" i="1"/>
  <c r="K996" i="1"/>
  <c r="L996" i="1"/>
  <c r="K995" i="1"/>
  <c r="L995" i="1"/>
  <c r="K997" i="1"/>
  <c r="L997" i="1"/>
  <c r="K998" i="1"/>
  <c r="L998" i="1"/>
  <c r="K999" i="1"/>
  <c r="L999" i="1"/>
  <c r="K990" i="1"/>
  <c r="L990" i="1"/>
  <c r="K988" i="1"/>
  <c r="L988" i="1"/>
  <c r="K986" i="1"/>
  <c r="L986" i="1"/>
  <c r="K985" i="1"/>
  <c r="L985" i="1"/>
  <c r="K984" i="1"/>
  <c r="L984" i="1"/>
  <c r="K1000" i="1"/>
  <c r="L1000" i="1"/>
  <c r="K1003" i="1"/>
  <c r="L1003" i="1"/>
  <c r="K1006" i="1"/>
  <c r="L1006" i="1"/>
  <c r="K1008" i="1"/>
  <c r="L1008" i="1"/>
  <c r="K1002" i="1"/>
  <c r="L1002" i="1"/>
  <c r="K1013" i="1"/>
  <c r="L1013" i="1"/>
  <c r="K1009" i="1"/>
  <c r="L1009" i="1"/>
  <c r="K1010" i="1"/>
  <c r="L1010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12" i="1"/>
  <c r="L1012" i="1"/>
  <c r="K1011" i="1"/>
  <c r="L1011" i="1"/>
  <c r="K1007" i="1"/>
  <c r="L1007" i="1"/>
  <c r="K1005" i="1"/>
  <c r="L1005" i="1"/>
  <c r="K1004" i="1"/>
  <c r="L1004" i="1"/>
  <c r="K1001" i="1"/>
  <c r="L1001" i="1"/>
  <c r="K1020" i="1"/>
  <c r="L1020" i="1"/>
  <c r="K1021" i="1"/>
  <c r="L1021" i="1"/>
  <c r="K1022" i="1"/>
  <c r="L1022" i="1"/>
  <c r="K1024" i="1"/>
  <c r="L1024" i="1"/>
  <c r="K1023" i="1"/>
  <c r="L1023" i="1"/>
  <c r="K1027" i="1"/>
  <c r="L1027" i="1"/>
  <c r="K1029" i="1"/>
  <c r="L1029" i="1"/>
  <c r="K1028" i="1"/>
  <c r="L1028" i="1"/>
  <c r="K1030" i="1"/>
  <c r="L1030" i="1"/>
  <c r="K1026" i="1"/>
  <c r="L1026" i="1"/>
  <c r="K1025" i="1"/>
  <c r="L1025" i="1"/>
  <c r="K1031" i="1"/>
  <c r="L1031" i="1"/>
  <c r="K1033" i="1"/>
  <c r="L1033" i="1"/>
  <c r="K1035" i="1"/>
  <c r="L1035" i="1"/>
  <c r="K1036" i="1"/>
  <c r="L1036" i="1"/>
  <c r="K1041" i="1"/>
  <c r="L1041" i="1"/>
  <c r="K1037" i="1"/>
  <c r="L1037" i="1"/>
  <c r="K1040" i="1"/>
  <c r="L1040" i="1"/>
  <c r="K1039" i="1"/>
  <c r="L1039" i="1"/>
  <c r="K1034" i="1"/>
  <c r="L1034" i="1"/>
  <c r="K1038" i="1"/>
  <c r="L1038" i="1"/>
  <c r="K1032" i="1"/>
  <c r="L1032" i="1"/>
  <c r="K1044" i="1"/>
  <c r="L1044" i="1"/>
  <c r="K1042" i="1"/>
  <c r="L1042" i="1"/>
  <c r="K1045" i="1"/>
  <c r="L1045" i="1"/>
  <c r="K1046" i="1"/>
  <c r="L1046" i="1"/>
  <c r="K1051" i="1"/>
  <c r="L1051" i="1"/>
  <c r="K1052" i="1"/>
  <c r="L1052" i="1"/>
  <c r="K1056" i="1"/>
  <c r="L1056" i="1"/>
  <c r="K1054" i="1"/>
  <c r="L1054" i="1"/>
  <c r="K1057" i="1"/>
  <c r="L1057" i="1"/>
  <c r="K1053" i="1"/>
  <c r="L1053" i="1"/>
  <c r="K1059" i="1"/>
  <c r="L1059" i="1"/>
  <c r="K1058" i="1"/>
  <c r="L1058" i="1"/>
  <c r="K1055" i="1"/>
  <c r="L1055" i="1"/>
  <c r="K1049" i="1"/>
  <c r="L1049" i="1"/>
  <c r="K1050" i="1"/>
  <c r="L1050" i="1"/>
  <c r="K1047" i="1"/>
  <c r="L1047" i="1"/>
  <c r="K1048" i="1"/>
  <c r="L1048" i="1"/>
  <c r="K1043" i="1"/>
  <c r="L1043" i="1"/>
  <c r="K1060" i="1"/>
  <c r="L1060" i="1"/>
  <c r="K1063" i="1"/>
  <c r="L1063" i="1"/>
  <c r="K1067" i="1"/>
  <c r="L1067" i="1"/>
  <c r="K1064" i="1"/>
  <c r="L1064" i="1"/>
  <c r="K1069" i="1"/>
  <c r="L1069" i="1"/>
  <c r="K1066" i="1"/>
  <c r="L1066" i="1"/>
  <c r="K1070" i="1"/>
  <c r="L1070" i="1"/>
  <c r="K1073" i="1"/>
  <c r="L1073" i="1"/>
  <c r="K1074" i="1"/>
  <c r="L1074" i="1"/>
  <c r="K1071" i="1"/>
  <c r="L1071" i="1"/>
  <c r="K1075" i="1"/>
  <c r="L1075" i="1"/>
  <c r="K1082" i="1"/>
  <c r="L1082" i="1"/>
  <c r="K1081" i="1"/>
  <c r="L1081" i="1"/>
  <c r="K1083" i="1"/>
  <c r="L1083" i="1"/>
  <c r="K1085" i="1"/>
  <c r="L1085" i="1"/>
  <c r="K1079" i="1"/>
  <c r="L1079" i="1"/>
  <c r="K1086" i="1"/>
  <c r="L1086" i="1"/>
  <c r="K1087" i="1"/>
  <c r="L1087" i="1"/>
  <c r="K1088" i="1"/>
  <c r="L1088" i="1"/>
  <c r="K1076" i="1"/>
  <c r="L1076" i="1"/>
  <c r="K1080" i="1"/>
  <c r="L1080" i="1"/>
  <c r="K1077" i="1"/>
  <c r="L1077" i="1"/>
  <c r="K1084" i="1"/>
  <c r="L1084" i="1"/>
  <c r="K1078" i="1"/>
  <c r="L1078" i="1"/>
  <c r="K1072" i="1"/>
  <c r="L1072" i="1"/>
  <c r="K1068" i="1"/>
  <c r="L1068" i="1"/>
  <c r="K1065" i="1"/>
  <c r="L1065" i="1"/>
  <c r="K1062" i="1"/>
  <c r="L1062" i="1"/>
  <c r="K1061" i="1"/>
  <c r="L1061" i="1"/>
  <c r="K1091" i="1"/>
  <c r="L1091" i="1"/>
  <c r="K1099" i="1"/>
  <c r="L1099" i="1"/>
  <c r="K1100" i="1"/>
  <c r="L1100" i="1"/>
  <c r="K1101" i="1"/>
  <c r="L1101" i="1"/>
  <c r="K1103" i="1"/>
  <c r="L1103" i="1"/>
  <c r="K1105" i="1"/>
  <c r="L1105" i="1"/>
  <c r="K1097" i="1"/>
  <c r="L1097" i="1"/>
  <c r="K1106" i="1"/>
  <c r="L1106" i="1"/>
  <c r="K1107" i="1"/>
  <c r="L1107" i="1"/>
  <c r="K1108" i="1"/>
  <c r="L1108" i="1"/>
  <c r="K1109" i="1"/>
  <c r="L1109" i="1"/>
  <c r="K1112" i="1"/>
  <c r="L1112" i="1"/>
  <c r="K1111" i="1"/>
  <c r="L1111" i="1"/>
  <c r="K1116" i="1"/>
  <c r="L1116" i="1"/>
  <c r="K1113" i="1"/>
  <c r="L1113" i="1"/>
  <c r="K1115" i="1"/>
  <c r="L1115" i="1"/>
  <c r="K1117" i="1"/>
  <c r="L1117" i="1"/>
  <c r="K1110" i="1"/>
  <c r="L1110" i="1"/>
  <c r="K1114" i="1"/>
  <c r="L1114" i="1"/>
  <c r="K1104" i="1"/>
  <c r="L1104" i="1"/>
  <c r="K1102" i="1"/>
  <c r="L1102" i="1"/>
  <c r="K1098" i="1"/>
  <c r="L1098" i="1"/>
  <c r="K1096" i="1"/>
  <c r="L1096" i="1"/>
  <c r="K1094" i="1"/>
  <c r="L1094" i="1"/>
  <c r="K1095" i="1"/>
  <c r="L1095" i="1"/>
  <c r="K1093" i="1"/>
  <c r="L1093" i="1"/>
  <c r="K1092" i="1"/>
  <c r="L1092" i="1"/>
  <c r="K1090" i="1"/>
  <c r="L1090" i="1"/>
  <c r="K1089" i="1"/>
  <c r="L1089" i="1"/>
  <c r="K1118" i="1"/>
  <c r="L1118" i="1"/>
  <c r="K1121" i="1"/>
  <c r="L1121" i="1"/>
  <c r="K1120" i="1"/>
  <c r="L1120" i="1"/>
  <c r="K1124" i="1"/>
  <c r="L1124" i="1"/>
  <c r="K1119" i="1"/>
  <c r="L1119" i="1"/>
  <c r="K1126" i="1"/>
  <c r="L1126" i="1"/>
  <c r="K1123" i="1"/>
  <c r="L1123" i="1"/>
  <c r="K1129" i="1"/>
  <c r="L1129" i="1"/>
  <c r="K1132" i="1"/>
  <c r="L1132" i="1"/>
  <c r="K1140" i="1"/>
  <c r="L1140" i="1"/>
  <c r="K1125" i="1"/>
  <c r="L1125" i="1"/>
  <c r="K1134" i="1"/>
  <c r="L1134" i="1"/>
  <c r="K1135" i="1"/>
  <c r="L1135" i="1"/>
  <c r="K1138" i="1"/>
  <c r="L1138" i="1"/>
  <c r="K1133" i="1"/>
  <c r="L1133" i="1"/>
  <c r="K1136" i="1"/>
  <c r="L1136" i="1"/>
  <c r="K1137" i="1"/>
  <c r="L1137" i="1"/>
  <c r="K1144" i="1"/>
  <c r="L1144" i="1"/>
  <c r="K1131" i="1"/>
  <c r="L1131" i="1"/>
  <c r="K1139" i="1"/>
  <c r="L1139" i="1"/>
  <c r="K1141" i="1"/>
  <c r="L1141" i="1"/>
  <c r="K1143" i="1"/>
  <c r="L1143" i="1"/>
  <c r="K1130" i="1"/>
  <c r="L1130" i="1"/>
  <c r="K1142" i="1"/>
  <c r="L1142" i="1"/>
  <c r="K1145" i="1"/>
  <c r="L1145" i="1"/>
  <c r="K1127" i="1"/>
  <c r="L1127" i="1"/>
  <c r="K1128" i="1"/>
  <c r="L1128" i="1"/>
  <c r="K1122" i="1"/>
  <c r="L1122" i="1"/>
  <c r="K1148" i="1"/>
  <c r="L1148" i="1"/>
  <c r="K1150" i="1"/>
  <c r="L1150" i="1"/>
  <c r="K1146" i="1"/>
  <c r="L1146" i="1"/>
  <c r="K1147" i="1"/>
  <c r="L1147" i="1"/>
  <c r="K1149" i="1"/>
  <c r="L1149" i="1"/>
  <c r="K1155" i="1"/>
  <c r="L1155" i="1"/>
  <c r="K1151" i="1"/>
  <c r="L1151" i="1"/>
  <c r="K1153" i="1"/>
  <c r="L1153" i="1"/>
  <c r="K1161" i="1"/>
  <c r="L1161" i="1"/>
  <c r="K1154" i="1"/>
  <c r="L1154" i="1"/>
  <c r="K1156" i="1"/>
  <c r="L1156" i="1"/>
  <c r="K1160" i="1"/>
  <c r="L1160" i="1"/>
  <c r="K1159" i="1"/>
  <c r="L1159" i="1"/>
  <c r="K1157" i="1"/>
  <c r="L1157" i="1"/>
  <c r="K1152" i="1"/>
  <c r="L1152" i="1"/>
  <c r="K1158" i="1"/>
  <c r="L1158" i="1"/>
  <c r="K1162" i="1"/>
  <c r="L1162" i="1"/>
  <c r="K1165" i="1"/>
  <c r="L1165" i="1"/>
  <c r="K1163" i="1"/>
  <c r="L1163" i="1"/>
  <c r="K1170" i="1"/>
  <c r="L1170" i="1"/>
  <c r="K1166" i="1"/>
  <c r="L1166" i="1"/>
  <c r="K1168" i="1"/>
  <c r="L1168" i="1"/>
  <c r="K1169" i="1"/>
  <c r="L1169" i="1"/>
  <c r="K1167" i="1"/>
  <c r="L1167" i="1"/>
  <c r="K1164" i="1"/>
  <c r="L1164" i="1"/>
  <c r="K1171" i="1"/>
  <c r="L1171" i="1"/>
  <c r="K1173" i="1"/>
  <c r="L1173" i="1"/>
  <c r="K1172" i="1"/>
  <c r="L1172" i="1"/>
  <c r="K1174" i="1"/>
  <c r="L1174" i="1"/>
  <c r="K1175" i="1"/>
  <c r="L1175" i="1"/>
  <c r="K1177" i="1"/>
  <c r="L1177" i="1"/>
  <c r="K1176" i="1"/>
  <c r="L1176" i="1"/>
  <c r="K1179" i="1"/>
  <c r="L1179" i="1"/>
  <c r="K1182" i="1"/>
  <c r="L1182" i="1"/>
  <c r="K1183" i="1"/>
  <c r="L1183" i="1"/>
  <c r="K1181" i="1"/>
  <c r="L1181" i="1"/>
  <c r="K1180" i="1"/>
  <c r="L1180" i="1"/>
  <c r="K1178" i="1"/>
  <c r="L1178" i="1"/>
  <c r="K1185" i="1"/>
  <c r="L1185" i="1"/>
  <c r="K1186" i="1"/>
  <c r="L1186" i="1"/>
  <c r="K1192" i="1"/>
  <c r="L1192" i="1"/>
  <c r="K1194" i="1"/>
  <c r="L1194" i="1"/>
  <c r="K1201" i="1"/>
  <c r="L1201" i="1"/>
  <c r="K1197" i="1"/>
  <c r="L1197" i="1"/>
  <c r="K1206" i="1"/>
  <c r="L1206" i="1"/>
  <c r="K1203" i="1"/>
  <c r="L1203" i="1"/>
  <c r="K1202" i="1"/>
  <c r="L1202" i="1"/>
  <c r="K1208" i="1"/>
  <c r="L1208" i="1"/>
  <c r="K1196" i="1"/>
  <c r="L1196" i="1"/>
  <c r="K1199" i="1"/>
  <c r="L1199" i="1"/>
  <c r="K1207" i="1"/>
  <c r="L1207" i="1"/>
  <c r="K1198" i="1"/>
  <c r="L1198" i="1"/>
  <c r="K1209" i="1"/>
  <c r="L1209" i="1"/>
  <c r="K1200" i="1"/>
  <c r="L1200" i="1"/>
  <c r="K1193" i="1"/>
  <c r="L1193" i="1"/>
  <c r="K1211" i="1"/>
  <c r="L1211" i="1"/>
  <c r="K1205" i="1"/>
  <c r="L1205" i="1"/>
  <c r="K1191" i="1"/>
  <c r="L1191" i="1"/>
  <c r="K1195" i="1"/>
  <c r="L1195" i="1"/>
  <c r="K1210" i="1"/>
  <c r="L1210" i="1"/>
  <c r="K1189" i="1"/>
  <c r="L1189" i="1"/>
  <c r="K1204" i="1"/>
  <c r="L1204" i="1"/>
  <c r="K1190" i="1"/>
  <c r="L1190" i="1"/>
  <c r="K1187" i="1"/>
  <c r="L1187" i="1"/>
  <c r="K1188" i="1"/>
  <c r="L1188" i="1"/>
  <c r="K1184" i="1"/>
  <c r="L1184" i="1"/>
  <c r="K1215" i="1"/>
  <c r="L1215" i="1"/>
  <c r="K1219" i="1"/>
  <c r="L1219" i="1"/>
  <c r="K1214" i="1"/>
  <c r="L1214" i="1"/>
  <c r="K1227" i="1"/>
  <c r="L1227" i="1"/>
  <c r="K1224" i="1"/>
  <c r="L1224" i="1"/>
  <c r="K1241" i="1"/>
  <c r="L1241" i="1"/>
  <c r="K1223" i="1"/>
  <c r="L1223" i="1"/>
  <c r="K1244" i="1"/>
  <c r="L1244" i="1"/>
  <c r="K1228" i="1"/>
  <c r="L1228" i="1"/>
  <c r="K1246" i="1"/>
  <c r="L1246" i="1"/>
  <c r="K1237" i="1"/>
  <c r="L1237" i="1"/>
  <c r="K1230" i="1"/>
  <c r="L1230" i="1"/>
  <c r="K1225" i="1"/>
  <c r="L1225" i="1"/>
  <c r="K1239" i="1"/>
  <c r="L1239" i="1"/>
  <c r="K1233" i="1"/>
  <c r="L1233" i="1"/>
  <c r="K1245" i="1"/>
  <c r="L1245" i="1"/>
  <c r="K1226" i="1"/>
  <c r="L1226" i="1"/>
  <c r="K1243" i="1"/>
  <c r="L1243" i="1"/>
  <c r="K1240" i="1"/>
  <c r="L1240" i="1"/>
  <c r="K1232" i="1"/>
  <c r="L1232" i="1"/>
  <c r="K1236" i="1"/>
  <c r="L1236" i="1"/>
  <c r="K1242" i="1"/>
  <c r="L1242" i="1"/>
  <c r="K1235" i="1"/>
  <c r="L1235" i="1"/>
  <c r="K1231" i="1"/>
  <c r="L1231" i="1"/>
  <c r="K1229" i="1"/>
  <c r="L1229" i="1"/>
  <c r="K1234" i="1"/>
  <c r="L1234" i="1"/>
  <c r="K1238" i="1"/>
  <c r="L1238" i="1"/>
  <c r="K1222" i="1"/>
  <c r="L1222" i="1"/>
  <c r="K1220" i="1"/>
  <c r="L1220" i="1"/>
  <c r="K1221" i="1"/>
  <c r="L1221" i="1"/>
  <c r="K1213" i="1"/>
  <c r="L1213" i="1"/>
  <c r="K1216" i="1"/>
  <c r="L1216" i="1"/>
  <c r="K1217" i="1"/>
  <c r="L1217" i="1"/>
  <c r="K1218" i="1"/>
  <c r="L1218" i="1"/>
  <c r="K1212" i="1"/>
  <c r="L1212" i="1"/>
  <c r="K1248" i="1"/>
  <c r="L1248" i="1"/>
  <c r="K1251" i="1"/>
  <c r="L1251" i="1"/>
  <c r="K1249" i="1"/>
  <c r="L1249" i="1"/>
  <c r="K1259" i="1"/>
  <c r="L1259" i="1"/>
  <c r="K1261" i="1"/>
  <c r="L1261" i="1"/>
  <c r="K1266" i="1"/>
  <c r="L1266" i="1"/>
  <c r="K1269" i="1"/>
  <c r="L1269" i="1"/>
  <c r="K1271" i="1"/>
  <c r="L1271" i="1"/>
  <c r="K1272" i="1"/>
  <c r="L1272" i="1"/>
  <c r="K1267" i="1"/>
  <c r="L1267" i="1"/>
  <c r="K1255" i="1"/>
  <c r="L1255" i="1"/>
  <c r="K1273" i="1"/>
  <c r="L1273" i="1"/>
  <c r="K1257" i="1"/>
  <c r="L1257" i="1"/>
  <c r="K1275" i="1"/>
  <c r="L1275" i="1"/>
  <c r="K1274" i="1"/>
  <c r="L1274" i="1"/>
  <c r="K1262" i="1"/>
  <c r="L1262" i="1"/>
  <c r="K1265" i="1"/>
  <c r="L1265" i="1"/>
  <c r="K1256" i="1"/>
  <c r="L1256" i="1"/>
  <c r="K1268" i="1"/>
  <c r="L1268" i="1"/>
  <c r="K1270" i="1"/>
  <c r="L1270" i="1"/>
  <c r="K1254" i="1"/>
  <c r="L1254" i="1"/>
  <c r="K1260" i="1"/>
  <c r="L1260" i="1"/>
  <c r="K1263" i="1"/>
  <c r="L1263" i="1"/>
  <c r="K1264" i="1"/>
  <c r="L1264" i="1"/>
  <c r="K1258" i="1"/>
  <c r="L1258" i="1"/>
  <c r="K1253" i="1"/>
  <c r="L1253" i="1"/>
  <c r="K1252" i="1"/>
  <c r="L1252" i="1"/>
  <c r="K1250" i="1"/>
  <c r="L1250" i="1"/>
  <c r="K1247" i="1"/>
  <c r="L1247" i="1"/>
  <c r="K1279" i="1"/>
  <c r="L1279" i="1"/>
  <c r="K1277" i="1"/>
  <c r="L1277" i="1"/>
  <c r="K1281" i="1"/>
  <c r="L1281" i="1"/>
  <c r="K1283" i="1"/>
  <c r="L1283" i="1"/>
  <c r="K1278" i="1"/>
  <c r="L1278" i="1"/>
  <c r="K1284" i="1"/>
  <c r="L1284" i="1"/>
  <c r="K1285" i="1"/>
  <c r="L1285" i="1"/>
  <c r="K1294" i="1"/>
  <c r="L1294" i="1"/>
  <c r="K1297" i="1"/>
  <c r="L1297" i="1"/>
  <c r="K1291" i="1"/>
  <c r="L1291" i="1"/>
  <c r="K1298" i="1"/>
  <c r="L1298" i="1"/>
  <c r="K1299" i="1"/>
  <c r="L1299" i="1"/>
  <c r="K1296" i="1"/>
  <c r="L1296" i="1"/>
  <c r="K1300" i="1"/>
  <c r="L1300" i="1"/>
  <c r="K1288" i="1"/>
  <c r="L1288" i="1"/>
  <c r="K1289" i="1"/>
  <c r="L1289" i="1"/>
  <c r="K1295" i="1"/>
  <c r="L1295" i="1"/>
  <c r="K1293" i="1"/>
  <c r="L1293" i="1"/>
  <c r="K1282" i="1"/>
  <c r="L1282" i="1"/>
  <c r="K1290" i="1"/>
  <c r="L1290" i="1"/>
  <c r="K1292" i="1"/>
  <c r="L1292" i="1"/>
  <c r="K1286" i="1"/>
  <c r="L1286" i="1"/>
  <c r="K1287" i="1"/>
  <c r="L1287" i="1"/>
  <c r="K1280" i="1"/>
  <c r="L1280" i="1"/>
  <c r="K1276" i="1"/>
  <c r="L1276" i="1"/>
  <c r="K1302" i="1"/>
  <c r="L1302" i="1"/>
  <c r="K1310" i="1"/>
  <c r="L1310" i="1"/>
  <c r="K1309" i="1"/>
  <c r="L1309" i="1"/>
  <c r="K1304" i="1"/>
  <c r="L1304" i="1"/>
  <c r="K1313" i="1"/>
  <c r="L1313" i="1"/>
  <c r="K1311" i="1"/>
  <c r="L1311" i="1"/>
  <c r="K1307" i="1"/>
  <c r="L1307" i="1"/>
  <c r="K1315" i="1"/>
  <c r="L1315" i="1"/>
  <c r="K1319" i="1"/>
  <c r="L1319" i="1"/>
  <c r="K1322" i="1"/>
  <c r="L1322" i="1"/>
  <c r="K1323" i="1"/>
  <c r="L1323" i="1"/>
  <c r="K1321" i="1"/>
  <c r="L1321" i="1"/>
  <c r="K1320" i="1"/>
  <c r="L1320" i="1"/>
  <c r="K1318" i="1"/>
  <c r="L1318" i="1"/>
  <c r="K1317" i="1"/>
  <c r="L1317" i="1"/>
  <c r="K1314" i="1"/>
  <c r="L1314" i="1"/>
  <c r="K1312" i="1"/>
  <c r="L1312" i="1"/>
  <c r="K1316" i="1"/>
  <c r="L1316" i="1"/>
  <c r="K1306" i="1"/>
  <c r="L1306" i="1"/>
  <c r="K1308" i="1"/>
  <c r="L1308" i="1"/>
  <c r="K1303" i="1"/>
  <c r="L1303" i="1"/>
  <c r="K1305" i="1"/>
  <c r="L1305" i="1"/>
  <c r="K1301" i="1"/>
  <c r="L1301" i="1"/>
  <c r="K1324" i="1"/>
  <c r="L1324" i="1"/>
  <c r="K1325" i="1"/>
  <c r="L1325" i="1"/>
  <c r="K1327" i="1"/>
  <c r="L1327" i="1"/>
  <c r="K1326" i="1"/>
  <c r="L1326" i="1"/>
  <c r="K1331" i="1"/>
  <c r="L1331" i="1"/>
  <c r="K1329" i="1"/>
  <c r="L1329" i="1"/>
  <c r="K1338" i="1"/>
  <c r="L1338" i="1"/>
  <c r="K1335" i="1"/>
  <c r="L1335" i="1"/>
  <c r="K1339" i="1"/>
  <c r="L1339" i="1"/>
  <c r="K1340" i="1"/>
  <c r="L1340" i="1"/>
  <c r="K1332" i="1"/>
  <c r="L1332" i="1"/>
  <c r="K1337" i="1"/>
  <c r="L1337" i="1"/>
  <c r="K1336" i="1"/>
  <c r="L1336" i="1"/>
  <c r="K1334" i="1"/>
  <c r="L1334" i="1"/>
  <c r="K1330" i="1"/>
  <c r="L1330" i="1"/>
  <c r="K1333" i="1"/>
  <c r="L1333" i="1"/>
  <c r="K1328" i="1"/>
  <c r="L1328" i="1"/>
  <c r="K1341" i="1"/>
  <c r="L1341" i="1"/>
  <c r="K1345" i="1"/>
  <c r="L1345" i="1"/>
  <c r="K1351" i="1"/>
  <c r="L1351" i="1"/>
  <c r="K1348" i="1"/>
  <c r="L1348" i="1"/>
  <c r="K1342" i="1"/>
  <c r="L1342" i="1"/>
  <c r="K1349" i="1"/>
  <c r="L1349" i="1"/>
  <c r="K1346" i="1"/>
  <c r="L1346" i="1"/>
  <c r="K1357" i="1"/>
  <c r="L1357" i="1"/>
  <c r="K1358" i="1"/>
  <c r="L1358" i="1"/>
  <c r="K1359" i="1"/>
  <c r="L1359" i="1"/>
  <c r="K1360" i="1"/>
  <c r="L1360" i="1"/>
  <c r="K1361" i="1"/>
  <c r="L1361" i="1"/>
  <c r="K1350" i="1"/>
  <c r="L1350" i="1"/>
  <c r="K1356" i="1"/>
  <c r="L1356" i="1"/>
  <c r="K1355" i="1"/>
  <c r="L1355" i="1"/>
  <c r="K1353" i="1"/>
  <c r="L1353" i="1"/>
  <c r="K1344" i="1"/>
  <c r="L1344" i="1"/>
  <c r="K1354" i="1"/>
  <c r="L1354" i="1"/>
  <c r="K1352" i="1"/>
  <c r="L1352" i="1"/>
  <c r="K1347" i="1"/>
  <c r="L1347" i="1"/>
  <c r="K1343" i="1"/>
  <c r="L1343" i="1"/>
  <c r="K1367" i="1"/>
  <c r="L1367" i="1"/>
  <c r="K1365" i="1"/>
  <c r="L1365" i="1"/>
  <c r="K1366" i="1"/>
  <c r="L1366" i="1"/>
  <c r="K1372" i="1"/>
  <c r="L1372" i="1"/>
  <c r="K1371" i="1"/>
  <c r="L1371" i="1"/>
  <c r="K1369" i="1"/>
  <c r="L1369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68" i="1"/>
  <c r="L1368" i="1"/>
  <c r="K1370" i="1"/>
  <c r="L1370" i="1"/>
  <c r="K1364" i="1"/>
  <c r="L1364" i="1"/>
  <c r="K1363" i="1"/>
  <c r="L1363" i="1"/>
  <c r="K1362" i="1"/>
  <c r="L1362" i="1"/>
  <c r="K1386" i="1"/>
  <c r="L1386" i="1"/>
  <c r="K1390" i="1"/>
  <c r="L1390" i="1"/>
  <c r="K1391" i="1"/>
  <c r="L1391" i="1"/>
  <c r="K1392" i="1"/>
  <c r="L1392" i="1"/>
  <c r="K1394" i="1"/>
  <c r="L1394" i="1"/>
  <c r="K1393" i="1"/>
  <c r="L1393" i="1"/>
  <c r="K1395" i="1"/>
  <c r="L1395" i="1"/>
  <c r="K1396" i="1"/>
  <c r="L1396" i="1"/>
  <c r="K1397" i="1"/>
  <c r="L1397" i="1"/>
  <c r="K1398" i="1"/>
  <c r="L1398" i="1"/>
  <c r="K1388" i="1"/>
  <c r="L1388" i="1"/>
  <c r="K1389" i="1"/>
  <c r="L1389" i="1"/>
  <c r="K1387" i="1"/>
  <c r="L1387" i="1"/>
  <c r="K1385" i="1"/>
  <c r="L1385" i="1"/>
  <c r="K1383" i="1"/>
  <c r="L1383" i="1"/>
  <c r="K1384" i="1"/>
  <c r="L1384" i="1"/>
  <c r="K1399" i="1"/>
  <c r="L1399" i="1"/>
  <c r="K1400" i="1"/>
  <c r="L1400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2" i="1"/>
  <c r="L1412" i="1"/>
  <c r="K1411" i="1"/>
  <c r="L1411" i="1"/>
  <c r="K1403" i="1"/>
  <c r="L1403" i="1"/>
  <c r="K1402" i="1"/>
  <c r="L1402" i="1"/>
  <c r="K1401" i="1"/>
  <c r="L1401" i="1"/>
  <c r="K1414" i="1"/>
  <c r="L1414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5" i="1"/>
  <c r="L1425" i="1"/>
  <c r="K1424" i="1"/>
  <c r="L1424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15" i="1"/>
  <c r="L1415" i="1"/>
  <c r="K1416" i="1"/>
  <c r="L1416" i="1"/>
  <c r="K1413" i="1"/>
  <c r="L1413" i="1"/>
  <c r="K1435" i="1"/>
  <c r="L1435" i="1"/>
  <c r="K1437" i="1"/>
  <c r="L1437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50" i="1"/>
  <c r="L1450" i="1"/>
  <c r="K1449" i="1"/>
  <c r="L1449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38" i="1"/>
  <c r="L1438" i="1"/>
  <c r="K1434" i="1"/>
  <c r="L1434" i="1"/>
  <c r="K1436" i="1"/>
  <c r="L1436" i="1"/>
  <c r="K1433" i="1"/>
  <c r="L1433" i="1"/>
  <c r="K1463" i="1"/>
  <c r="L1463" i="1"/>
  <c r="K1464" i="1"/>
  <c r="L1464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90" i="1"/>
  <c r="L1490" i="1"/>
  <c r="K1489" i="1"/>
  <c r="L1489" i="1"/>
  <c r="K1491" i="1"/>
  <c r="L1491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4" i="1"/>
  <c r="L1484" i="1"/>
  <c r="K1483" i="1"/>
  <c r="L1483" i="1"/>
  <c r="K1486" i="1"/>
  <c r="L1486" i="1"/>
  <c r="K1485" i="1"/>
  <c r="L1485" i="1"/>
  <c r="K1487" i="1"/>
  <c r="L1487" i="1"/>
  <c r="K1488" i="1"/>
  <c r="L1488" i="1"/>
  <c r="K1465" i="1"/>
  <c r="L1465" i="1"/>
  <c r="K1495" i="1"/>
  <c r="L1495" i="1"/>
  <c r="K1496" i="1"/>
  <c r="L1496" i="1"/>
  <c r="K1497" i="1"/>
  <c r="L1497" i="1"/>
  <c r="K1498" i="1"/>
  <c r="L1498" i="1"/>
  <c r="K1510" i="1"/>
  <c r="L1510" i="1"/>
  <c r="K1512" i="1"/>
  <c r="L1512" i="1"/>
  <c r="K1517" i="1"/>
  <c r="L1517" i="1"/>
  <c r="K1515" i="1"/>
  <c r="L1515" i="1"/>
  <c r="K1522" i="1"/>
  <c r="L1522" i="1"/>
  <c r="K1499" i="1"/>
  <c r="L1499" i="1"/>
  <c r="K1511" i="1"/>
  <c r="L1511" i="1"/>
  <c r="K1519" i="1"/>
  <c r="L1519" i="1"/>
  <c r="K1523" i="1"/>
  <c r="L1523" i="1"/>
  <c r="K1521" i="1"/>
  <c r="L1521" i="1"/>
  <c r="K1513" i="1"/>
  <c r="L1513" i="1"/>
  <c r="K1514" i="1"/>
  <c r="L1514" i="1"/>
  <c r="K1516" i="1"/>
  <c r="L1516" i="1"/>
  <c r="K1518" i="1"/>
  <c r="L1518" i="1"/>
  <c r="K1520" i="1"/>
  <c r="L1520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494" i="1"/>
  <c r="L1494" i="1"/>
  <c r="K1493" i="1"/>
  <c r="L1493" i="1"/>
  <c r="K1492" i="1"/>
  <c r="L1492" i="1"/>
  <c r="K1524" i="1"/>
  <c r="L1524" i="1"/>
  <c r="K1525" i="1"/>
  <c r="L1525" i="1"/>
  <c r="K1527" i="1"/>
  <c r="L1527" i="1"/>
  <c r="K1528" i="1"/>
  <c r="L1528" i="1"/>
  <c r="K1545" i="1"/>
  <c r="L1545" i="1"/>
  <c r="K1547" i="1"/>
  <c r="L1547" i="1"/>
  <c r="K1548" i="1"/>
  <c r="L1548" i="1"/>
  <c r="K1556" i="1"/>
  <c r="L1556" i="1"/>
  <c r="K1552" i="1"/>
  <c r="L1552" i="1"/>
  <c r="K1557" i="1"/>
  <c r="L1557" i="1"/>
  <c r="K1558" i="1"/>
  <c r="L1558" i="1"/>
  <c r="K1553" i="1"/>
  <c r="L1553" i="1"/>
  <c r="K1555" i="1"/>
  <c r="L1555" i="1"/>
  <c r="K1559" i="1"/>
  <c r="L1559" i="1"/>
  <c r="K1554" i="1"/>
  <c r="L1554" i="1"/>
  <c r="K1551" i="1"/>
  <c r="L1551" i="1"/>
  <c r="K1550" i="1"/>
  <c r="L1550" i="1"/>
  <c r="K1529" i="1"/>
  <c r="L1529" i="1"/>
  <c r="K1549" i="1"/>
  <c r="L1549" i="1"/>
  <c r="K1546" i="1"/>
  <c r="L1546" i="1"/>
  <c r="K1531" i="1"/>
  <c r="L1531" i="1"/>
  <c r="K1530" i="1"/>
  <c r="L1530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26" i="1"/>
  <c r="L1526" i="1"/>
  <c r="K1560" i="1"/>
  <c r="L1560" i="1"/>
  <c r="K1562" i="1"/>
  <c r="L1562" i="1"/>
  <c r="K1563" i="1"/>
  <c r="L1563" i="1"/>
  <c r="K1575" i="1"/>
  <c r="L1575" i="1"/>
  <c r="K1587" i="1"/>
  <c r="L1587" i="1"/>
  <c r="K1585" i="1"/>
  <c r="L1585" i="1"/>
  <c r="K1578" i="1"/>
  <c r="L1578" i="1"/>
  <c r="K1592" i="1"/>
  <c r="L1592" i="1"/>
  <c r="K1588" i="1"/>
  <c r="L1588" i="1"/>
  <c r="K1581" i="1"/>
  <c r="L1581" i="1"/>
  <c r="K1584" i="1"/>
  <c r="L1584" i="1"/>
  <c r="K1605" i="1"/>
  <c r="L1605" i="1"/>
  <c r="K1591" i="1"/>
  <c r="L1591" i="1"/>
  <c r="K1602" i="1"/>
  <c r="L1602" i="1"/>
  <c r="K1608" i="1"/>
  <c r="L1608" i="1"/>
  <c r="K1609" i="1"/>
  <c r="L1609" i="1"/>
  <c r="K1600" i="1"/>
  <c r="L1600" i="1"/>
  <c r="K1607" i="1"/>
  <c r="L1607" i="1"/>
  <c r="K1601" i="1"/>
  <c r="L1601" i="1"/>
  <c r="K1599" i="1"/>
  <c r="L1599" i="1"/>
  <c r="K1598" i="1"/>
  <c r="L1598" i="1"/>
  <c r="K1595" i="1"/>
  <c r="L1595" i="1"/>
  <c r="K1606" i="1"/>
  <c r="L1606" i="1"/>
  <c r="K1603" i="1"/>
  <c r="L1603" i="1"/>
  <c r="K1597" i="1"/>
  <c r="L1597" i="1"/>
  <c r="K1594" i="1"/>
  <c r="L1594" i="1"/>
  <c r="K1604" i="1"/>
  <c r="L1604" i="1"/>
  <c r="K1596" i="1"/>
  <c r="L1596" i="1"/>
  <c r="K1590" i="1"/>
  <c r="L1590" i="1"/>
  <c r="K1586" i="1"/>
  <c r="L1586" i="1"/>
  <c r="K1582" i="1"/>
  <c r="L1582" i="1"/>
  <c r="K1583" i="1"/>
  <c r="L1583" i="1"/>
  <c r="K1589" i="1"/>
  <c r="L1589" i="1"/>
  <c r="K1593" i="1"/>
  <c r="L1593" i="1"/>
  <c r="K1579" i="1"/>
  <c r="L1579" i="1"/>
  <c r="K1580" i="1"/>
  <c r="L1580" i="1"/>
  <c r="K1573" i="1"/>
  <c r="L1573" i="1"/>
  <c r="K1577" i="1"/>
  <c r="L1577" i="1"/>
  <c r="K1576" i="1"/>
  <c r="L1576" i="1"/>
  <c r="K1574" i="1"/>
  <c r="L1574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61" i="1"/>
  <c r="L1561" i="1"/>
  <c r="K1611" i="1"/>
  <c r="L1611" i="1"/>
  <c r="K1612" i="1"/>
  <c r="L1612" i="1"/>
  <c r="K1619" i="1"/>
  <c r="L1619" i="1"/>
  <c r="K1625" i="1"/>
  <c r="L1625" i="1"/>
  <c r="K1623" i="1"/>
  <c r="L1623" i="1"/>
  <c r="K1622" i="1"/>
  <c r="L1622" i="1"/>
  <c r="K1629" i="1"/>
  <c r="L1629" i="1"/>
  <c r="K1632" i="1"/>
  <c r="L1632" i="1"/>
  <c r="K1630" i="1"/>
  <c r="L1630" i="1"/>
  <c r="K1627" i="1"/>
  <c r="L1627" i="1"/>
  <c r="K1637" i="1"/>
  <c r="L1637" i="1"/>
  <c r="K1647" i="1"/>
  <c r="L1647" i="1"/>
  <c r="K1645" i="1"/>
  <c r="L1645" i="1"/>
  <c r="K1643" i="1"/>
  <c r="L1643" i="1"/>
  <c r="K1634" i="1"/>
  <c r="L1634" i="1"/>
  <c r="K1650" i="1"/>
  <c r="L1650" i="1"/>
  <c r="K1648" i="1"/>
  <c r="L1648" i="1"/>
  <c r="K1644" i="1"/>
  <c r="L1644" i="1"/>
  <c r="K1642" i="1"/>
  <c r="L1642" i="1"/>
  <c r="K1651" i="1"/>
  <c r="L1651" i="1"/>
  <c r="K1646" i="1"/>
  <c r="L1646" i="1"/>
  <c r="K1649" i="1"/>
  <c r="L1649" i="1"/>
  <c r="K1640" i="1"/>
  <c r="L1640" i="1"/>
  <c r="K1641" i="1"/>
  <c r="L1641" i="1"/>
  <c r="K1639" i="1"/>
  <c r="L1639" i="1"/>
  <c r="K1635" i="1"/>
  <c r="L1635" i="1"/>
  <c r="K1633" i="1"/>
  <c r="L1633" i="1"/>
  <c r="K1638" i="1"/>
  <c r="L1638" i="1"/>
  <c r="K1636" i="1"/>
  <c r="L1636" i="1"/>
  <c r="K1621" i="1"/>
  <c r="L1621" i="1"/>
  <c r="K1631" i="1"/>
  <c r="L1631" i="1"/>
  <c r="K1626" i="1"/>
  <c r="L1626" i="1"/>
  <c r="K1628" i="1"/>
  <c r="L1628" i="1"/>
  <c r="K1624" i="1"/>
  <c r="L1624" i="1"/>
  <c r="K1620" i="1"/>
  <c r="L1620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0" i="1"/>
  <c r="L1610" i="1"/>
  <c r="K1652" i="1"/>
  <c r="L1652" i="1"/>
  <c r="K1653" i="1"/>
  <c r="L1653" i="1"/>
  <c r="K1654" i="1"/>
  <c r="L1654" i="1"/>
  <c r="K1658" i="1"/>
  <c r="L1658" i="1"/>
  <c r="K1662" i="1"/>
  <c r="L1662" i="1"/>
  <c r="K1661" i="1"/>
  <c r="L1661" i="1"/>
  <c r="K1663" i="1"/>
  <c r="L1663" i="1"/>
  <c r="K1667" i="1"/>
  <c r="L1667" i="1"/>
  <c r="K1665" i="1"/>
  <c r="L1665" i="1"/>
  <c r="K1669" i="1"/>
  <c r="L1669" i="1"/>
  <c r="K1677" i="1"/>
  <c r="L1677" i="1"/>
  <c r="K1668" i="1"/>
  <c r="L1668" i="1"/>
  <c r="K1672" i="1"/>
  <c r="L1672" i="1"/>
  <c r="K1679" i="1"/>
  <c r="L1679" i="1"/>
  <c r="K1682" i="1"/>
  <c r="L1682" i="1"/>
  <c r="K1685" i="1"/>
  <c r="L1685" i="1"/>
  <c r="K1676" i="1"/>
  <c r="L1676" i="1"/>
  <c r="K1681" i="1"/>
  <c r="L1681" i="1"/>
  <c r="K1680" i="1"/>
  <c r="L1680" i="1"/>
  <c r="K1683" i="1"/>
  <c r="L1683" i="1"/>
  <c r="K1686" i="1"/>
  <c r="L1686" i="1"/>
  <c r="K1684" i="1"/>
  <c r="L1684" i="1"/>
  <c r="K1673" i="1"/>
  <c r="L1673" i="1"/>
  <c r="K1675" i="1"/>
  <c r="L1675" i="1"/>
  <c r="K1674" i="1"/>
  <c r="L1674" i="1"/>
  <c r="K1678" i="1"/>
  <c r="L1678" i="1"/>
  <c r="K1666" i="1"/>
  <c r="L1666" i="1"/>
  <c r="K1670" i="1"/>
  <c r="L1670" i="1"/>
  <c r="K1664" i="1"/>
  <c r="L1664" i="1"/>
  <c r="K1671" i="1"/>
  <c r="L1671" i="1"/>
  <c r="K1660" i="1"/>
  <c r="L1660" i="1"/>
  <c r="K1659" i="1"/>
  <c r="L1659" i="1"/>
  <c r="K1657" i="1"/>
  <c r="L1657" i="1"/>
  <c r="K1655" i="1"/>
  <c r="L1655" i="1"/>
  <c r="K1656" i="1"/>
  <c r="L1656" i="1"/>
  <c r="K1687" i="1"/>
  <c r="L1687" i="1"/>
  <c r="K1697" i="1"/>
  <c r="L1697" i="1"/>
  <c r="K1696" i="1"/>
  <c r="L1696" i="1"/>
  <c r="K1700" i="1"/>
  <c r="L1700" i="1"/>
  <c r="K1701" i="1"/>
  <c r="L1701" i="1"/>
  <c r="K1703" i="1"/>
  <c r="L1703" i="1"/>
  <c r="K1705" i="1"/>
  <c r="L1705" i="1"/>
  <c r="K1702" i="1"/>
  <c r="L1702" i="1"/>
  <c r="K1715" i="1"/>
  <c r="L1715" i="1"/>
  <c r="K1717" i="1"/>
  <c r="L1717" i="1"/>
  <c r="K1708" i="1"/>
  <c r="L1708" i="1"/>
  <c r="K1711" i="1"/>
  <c r="L1711" i="1"/>
  <c r="K1727" i="1"/>
  <c r="L1727" i="1"/>
  <c r="K1719" i="1"/>
  <c r="L1719" i="1"/>
  <c r="K1729" i="1"/>
  <c r="L1729" i="1"/>
  <c r="K1725" i="1"/>
  <c r="L1725" i="1"/>
  <c r="K1716" i="1"/>
  <c r="L1716" i="1"/>
  <c r="K1731" i="1"/>
  <c r="L1731" i="1"/>
  <c r="K1726" i="1"/>
  <c r="L1726" i="1"/>
  <c r="K1720" i="1"/>
  <c r="L1720" i="1"/>
  <c r="K1721" i="1"/>
  <c r="L1721" i="1"/>
  <c r="K1723" i="1"/>
  <c r="L1723" i="1"/>
  <c r="K1712" i="1"/>
  <c r="L1712" i="1"/>
  <c r="K1728" i="1"/>
  <c r="L1728" i="1"/>
  <c r="K1713" i="1"/>
  <c r="L1713" i="1"/>
  <c r="K1730" i="1"/>
  <c r="L1730" i="1"/>
  <c r="K1724" i="1"/>
  <c r="L1724" i="1"/>
  <c r="K1722" i="1"/>
  <c r="L1722" i="1"/>
  <c r="K1718" i="1"/>
  <c r="L1718" i="1"/>
  <c r="K1709" i="1"/>
  <c r="L1709" i="1"/>
  <c r="K1707" i="1"/>
  <c r="L1707" i="1"/>
  <c r="K1714" i="1"/>
  <c r="L1714" i="1"/>
  <c r="K1706" i="1"/>
  <c r="L1706" i="1"/>
  <c r="K1710" i="1"/>
  <c r="L1710" i="1"/>
  <c r="K1704" i="1"/>
  <c r="L1704" i="1"/>
  <c r="K1698" i="1"/>
  <c r="L1698" i="1"/>
  <c r="K1699" i="1"/>
  <c r="L1699" i="1"/>
  <c r="K1694" i="1"/>
  <c r="L1694" i="1"/>
  <c r="K1695" i="1"/>
  <c r="L1695" i="1"/>
  <c r="K1693" i="1"/>
  <c r="L1693" i="1"/>
  <c r="K1688" i="1"/>
  <c r="L1688" i="1"/>
  <c r="K1689" i="1"/>
  <c r="L1689" i="1"/>
  <c r="K1691" i="1"/>
  <c r="L1691" i="1"/>
  <c r="K1690" i="1"/>
  <c r="L1690" i="1"/>
  <c r="K1692" i="1"/>
  <c r="L1692" i="1"/>
  <c r="K1732" i="1"/>
  <c r="L1732" i="1"/>
  <c r="K1733" i="1"/>
  <c r="L1733" i="1"/>
  <c r="K1734" i="1"/>
  <c r="L1734" i="1"/>
  <c r="K1749" i="1"/>
  <c r="L1749" i="1"/>
  <c r="K1751" i="1"/>
  <c r="L1751" i="1"/>
  <c r="K1750" i="1"/>
  <c r="L1750" i="1"/>
  <c r="K1753" i="1"/>
  <c r="L1753" i="1"/>
  <c r="K1758" i="1"/>
  <c r="L1758" i="1"/>
  <c r="K1752" i="1"/>
  <c r="L1752" i="1"/>
  <c r="K1761" i="1"/>
  <c r="L1761" i="1"/>
  <c r="K1762" i="1"/>
  <c r="L1762" i="1"/>
  <c r="K1763" i="1"/>
  <c r="L1763" i="1"/>
  <c r="K1765" i="1"/>
  <c r="L1765" i="1"/>
  <c r="K1769" i="1"/>
  <c r="L1769" i="1"/>
  <c r="K1760" i="1"/>
  <c r="L1760" i="1"/>
  <c r="K1764" i="1"/>
  <c r="L1764" i="1"/>
  <c r="K1768" i="1"/>
  <c r="L1768" i="1"/>
  <c r="K1767" i="1"/>
  <c r="L1767" i="1"/>
  <c r="K1766" i="1"/>
  <c r="L1766" i="1"/>
  <c r="K1754" i="1"/>
  <c r="L1754" i="1"/>
  <c r="K1757" i="1"/>
  <c r="L1757" i="1"/>
  <c r="K1756" i="1"/>
  <c r="L1756" i="1"/>
  <c r="K1759" i="1"/>
  <c r="L1759" i="1"/>
  <c r="K1755" i="1"/>
  <c r="L1755" i="1"/>
  <c r="K1748" i="1"/>
  <c r="L1748" i="1"/>
  <c r="K1747" i="1"/>
  <c r="L1747" i="1"/>
  <c r="K1745" i="1"/>
  <c r="L1745" i="1"/>
  <c r="K1744" i="1"/>
  <c r="L1744" i="1"/>
  <c r="K1746" i="1"/>
  <c r="L1746" i="1"/>
  <c r="K1743" i="1"/>
  <c r="L1743" i="1"/>
  <c r="K1741" i="1"/>
  <c r="L1741" i="1"/>
  <c r="K1742" i="1"/>
  <c r="L1742" i="1"/>
  <c r="K1740" i="1"/>
  <c r="L1740" i="1"/>
  <c r="K1739" i="1"/>
  <c r="L1739" i="1"/>
  <c r="K1735" i="1"/>
  <c r="L1735" i="1"/>
  <c r="K1737" i="1"/>
  <c r="L1737" i="1"/>
  <c r="K1736" i="1"/>
  <c r="L1736" i="1"/>
  <c r="K1738" i="1"/>
  <c r="L1738" i="1"/>
  <c r="K1773" i="1"/>
  <c r="L1773" i="1"/>
  <c r="K1782" i="1"/>
  <c r="L1782" i="1"/>
  <c r="K1790" i="1"/>
  <c r="L1790" i="1"/>
  <c r="K1770" i="1"/>
  <c r="L1770" i="1"/>
  <c r="K1793" i="1"/>
  <c r="L1793" i="1"/>
  <c r="K1799" i="1"/>
  <c r="L1799" i="1"/>
  <c r="K1795" i="1"/>
  <c r="L1795" i="1"/>
  <c r="K1800" i="1"/>
  <c r="L1800" i="1"/>
  <c r="K1797" i="1"/>
  <c r="L1797" i="1"/>
  <c r="K1810" i="1"/>
  <c r="L1810" i="1"/>
  <c r="K1808" i="1"/>
  <c r="L1808" i="1"/>
  <c r="K1802" i="1"/>
  <c r="L1802" i="1"/>
  <c r="K1809" i="1"/>
  <c r="L1809" i="1"/>
  <c r="K1796" i="1"/>
  <c r="L1796" i="1"/>
  <c r="K1806" i="1"/>
  <c r="L1806" i="1"/>
  <c r="K1804" i="1"/>
  <c r="L1804" i="1"/>
  <c r="K1798" i="1"/>
  <c r="L1798" i="1"/>
  <c r="K1805" i="1"/>
  <c r="L1805" i="1"/>
  <c r="K1803" i="1"/>
  <c r="L1803" i="1"/>
  <c r="K1807" i="1"/>
  <c r="L1807" i="1"/>
  <c r="K1801" i="1"/>
  <c r="L1801" i="1"/>
  <c r="K1791" i="1"/>
  <c r="L1791" i="1"/>
  <c r="K1788" i="1"/>
  <c r="L1788" i="1"/>
  <c r="K1794" i="1"/>
  <c r="L1794" i="1"/>
  <c r="K1792" i="1"/>
  <c r="L1792" i="1"/>
  <c r="K1787" i="1"/>
  <c r="L1787" i="1"/>
  <c r="K1789" i="1"/>
  <c r="L1789" i="1"/>
  <c r="K1784" i="1"/>
  <c r="L1784" i="1"/>
  <c r="K1786" i="1"/>
  <c r="L1786" i="1"/>
  <c r="K1785" i="1"/>
  <c r="L1785" i="1"/>
  <c r="K1783" i="1"/>
  <c r="L1783" i="1"/>
  <c r="K1781" i="1"/>
  <c r="L1781" i="1"/>
  <c r="K1779" i="1"/>
  <c r="L1779" i="1"/>
  <c r="K1780" i="1"/>
  <c r="L1780" i="1"/>
  <c r="K1778" i="1"/>
  <c r="L1778" i="1"/>
  <c r="K1777" i="1"/>
  <c r="L1777" i="1"/>
  <c r="K1776" i="1"/>
  <c r="L1776" i="1"/>
  <c r="K1774" i="1"/>
  <c r="L1774" i="1"/>
  <c r="K1775" i="1"/>
  <c r="L1775" i="1"/>
  <c r="K1772" i="1"/>
  <c r="L1772" i="1"/>
  <c r="K1771" i="1"/>
  <c r="L1771" i="1"/>
  <c r="K1813" i="1"/>
  <c r="L1813" i="1"/>
  <c r="K1814" i="1"/>
  <c r="L1814" i="1"/>
  <c r="K1817" i="1"/>
  <c r="L1817" i="1"/>
  <c r="K1820" i="1"/>
  <c r="L1820" i="1"/>
  <c r="K1821" i="1"/>
  <c r="L1821" i="1"/>
  <c r="K1823" i="1"/>
  <c r="L1823" i="1"/>
  <c r="K1827" i="1"/>
  <c r="L1827" i="1"/>
  <c r="K1829" i="1"/>
  <c r="L1829" i="1"/>
  <c r="K1831" i="1"/>
  <c r="L1831" i="1"/>
  <c r="K1830" i="1"/>
  <c r="L1830" i="1"/>
  <c r="K1832" i="1"/>
  <c r="L1832" i="1"/>
  <c r="K1828" i="1"/>
  <c r="L1828" i="1"/>
  <c r="K1834" i="1"/>
  <c r="L1834" i="1"/>
  <c r="K1835" i="1"/>
  <c r="L1835" i="1"/>
  <c r="K1838" i="1"/>
  <c r="L1838" i="1"/>
  <c r="K1837" i="1"/>
  <c r="L1837" i="1"/>
  <c r="K1836" i="1"/>
  <c r="L1836" i="1"/>
  <c r="K1833" i="1"/>
  <c r="L1833" i="1"/>
  <c r="K1826" i="1"/>
  <c r="L1826" i="1"/>
  <c r="K1824" i="1"/>
  <c r="L1824" i="1"/>
  <c r="K1825" i="1"/>
  <c r="L1825" i="1"/>
  <c r="K1822" i="1"/>
  <c r="L1822" i="1"/>
  <c r="K1819" i="1"/>
  <c r="L1819" i="1"/>
  <c r="K1818" i="1"/>
  <c r="L1818" i="1"/>
  <c r="K1815" i="1"/>
  <c r="L1815" i="1"/>
  <c r="K1816" i="1"/>
  <c r="L1816" i="1"/>
  <c r="K1812" i="1"/>
  <c r="L1812" i="1"/>
  <c r="K1811" i="1"/>
  <c r="L1811" i="1"/>
  <c r="K1840" i="1"/>
  <c r="L1840" i="1"/>
  <c r="K1842" i="1"/>
  <c r="L1842" i="1"/>
  <c r="K1843" i="1"/>
  <c r="L1843" i="1"/>
  <c r="K1856" i="1"/>
  <c r="L1856" i="1"/>
  <c r="K1862" i="1"/>
  <c r="L1862" i="1"/>
  <c r="K1865" i="1"/>
  <c r="L1865" i="1"/>
  <c r="K1867" i="1"/>
  <c r="L1867" i="1"/>
  <c r="K1866" i="1"/>
  <c r="L1866" i="1"/>
  <c r="K1860" i="1"/>
  <c r="L1860" i="1"/>
  <c r="K1868" i="1"/>
  <c r="L1868" i="1"/>
  <c r="K1863" i="1"/>
  <c r="L1863" i="1"/>
  <c r="K1859" i="1"/>
  <c r="L1859" i="1"/>
  <c r="K1864" i="1"/>
  <c r="L1864" i="1"/>
  <c r="K1858" i="1"/>
  <c r="L1858" i="1"/>
  <c r="K1861" i="1"/>
  <c r="L1861" i="1"/>
  <c r="K1857" i="1"/>
  <c r="L1857" i="1"/>
  <c r="K1854" i="1"/>
  <c r="L1854" i="1"/>
  <c r="K1855" i="1"/>
  <c r="L1855" i="1"/>
  <c r="K1852" i="1"/>
  <c r="L1852" i="1"/>
  <c r="K1853" i="1"/>
  <c r="L1853" i="1"/>
  <c r="K1851" i="1"/>
  <c r="L1851" i="1"/>
  <c r="K1850" i="1"/>
  <c r="L1850" i="1"/>
  <c r="K1849" i="1"/>
  <c r="L1849" i="1"/>
  <c r="K1844" i="1"/>
  <c r="L1844" i="1"/>
  <c r="K1845" i="1"/>
  <c r="L1845" i="1"/>
  <c r="K1846" i="1"/>
  <c r="L1846" i="1"/>
  <c r="K1847" i="1"/>
  <c r="L1847" i="1"/>
  <c r="K1841" i="1"/>
  <c r="L1841" i="1"/>
  <c r="K1848" i="1"/>
  <c r="L1848" i="1"/>
  <c r="K1839" i="1"/>
  <c r="L1839" i="1"/>
  <c r="K1870" i="1"/>
  <c r="L1870" i="1"/>
  <c r="K1872" i="1"/>
  <c r="L1872" i="1"/>
  <c r="K1871" i="1"/>
  <c r="L1871" i="1"/>
  <c r="K1877" i="1"/>
  <c r="L1877" i="1"/>
  <c r="K1878" i="1"/>
  <c r="L1878" i="1"/>
  <c r="K1881" i="1"/>
  <c r="L1881" i="1"/>
  <c r="K1884" i="1"/>
  <c r="L1884" i="1"/>
  <c r="K1888" i="1"/>
  <c r="L1888" i="1"/>
  <c r="K1890" i="1"/>
  <c r="L1890" i="1"/>
  <c r="K1896" i="1"/>
  <c r="L1896" i="1"/>
  <c r="K1893" i="1"/>
  <c r="L1893" i="1"/>
  <c r="K1892" i="1"/>
  <c r="L1892" i="1"/>
  <c r="K1889" i="1"/>
  <c r="L1889" i="1"/>
  <c r="K1897" i="1"/>
  <c r="L1897" i="1"/>
  <c r="K1894" i="1"/>
  <c r="L1894" i="1"/>
  <c r="K1885" i="1"/>
  <c r="L1885" i="1"/>
  <c r="K1895" i="1"/>
  <c r="L1895" i="1"/>
  <c r="K1891" i="1"/>
  <c r="L1891" i="1"/>
  <c r="K1887" i="1"/>
  <c r="L1887" i="1"/>
  <c r="K1886" i="1"/>
  <c r="L1886" i="1"/>
  <c r="K1883" i="1"/>
  <c r="L1883" i="1"/>
  <c r="K1882" i="1"/>
  <c r="L1882" i="1"/>
  <c r="K1880" i="1"/>
  <c r="L1880" i="1"/>
  <c r="K1879" i="1"/>
  <c r="L1879" i="1"/>
  <c r="K1876" i="1"/>
  <c r="L1876" i="1"/>
  <c r="K1873" i="1"/>
  <c r="L1873" i="1"/>
  <c r="K1874" i="1"/>
  <c r="L1874" i="1"/>
  <c r="K1875" i="1"/>
  <c r="L1875" i="1"/>
  <c r="K1869" i="1"/>
  <c r="L1869" i="1"/>
  <c r="K1899" i="1"/>
  <c r="L1899" i="1"/>
  <c r="K1900" i="1"/>
  <c r="L1900" i="1"/>
  <c r="K1901" i="1"/>
  <c r="L1901" i="1"/>
  <c r="K1905" i="1"/>
  <c r="L1905" i="1"/>
  <c r="K1910" i="1"/>
  <c r="L1910" i="1"/>
  <c r="K1898" i="1"/>
  <c r="L1898" i="1"/>
  <c r="K1915" i="1"/>
  <c r="L1915" i="1"/>
  <c r="K1922" i="1"/>
  <c r="L1922" i="1"/>
  <c r="K1919" i="1"/>
  <c r="L1919" i="1"/>
  <c r="K1916" i="1"/>
  <c r="L1916" i="1"/>
  <c r="K1914" i="1"/>
  <c r="L1914" i="1"/>
  <c r="K1917" i="1"/>
  <c r="L1917" i="1"/>
  <c r="K1921" i="1"/>
  <c r="L1921" i="1"/>
  <c r="K1920" i="1"/>
  <c r="L1920" i="1"/>
  <c r="K1918" i="1"/>
  <c r="L1918" i="1"/>
  <c r="K1912" i="1"/>
  <c r="L1912" i="1"/>
  <c r="K1911" i="1"/>
  <c r="L1911" i="1"/>
  <c r="K1913" i="1"/>
  <c r="L1913" i="1"/>
  <c r="K1909" i="1"/>
  <c r="L1909" i="1"/>
  <c r="K1908" i="1"/>
  <c r="L1908" i="1"/>
  <c r="K1907" i="1"/>
  <c r="L1907" i="1"/>
  <c r="K1906" i="1"/>
  <c r="L1906" i="1"/>
  <c r="K1904" i="1"/>
  <c r="L1904" i="1"/>
  <c r="K1903" i="1"/>
  <c r="L1903" i="1"/>
  <c r="K1902" i="1"/>
  <c r="L1902" i="1"/>
  <c r="K1923" i="1"/>
  <c r="L1923" i="1"/>
  <c r="K1924" i="1"/>
  <c r="L1924" i="1"/>
  <c r="K1927" i="1"/>
  <c r="L1927" i="1"/>
  <c r="K1925" i="1"/>
  <c r="L1925" i="1"/>
  <c r="K1926" i="1"/>
  <c r="L1926" i="1"/>
  <c r="K1929" i="1"/>
  <c r="L1929" i="1"/>
  <c r="K1928" i="1"/>
  <c r="L1928" i="1"/>
  <c r="K1930" i="1"/>
  <c r="L1930" i="1"/>
  <c r="K1938" i="1"/>
  <c r="L1938" i="1"/>
  <c r="K1940" i="1"/>
  <c r="L1940" i="1"/>
  <c r="K1942" i="1"/>
  <c r="L1942" i="1"/>
  <c r="K1946" i="1"/>
  <c r="L1946" i="1"/>
  <c r="K1951" i="1"/>
  <c r="L1951" i="1"/>
  <c r="K1955" i="1"/>
  <c r="L1955" i="1"/>
  <c r="K1956" i="1"/>
  <c r="L1956" i="1"/>
  <c r="K1962" i="1"/>
  <c r="L1962" i="1"/>
  <c r="K1963" i="1"/>
  <c r="L1963" i="1"/>
  <c r="K1958" i="1"/>
  <c r="L1958" i="1"/>
  <c r="K1964" i="1"/>
  <c r="L1964" i="1"/>
  <c r="K1965" i="1"/>
  <c r="L1965" i="1"/>
  <c r="K1967" i="1"/>
  <c r="L1967" i="1"/>
  <c r="K1954" i="1"/>
  <c r="L1954" i="1"/>
  <c r="K1961" i="1"/>
  <c r="L1961" i="1"/>
  <c r="K1966" i="1"/>
  <c r="L1966" i="1"/>
  <c r="K1959" i="1"/>
  <c r="L1959" i="1"/>
  <c r="K1968" i="1"/>
  <c r="L1968" i="1"/>
  <c r="K1969" i="1"/>
  <c r="L1969" i="1"/>
  <c r="K1970" i="1"/>
  <c r="L1970" i="1"/>
  <c r="K1971" i="1"/>
  <c r="L1971" i="1"/>
  <c r="K1976" i="1"/>
  <c r="L1976" i="1"/>
  <c r="K1973" i="1"/>
  <c r="L1973" i="1"/>
  <c r="K1972" i="1"/>
  <c r="L1972" i="1"/>
  <c r="K1957" i="1"/>
  <c r="L1957" i="1"/>
  <c r="K1974" i="1"/>
  <c r="L1974" i="1"/>
  <c r="K1960" i="1"/>
  <c r="L1960" i="1"/>
  <c r="K1952" i="1"/>
  <c r="L1952" i="1"/>
  <c r="K1975" i="1"/>
  <c r="L1975" i="1"/>
  <c r="K1953" i="1"/>
  <c r="L1953" i="1"/>
  <c r="K1950" i="1"/>
  <c r="L1950" i="1"/>
  <c r="K1949" i="1"/>
  <c r="L1949" i="1"/>
  <c r="K1948" i="1"/>
  <c r="L1948" i="1"/>
  <c r="K1947" i="1"/>
  <c r="L1947" i="1"/>
  <c r="K1944" i="1"/>
  <c r="L1944" i="1"/>
  <c r="K1945" i="1"/>
  <c r="L1945" i="1"/>
  <c r="K1943" i="1"/>
  <c r="L1943" i="1"/>
  <c r="K1941" i="1"/>
  <c r="L1941" i="1"/>
  <c r="K1939" i="1"/>
  <c r="L1939" i="1"/>
  <c r="K1936" i="1"/>
  <c r="L1936" i="1"/>
  <c r="K1937" i="1"/>
  <c r="L1937" i="1"/>
  <c r="K1931" i="1"/>
  <c r="L1931" i="1"/>
  <c r="K1932" i="1"/>
  <c r="L1932" i="1"/>
  <c r="K1933" i="1"/>
  <c r="L1933" i="1"/>
  <c r="K1934" i="1"/>
  <c r="L1934" i="1"/>
  <c r="K1935" i="1"/>
  <c r="L1935" i="1"/>
  <c r="K1979" i="1"/>
  <c r="L1979" i="1"/>
  <c r="K1980" i="1"/>
  <c r="L1980" i="1"/>
  <c r="K1981" i="1"/>
  <c r="L1981" i="1"/>
  <c r="K1988" i="1"/>
  <c r="L1988" i="1"/>
  <c r="K1992" i="1"/>
  <c r="L1992" i="1"/>
  <c r="K1995" i="1"/>
  <c r="L1995" i="1"/>
  <c r="K1996" i="1"/>
  <c r="L1996" i="1"/>
  <c r="K2000" i="1"/>
  <c r="L2000" i="1"/>
  <c r="K2003" i="1"/>
  <c r="L2003" i="1"/>
  <c r="K2006" i="1"/>
  <c r="L2006" i="1"/>
  <c r="K2008" i="1"/>
  <c r="L2008" i="1"/>
  <c r="K2012" i="1"/>
  <c r="L2012" i="1"/>
  <c r="K2014" i="1"/>
  <c r="L2014" i="1"/>
  <c r="K2009" i="1"/>
  <c r="L2009" i="1"/>
  <c r="K2020" i="1"/>
  <c r="L2020" i="1"/>
  <c r="K2024" i="1"/>
  <c r="L2024" i="1"/>
  <c r="K2034" i="1"/>
  <c r="L2034" i="1"/>
  <c r="K2019" i="1"/>
  <c r="L2019" i="1"/>
  <c r="K1977" i="1"/>
  <c r="L1977" i="1"/>
  <c r="K1999" i="1"/>
  <c r="L1999" i="1"/>
  <c r="K1978" i="1"/>
  <c r="L1978" i="1"/>
  <c r="K2023" i="1"/>
  <c r="L2023" i="1"/>
  <c r="K2013" i="1"/>
  <c r="L2013" i="1"/>
  <c r="K2043" i="1"/>
  <c r="L2043" i="1"/>
  <c r="K2051" i="1"/>
  <c r="L2051" i="1"/>
  <c r="K2027" i="1"/>
  <c r="L2027" i="1"/>
  <c r="K2025" i="1"/>
  <c r="L2025" i="1"/>
  <c r="K2029" i="1"/>
  <c r="L2029" i="1"/>
  <c r="K2056" i="1"/>
  <c r="L2056" i="1"/>
  <c r="K2055" i="1"/>
  <c r="L2055" i="1"/>
  <c r="K2059" i="1"/>
  <c r="L2059" i="1"/>
  <c r="K2032" i="1"/>
  <c r="L2032" i="1"/>
  <c r="K2030" i="1"/>
  <c r="L2030" i="1"/>
  <c r="K2071" i="1"/>
  <c r="L2071" i="1"/>
  <c r="K2058" i="1"/>
  <c r="L2058" i="1"/>
  <c r="K2033" i="1"/>
  <c r="L2033" i="1"/>
  <c r="K2046" i="1"/>
  <c r="L2046" i="1"/>
  <c r="K2047" i="1"/>
  <c r="L2047" i="1"/>
  <c r="K2050" i="1"/>
  <c r="L2050" i="1"/>
  <c r="K2073" i="1"/>
  <c r="L2073" i="1"/>
  <c r="K2097" i="1"/>
  <c r="L2097" i="1"/>
  <c r="K2063" i="1"/>
  <c r="L2063" i="1"/>
  <c r="K2083" i="1"/>
  <c r="L2083" i="1"/>
  <c r="K2048" i="1"/>
  <c r="L2048" i="1"/>
  <c r="K2076" i="1"/>
  <c r="L2076" i="1"/>
  <c r="K2062" i="1"/>
  <c r="L2062" i="1"/>
  <c r="K2061" i="1"/>
  <c r="L2061" i="1"/>
  <c r="K2077" i="1"/>
  <c r="L2077" i="1"/>
  <c r="K2072" i="1"/>
  <c r="L2072" i="1"/>
  <c r="K2082" i="1"/>
  <c r="L2082" i="1"/>
  <c r="K2060" i="1"/>
  <c r="L2060" i="1"/>
  <c r="K2065" i="1"/>
  <c r="L2065" i="1"/>
  <c r="K2052" i="1"/>
  <c r="L2052" i="1"/>
  <c r="K2085" i="1"/>
  <c r="L2085" i="1"/>
  <c r="K2081" i="1"/>
  <c r="L2081" i="1"/>
  <c r="K2084" i="1"/>
  <c r="L2084" i="1"/>
  <c r="K2069" i="1"/>
  <c r="L2069" i="1"/>
  <c r="K2079" i="1"/>
  <c r="L2079" i="1"/>
  <c r="K2067" i="1"/>
  <c r="L2067" i="1"/>
  <c r="K2035" i="1"/>
  <c r="L2035" i="1"/>
  <c r="K2064" i="1"/>
  <c r="L2064" i="1"/>
  <c r="K2068" i="1"/>
  <c r="L2068" i="1"/>
  <c r="K2039" i="1"/>
  <c r="L2039" i="1"/>
  <c r="K2053" i="1"/>
  <c r="L2053" i="1"/>
  <c r="K2086" i="1"/>
  <c r="L2086" i="1"/>
  <c r="K2087" i="1"/>
  <c r="L2087" i="1"/>
  <c r="K2101" i="1"/>
  <c r="L2101" i="1"/>
  <c r="K2074" i="1"/>
  <c r="L2074" i="1"/>
  <c r="K2080" i="1"/>
  <c r="L2080" i="1"/>
  <c r="K2049" i="1"/>
  <c r="L2049" i="1"/>
  <c r="K2078" i="1"/>
  <c r="L2078" i="1"/>
  <c r="K2054" i="1"/>
  <c r="L2054" i="1"/>
  <c r="K2088" i="1"/>
  <c r="L2088" i="1"/>
  <c r="K2057" i="1"/>
  <c r="L2057" i="1"/>
  <c r="K2089" i="1"/>
  <c r="L2089" i="1"/>
  <c r="K2090" i="1"/>
  <c r="L2090" i="1"/>
  <c r="K2096" i="1"/>
  <c r="L2096" i="1"/>
  <c r="K2100" i="1"/>
  <c r="L2100" i="1"/>
  <c r="K2066" i="1"/>
  <c r="L2066" i="1"/>
  <c r="K2070" i="1"/>
  <c r="L2070" i="1"/>
  <c r="K2026" i="1"/>
  <c r="L2026" i="1"/>
  <c r="K2092" i="1"/>
  <c r="L2092" i="1"/>
  <c r="K2075" i="1"/>
  <c r="L2075" i="1"/>
  <c r="K2031" i="1"/>
  <c r="L2031" i="1"/>
  <c r="K2091" i="1"/>
  <c r="L2091" i="1"/>
  <c r="K2099" i="1"/>
  <c r="L2099" i="1"/>
  <c r="K2093" i="1"/>
  <c r="L2093" i="1"/>
  <c r="K2098" i="1"/>
  <c r="L2098" i="1"/>
  <c r="K2044" i="1"/>
  <c r="L2044" i="1"/>
  <c r="K2094" i="1"/>
  <c r="L2094" i="1"/>
  <c r="K2040" i="1"/>
  <c r="L2040" i="1"/>
  <c r="K2038" i="1"/>
  <c r="L2038" i="1"/>
  <c r="K2036" i="1"/>
  <c r="L2036" i="1"/>
  <c r="K2041" i="1"/>
  <c r="L2041" i="1"/>
  <c r="K2028" i="1"/>
  <c r="L2028" i="1"/>
  <c r="K2045" i="1"/>
  <c r="L2045" i="1"/>
  <c r="K2037" i="1"/>
  <c r="L2037" i="1"/>
  <c r="K2095" i="1"/>
  <c r="L2095" i="1"/>
  <c r="K2022" i="1"/>
  <c r="L2022" i="1"/>
  <c r="K2042" i="1"/>
  <c r="L2042" i="1"/>
  <c r="K2017" i="1"/>
  <c r="L2017" i="1"/>
  <c r="K2015" i="1"/>
  <c r="L2015" i="1"/>
  <c r="K2016" i="1"/>
  <c r="L2016" i="1"/>
  <c r="K2018" i="1"/>
  <c r="L2018" i="1"/>
  <c r="K2021" i="1"/>
  <c r="L2021" i="1"/>
  <c r="K2011" i="1"/>
  <c r="L2011" i="1"/>
  <c r="K2010" i="1"/>
  <c r="L2010" i="1"/>
  <c r="K2007" i="1"/>
  <c r="L2007" i="1"/>
  <c r="K2005" i="1"/>
  <c r="L2005" i="1"/>
  <c r="K2004" i="1"/>
  <c r="L2004" i="1"/>
  <c r="K2002" i="1"/>
  <c r="L2002" i="1"/>
  <c r="K2001" i="1"/>
  <c r="L2001" i="1"/>
  <c r="K1998" i="1"/>
  <c r="L1998" i="1"/>
  <c r="K1997" i="1"/>
  <c r="L1997" i="1"/>
  <c r="K1994" i="1"/>
  <c r="L1994" i="1"/>
  <c r="K1993" i="1"/>
  <c r="L1993" i="1"/>
  <c r="K1991" i="1"/>
  <c r="L1991" i="1"/>
  <c r="K1990" i="1"/>
  <c r="L1990" i="1"/>
  <c r="K1986" i="1"/>
  <c r="L1986" i="1"/>
  <c r="K1989" i="1"/>
  <c r="L1989" i="1"/>
  <c r="K1987" i="1"/>
  <c r="L1987" i="1"/>
  <c r="K1985" i="1"/>
  <c r="L1985" i="1"/>
  <c r="K1982" i="1"/>
  <c r="L1982" i="1"/>
  <c r="K1984" i="1"/>
  <c r="L1984" i="1"/>
  <c r="K1983" i="1"/>
  <c r="L1983" i="1"/>
  <c r="K2102" i="1"/>
  <c r="L2102" i="1"/>
  <c r="K2103" i="1"/>
  <c r="L2103" i="1"/>
  <c r="K2105" i="1"/>
  <c r="L2105" i="1"/>
  <c r="K2104" i="1"/>
  <c r="L2104" i="1"/>
  <c r="K2106" i="1"/>
  <c r="L2106" i="1"/>
  <c r="K2107" i="1"/>
  <c r="L2107" i="1"/>
  <c r="K2108" i="1"/>
  <c r="L2108" i="1"/>
  <c r="K2109" i="1"/>
  <c r="L2109" i="1"/>
  <c r="K2117" i="1"/>
  <c r="L2117" i="1"/>
  <c r="K2118" i="1"/>
  <c r="L2118" i="1"/>
  <c r="K2121" i="1"/>
  <c r="L2121" i="1"/>
  <c r="K2125" i="1"/>
  <c r="L2125" i="1"/>
  <c r="K2131" i="1"/>
  <c r="L2131" i="1"/>
  <c r="K2143" i="1"/>
  <c r="L2143" i="1"/>
  <c r="K2147" i="1"/>
  <c r="L2147" i="1"/>
  <c r="K2164" i="1"/>
  <c r="L2164" i="1"/>
  <c r="K2155" i="1"/>
  <c r="L2155" i="1"/>
  <c r="K2151" i="1"/>
  <c r="L2151" i="1"/>
  <c r="K2163" i="1"/>
  <c r="L2163" i="1"/>
  <c r="K2134" i="1"/>
  <c r="L2134" i="1"/>
  <c r="K2169" i="1"/>
  <c r="L2169" i="1"/>
  <c r="K2178" i="1"/>
  <c r="L2178" i="1"/>
  <c r="K2135" i="1"/>
  <c r="L2135" i="1"/>
  <c r="K2185" i="1"/>
  <c r="L2185" i="1"/>
  <c r="K2177" i="1"/>
  <c r="L2177" i="1"/>
  <c r="K2137" i="1"/>
  <c r="L2137" i="1"/>
  <c r="K2159" i="1"/>
  <c r="L2159" i="1"/>
  <c r="K2156" i="1"/>
  <c r="L2156" i="1"/>
  <c r="K2153" i="1"/>
  <c r="L2153" i="1"/>
  <c r="K2139" i="1"/>
  <c r="L2139" i="1"/>
  <c r="K2161" i="1"/>
  <c r="L2161" i="1"/>
  <c r="K2160" i="1"/>
  <c r="L2160" i="1"/>
  <c r="K2154" i="1"/>
  <c r="L2154" i="1"/>
  <c r="K2162" i="1"/>
  <c r="L2162" i="1"/>
  <c r="K2198" i="1"/>
  <c r="L2198" i="1"/>
  <c r="K2240" i="1"/>
  <c r="L2240" i="1"/>
  <c r="K2183" i="1"/>
  <c r="L2183" i="1"/>
  <c r="K2184" i="1"/>
  <c r="L2184" i="1"/>
  <c r="K2187" i="1"/>
  <c r="L2187" i="1"/>
  <c r="K2173" i="1"/>
  <c r="L2173" i="1"/>
  <c r="K2172" i="1"/>
  <c r="L2172" i="1"/>
  <c r="K2239" i="1"/>
  <c r="L2239" i="1"/>
  <c r="K2211" i="1"/>
  <c r="L2211" i="1"/>
  <c r="K2209" i="1"/>
  <c r="L2209" i="1"/>
  <c r="K2194" i="1"/>
  <c r="L2194" i="1"/>
  <c r="K2191" i="1"/>
  <c r="L2191" i="1"/>
  <c r="K2205" i="1"/>
  <c r="L2205" i="1"/>
  <c r="K2192" i="1"/>
  <c r="L2192" i="1"/>
  <c r="K2197" i="1"/>
  <c r="L2197" i="1"/>
  <c r="K2189" i="1"/>
  <c r="L2189" i="1"/>
  <c r="K2227" i="1"/>
  <c r="L2227" i="1"/>
  <c r="K2206" i="1"/>
  <c r="L2206" i="1"/>
  <c r="K2241" i="1"/>
  <c r="L2241" i="1"/>
  <c r="K2220" i="1"/>
  <c r="L2220" i="1"/>
  <c r="K2224" i="1"/>
  <c r="L2224" i="1"/>
  <c r="K2213" i="1"/>
  <c r="L2213" i="1"/>
  <c r="K2202" i="1"/>
  <c r="L2202" i="1"/>
  <c r="K2218" i="1"/>
  <c r="L2218" i="1"/>
  <c r="K2223" i="1"/>
  <c r="L2223" i="1"/>
  <c r="K2215" i="1"/>
  <c r="L2215" i="1"/>
  <c r="K2217" i="1"/>
  <c r="L2217" i="1"/>
  <c r="K2221" i="1"/>
  <c r="L2221" i="1"/>
  <c r="K2219" i="1"/>
  <c r="L2219" i="1"/>
  <c r="K2222" i="1"/>
  <c r="L2222" i="1"/>
  <c r="K2188" i="1"/>
  <c r="L2188" i="1"/>
  <c r="K2214" i="1"/>
  <c r="L2214" i="1"/>
  <c r="K2204" i="1"/>
  <c r="L2204" i="1"/>
  <c r="K2216" i="1"/>
  <c r="L2216" i="1"/>
  <c r="K2199" i="1"/>
  <c r="L2199" i="1"/>
  <c r="K2229" i="1"/>
  <c r="L2229" i="1"/>
  <c r="K2186" i="1"/>
  <c r="L2186" i="1"/>
  <c r="K2231" i="1"/>
  <c r="L2231" i="1"/>
  <c r="K2232" i="1"/>
  <c r="L2232" i="1"/>
  <c r="K2228" i="1"/>
  <c r="L2228" i="1"/>
  <c r="K2190" i="1"/>
  <c r="L2190" i="1"/>
  <c r="K2230" i="1"/>
  <c r="L2230" i="1"/>
  <c r="K2234" i="1"/>
  <c r="L2234" i="1"/>
  <c r="K2171" i="1"/>
  <c r="L2171" i="1"/>
  <c r="K2203" i="1"/>
  <c r="L2203" i="1"/>
  <c r="K2212" i="1"/>
  <c r="L2212" i="1"/>
  <c r="K2201" i="1"/>
  <c r="L2201" i="1"/>
  <c r="K2210" i="1"/>
  <c r="L2210" i="1"/>
  <c r="K2226" i="1"/>
  <c r="L2226" i="1"/>
  <c r="K2208" i="1"/>
  <c r="L2208" i="1"/>
  <c r="K2207" i="1"/>
  <c r="L2207" i="1"/>
  <c r="K2225" i="1"/>
  <c r="L2225" i="1"/>
  <c r="K2235" i="1"/>
  <c r="L2235" i="1"/>
  <c r="K2233" i="1"/>
  <c r="L2233" i="1"/>
  <c r="K2200" i="1"/>
  <c r="L2200" i="1"/>
  <c r="K2236" i="1"/>
  <c r="L2236" i="1"/>
  <c r="K2193" i="1"/>
  <c r="L2193" i="1"/>
  <c r="K2196" i="1"/>
  <c r="L2196" i="1"/>
  <c r="K2237" i="1"/>
  <c r="L2237" i="1"/>
  <c r="K2181" i="1"/>
  <c r="L2181" i="1"/>
  <c r="K2170" i="1"/>
  <c r="L2170" i="1"/>
  <c r="K2195" i="1"/>
  <c r="L2195" i="1"/>
  <c r="K2180" i="1"/>
  <c r="L2180" i="1"/>
  <c r="K2176" i="1"/>
  <c r="L2176" i="1"/>
  <c r="K2167" i="1"/>
  <c r="L2167" i="1"/>
  <c r="K2182" i="1"/>
  <c r="L2182" i="1"/>
  <c r="K2174" i="1"/>
  <c r="L2174" i="1"/>
  <c r="K2179" i="1"/>
  <c r="L2179" i="1"/>
  <c r="K2158" i="1"/>
  <c r="L2158" i="1"/>
  <c r="K2165" i="1"/>
  <c r="L2165" i="1"/>
  <c r="K2152" i="1"/>
  <c r="L2152" i="1"/>
  <c r="K2166" i="1"/>
  <c r="L2166" i="1"/>
  <c r="K2148" i="1"/>
  <c r="L2148" i="1"/>
  <c r="K2168" i="1"/>
  <c r="L2168" i="1"/>
  <c r="K2157" i="1"/>
  <c r="L2157" i="1"/>
  <c r="K2144" i="1"/>
  <c r="L2144" i="1"/>
  <c r="K2175" i="1"/>
  <c r="L2175" i="1"/>
  <c r="K2141" i="1"/>
  <c r="L2141" i="1"/>
  <c r="K2149" i="1"/>
  <c r="L2149" i="1"/>
  <c r="K2142" i="1"/>
  <c r="L2142" i="1"/>
  <c r="K2150" i="1"/>
  <c r="L2150" i="1"/>
  <c r="K2145" i="1"/>
  <c r="L2145" i="1"/>
  <c r="K2146" i="1"/>
  <c r="L2146" i="1"/>
  <c r="K2238" i="1"/>
  <c r="L2238" i="1"/>
  <c r="K2140" i="1"/>
  <c r="L2140" i="1"/>
  <c r="K2138" i="1"/>
  <c r="L2138" i="1"/>
  <c r="K2133" i="1"/>
  <c r="L2133" i="1"/>
  <c r="K2132" i="1"/>
  <c r="L2132" i="1"/>
  <c r="K2136" i="1"/>
  <c r="L2136" i="1"/>
  <c r="K2130" i="1"/>
  <c r="L2130" i="1"/>
  <c r="K2129" i="1"/>
  <c r="L2129" i="1"/>
  <c r="K2127" i="1"/>
  <c r="L2127" i="1"/>
  <c r="K2128" i="1"/>
  <c r="L2128" i="1"/>
  <c r="K2126" i="1"/>
  <c r="L2126" i="1"/>
  <c r="K2124" i="1"/>
  <c r="L2124" i="1"/>
  <c r="K2123" i="1"/>
  <c r="L2123" i="1"/>
  <c r="K2122" i="1"/>
  <c r="L2122" i="1"/>
  <c r="K2119" i="1"/>
  <c r="L2119" i="1"/>
  <c r="K2120" i="1"/>
  <c r="L2120" i="1"/>
  <c r="K2111" i="1"/>
  <c r="L2111" i="1"/>
  <c r="K2110" i="1"/>
  <c r="L2110" i="1"/>
  <c r="K2112" i="1"/>
  <c r="L2112" i="1"/>
  <c r="K2115" i="1"/>
  <c r="L2115" i="1"/>
  <c r="K2114" i="1"/>
  <c r="L2114" i="1"/>
  <c r="K2113" i="1"/>
  <c r="L2113" i="1"/>
  <c r="K2116" i="1"/>
  <c r="L2116" i="1"/>
  <c r="K2251" i="1"/>
  <c r="L2251" i="1"/>
  <c r="K2253" i="1"/>
  <c r="L2253" i="1"/>
  <c r="K2252" i="1"/>
  <c r="L2252" i="1"/>
  <c r="K2255" i="1"/>
  <c r="L2255" i="1"/>
  <c r="K2254" i="1"/>
  <c r="L2254" i="1"/>
  <c r="K2256" i="1"/>
  <c r="L2256" i="1"/>
  <c r="K2257" i="1"/>
  <c r="L2257" i="1"/>
  <c r="K2258" i="1"/>
  <c r="L2258" i="1"/>
  <c r="K2262" i="1"/>
  <c r="L2262" i="1"/>
  <c r="K2267" i="1"/>
  <c r="L2267" i="1"/>
  <c r="K2266" i="1"/>
  <c r="L2266" i="1"/>
  <c r="K2279" i="1"/>
  <c r="L2279" i="1"/>
  <c r="K2282" i="1"/>
  <c r="L2282" i="1"/>
  <c r="K2289" i="1"/>
  <c r="L2289" i="1"/>
  <c r="K2275" i="1"/>
  <c r="L2275" i="1"/>
  <c r="K2298" i="1"/>
  <c r="L2298" i="1"/>
  <c r="K2297" i="1"/>
  <c r="L2297" i="1"/>
  <c r="K2329" i="1"/>
  <c r="L2329" i="1"/>
  <c r="K2288" i="1"/>
  <c r="L2288" i="1"/>
  <c r="K2286" i="1"/>
  <c r="L2286" i="1"/>
  <c r="K2284" i="1"/>
  <c r="L2284" i="1"/>
  <c r="K2277" i="1"/>
  <c r="L2277" i="1"/>
  <c r="K2305" i="1"/>
  <c r="L2305" i="1"/>
  <c r="K2306" i="1"/>
  <c r="L2306" i="1"/>
  <c r="K2290" i="1"/>
  <c r="L2290" i="1"/>
  <c r="K2280" i="1"/>
  <c r="L2280" i="1"/>
  <c r="K2283" i="1"/>
  <c r="L2283" i="1"/>
  <c r="K2331" i="1"/>
  <c r="L2331" i="1"/>
  <c r="K2278" i="1"/>
  <c r="L2278" i="1"/>
  <c r="K2281" i="1"/>
  <c r="L2281" i="1"/>
  <c r="K2303" i="1"/>
  <c r="L2303" i="1"/>
  <c r="K2287" i="1"/>
  <c r="L2287" i="1"/>
  <c r="K2332" i="1"/>
  <c r="L2332" i="1"/>
  <c r="K2250" i="1"/>
  <c r="L2250" i="1"/>
  <c r="K2309" i="1"/>
  <c r="L2309" i="1"/>
  <c r="K2302" i="1"/>
  <c r="L2302" i="1"/>
  <c r="K2249" i="1"/>
  <c r="L2249" i="1"/>
  <c r="K2246" i="1"/>
  <c r="L2246" i="1"/>
  <c r="K2310" i="1"/>
  <c r="L2310" i="1"/>
  <c r="K2315" i="1"/>
  <c r="L2315" i="1"/>
  <c r="K2311" i="1"/>
  <c r="L2311" i="1"/>
  <c r="K2328" i="1"/>
  <c r="L2328" i="1"/>
  <c r="K2301" i="1"/>
  <c r="L2301" i="1"/>
  <c r="K2314" i="1"/>
  <c r="L2314" i="1"/>
  <c r="K2317" i="1"/>
  <c r="L2317" i="1"/>
  <c r="K2245" i="1"/>
  <c r="L2245" i="1"/>
  <c r="K2316" i="1"/>
  <c r="L2316" i="1"/>
  <c r="K2308" i="1"/>
  <c r="L2308" i="1"/>
  <c r="K2313" i="1"/>
  <c r="L2313" i="1"/>
  <c r="K2320" i="1"/>
  <c r="L2320" i="1"/>
  <c r="K2300" i="1"/>
  <c r="L2300" i="1"/>
  <c r="K2312" i="1"/>
  <c r="L2312" i="1"/>
  <c r="K2327" i="1"/>
  <c r="L2327" i="1"/>
  <c r="K2248" i="1"/>
  <c r="L2248" i="1"/>
  <c r="K2304" i="1"/>
  <c r="L2304" i="1"/>
  <c r="K2330" i="1"/>
  <c r="L2330" i="1"/>
  <c r="K2295" i="1"/>
  <c r="L2295" i="1"/>
  <c r="K2307" i="1"/>
  <c r="L2307" i="1"/>
  <c r="K2244" i="1"/>
  <c r="L2244" i="1"/>
  <c r="K2318" i="1"/>
  <c r="L2318" i="1"/>
  <c r="K2242" i="1"/>
  <c r="L2242" i="1"/>
  <c r="K2326" i="1"/>
  <c r="L2326" i="1"/>
  <c r="K2243" i="1"/>
  <c r="L2243" i="1"/>
  <c r="K2247" i="1"/>
  <c r="L2247" i="1"/>
  <c r="K2319" i="1"/>
  <c r="L2319" i="1"/>
  <c r="K2299" i="1"/>
  <c r="L2299" i="1"/>
  <c r="K2322" i="1"/>
  <c r="L2322" i="1"/>
  <c r="K2294" i="1"/>
  <c r="L2294" i="1"/>
  <c r="K2323" i="1"/>
  <c r="L2323" i="1"/>
  <c r="K2296" i="1"/>
  <c r="L2296" i="1"/>
  <c r="K2321" i="1"/>
  <c r="L2321" i="1"/>
  <c r="K2291" i="1"/>
  <c r="L2291" i="1"/>
  <c r="K2292" i="1"/>
  <c r="L2292" i="1"/>
  <c r="K2324" i="1"/>
  <c r="L2324" i="1"/>
  <c r="K2293" i="1"/>
  <c r="L2293" i="1"/>
  <c r="K2285" i="1"/>
  <c r="L2285" i="1"/>
  <c r="K2276" i="1"/>
  <c r="L2276" i="1"/>
  <c r="K2274" i="1"/>
  <c r="L2274" i="1"/>
  <c r="K2325" i="1"/>
  <c r="L2325" i="1"/>
  <c r="K2273" i="1"/>
  <c r="L2273" i="1"/>
  <c r="K2272" i="1"/>
  <c r="L2272" i="1"/>
  <c r="K2271" i="1"/>
  <c r="L2271" i="1"/>
  <c r="K2270" i="1"/>
  <c r="L2270" i="1"/>
  <c r="K2269" i="1"/>
  <c r="L2269" i="1"/>
  <c r="K2268" i="1"/>
  <c r="L2268" i="1"/>
  <c r="K2265" i="1"/>
  <c r="L2265" i="1"/>
  <c r="K2264" i="1"/>
  <c r="L2264" i="1"/>
  <c r="K2263" i="1"/>
  <c r="L2263" i="1"/>
  <c r="K2259" i="1"/>
  <c r="L2259" i="1"/>
  <c r="K2260" i="1"/>
  <c r="L2260" i="1"/>
  <c r="K2261" i="1"/>
  <c r="L2261" i="1"/>
  <c r="K2336" i="1"/>
  <c r="L2336" i="1"/>
  <c r="K2340" i="1"/>
  <c r="L2340" i="1"/>
  <c r="K2349" i="1"/>
  <c r="L2349" i="1"/>
  <c r="K2334" i="1"/>
  <c r="L2334" i="1"/>
  <c r="K2347" i="1"/>
  <c r="L2347" i="1"/>
  <c r="K2335" i="1"/>
  <c r="L2335" i="1"/>
  <c r="K2333" i="1"/>
  <c r="L2333" i="1"/>
  <c r="K2348" i="1"/>
  <c r="L2348" i="1"/>
  <c r="K2346" i="1"/>
  <c r="L2346" i="1"/>
  <c r="K2345" i="1"/>
  <c r="L2345" i="1"/>
  <c r="K2344" i="1"/>
  <c r="L2344" i="1"/>
  <c r="K2343" i="1"/>
  <c r="L2343" i="1"/>
  <c r="K2342" i="1"/>
  <c r="L2342" i="1"/>
  <c r="K2341" i="1"/>
  <c r="L2341" i="1"/>
  <c r="K2339" i="1"/>
  <c r="L2339" i="1"/>
  <c r="K2337" i="1"/>
  <c r="L2337" i="1"/>
  <c r="K2338" i="1"/>
  <c r="L2338" i="1"/>
  <c r="K2350" i="1"/>
  <c r="L2350" i="1"/>
  <c r="K2353" i="1"/>
  <c r="L2353" i="1"/>
  <c r="K2351" i="1"/>
  <c r="L2351" i="1"/>
  <c r="K2352" i="1"/>
  <c r="L2352" i="1"/>
  <c r="K2355" i="1"/>
  <c r="L2355" i="1"/>
  <c r="K2354" i="1"/>
  <c r="L2354" i="1"/>
</calcChain>
</file>

<file path=xl/sharedStrings.xml><?xml version="1.0" encoding="utf-8"?>
<sst xmlns="http://schemas.openxmlformats.org/spreadsheetml/2006/main" count="24381" uniqueCount="100">
  <si>
    <t>game_id</t>
  </si>
  <si>
    <t>shotType</t>
  </si>
  <si>
    <t>actionSub</t>
  </si>
  <si>
    <t>Score</t>
  </si>
  <si>
    <t>OpScore</t>
  </si>
  <si>
    <t>Lead</t>
  </si>
  <si>
    <t>Q</t>
  </si>
  <si>
    <t>clock</t>
  </si>
  <si>
    <t>season</t>
  </si>
  <si>
    <t>Tri</t>
  </si>
  <si>
    <t>Play</t>
  </si>
  <si>
    <t>Link</t>
  </si>
  <si>
    <t>x</t>
  </si>
  <si>
    <t>y</t>
  </si>
  <si>
    <t>xLegacy</t>
  </si>
  <si>
    <t>yLegacy</t>
  </si>
  <si>
    <t>trueX</t>
  </si>
  <si>
    <t>trueY</t>
  </si>
  <si>
    <t>2PTM</t>
  </si>
  <si>
    <t>Jump Shot</t>
  </si>
  <si>
    <t>SAS</t>
  </si>
  <si>
    <t>NULL</t>
  </si>
  <si>
    <t>Driving Layup Shot</t>
  </si>
  <si>
    <t>Dunk Shot</t>
  </si>
  <si>
    <t>Layup Shot</t>
  </si>
  <si>
    <t>Driving Dunk Shot</t>
  </si>
  <si>
    <t>3PTM</t>
  </si>
  <si>
    <t>Finger Roll Layup Shot</t>
  </si>
  <si>
    <t>Tip Shot</t>
  </si>
  <si>
    <t>Jump Bank Shot</t>
  </si>
  <si>
    <t>Running Jump Shot</t>
  </si>
  <si>
    <t>Driving Hook Shot</t>
  </si>
  <si>
    <t>Alley Oop Layup shot</t>
  </si>
  <si>
    <t>Putback Layup Shot</t>
  </si>
  <si>
    <t>Turnaround Jump Shot</t>
  </si>
  <si>
    <t>Reverse Layup Shot</t>
  </si>
  <si>
    <t>Pullup Jump shot</t>
  </si>
  <si>
    <t>Fadeaway Jump Shot</t>
  </si>
  <si>
    <t>Turnaround Fadeaway shot</t>
  </si>
  <si>
    <t>Step Back Jump shot</t>
  </si>
  <si>
    <t>Driving Finger Roll Layup Shot</t>
  </si>
  <si>
    <t>Tip Layup Shot</t>
  </si>
  <si>
    <t>Driving Floating Jump Shot</t>
  </si>
  <si>
    <t>Driving Bank shot</t>
  </si>
  <si>
    <t>Driving Reverse Layup Shot</t>
  </si>
  <si>
    <t>Pullup Bank shot</t>
  </si>
  <si>
    <t>Cutting Dunk Shot</t>
  </si>
  <si>
    <t>Hook Shot</t>
  </si>
  <si>
    <t>TOR</t>
  </si>
  <si>
    <t>Driving Floating Bank Jump Shot</t>
  </si>
  <si>
    <t>Running Dunk Shot</t>
  </si>
  <si>
    <t>Running Layup Shot</t>
  </si>
  <si>
    <t>Cutting Layup Shot</t>
  </si>
  <si>
    <t>2012 Playoffs</t>
  </si>
  <si>
    <t>Driving Jump shot</t>
  </si>
  <si>
    <t>2013 Playoffs</t>
  </si>
  <si>
    <t>2014 Playoffs</t>
  </si>
  <si>
    <t>2015 Playoffs</t>
  </si>
  <si>
    <t>2016 Playoffs</t>
  </si>
  <si>
    <t>Floating Jump shot</t>
  </si>
  <si>
    <t>2018 Playoffs</t>
  </si>
  <si>
    <t>Turnaround Bank shot</t>
  </si>
  <si>
    <t>Jump Hook Shot</t>
  </si>
  <si>
    <t>Running Reverse Layup Shot</t>
  </si>
  <si>
    <t>Tip Dunk Shot</t>
  </si>
  <si>
    <t>Running Pull-Up Jump Shot</t>
  </si>
  <si>
    <t>Jump Bank Hook Shot</t>
  </si>
  <si>
    <t>Turnaround Hook Shot</t>
  </si>
  <si>
    <t>Alley Oop Dunk Shot</t>
  </si>
  <si>
    <t>Driving Bank Hook Shot</t>
  </si>
  <si>
    <t>Slam Dunk Shot</t>
  </si>
  <si>
    <t>Running Finger Roll Layup Shot</t>
  </si>
  <si>
    <t>Putback Dunk Shot</t>
  </si>
  <si>
    <t>Running Bank shot</t>
  </si>
  <si>
    <t>Cutting Finger Roll Layup Shot</t>
  </si>
  <si>
    <t>Running Hook Shot</t>
  </si>
  <si>
    <t>Hook Bank Shot</t>
  </si>
  <si>
    <t>Turnaround Fadeaway Bank Jump Shot</t>
  </si>
  <si>
    <t>Driving Slam Dunk Shot</t>
  </si>
  <si>
    <t>Running Slam Dunk Shot</t>
  </si>
  <si>
    <t>Reverse Dunk Shot</t>
  </si>
  <si>
    <t>Fadeaway Bank shot</t>
  </si>
  <si>
    <t>Turnaround Bank Hook Shot</t>
  </si>
  <si>
    <t>LAC</t>
  </si>
  <si>
    <t>jumpshot</t>
  </si>
  <si>
    <t>2019 West Semis</t>
  </si>
  <si>
    <t>2019 1st Round</t>
  </si>
  <si>
    <t>Layup</t>
  </si>
  <si>
    <t>DUNK</t>
  </si>
  <si>
    <t>Hook</t>
  </si>
  <si>
    <t>layup</t>
  </si>
  <si>
    <t>2020 1st Round</t>
  </si>
  <si>
    <t>dunk</t>
  </si>
  <si>
    <t>2023 1st Round</t>
  </si>
  <si>
    <t>2020 West Semis</t>
  </si>
  <si>
    <t>hook</t>
  </si>
  <si>
    <t>2022 1st Round</t>
  </si>
  <si>
    <t>Notes</t>
  </si>
  <si>
    <t>Name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</si>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</sst>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" fillId="0" borderId="0" xfId="1"/>
    <xf numFmtId="0" fontId="0" fillId="2" borderId="0" xfId="0" applyFill="1"/>
    <xf numFmtId="47" fontId="0" fillId="2" borderId="0" xfId="0" applyNumberFormat="1" applyFill="1"/>
    <xf numFmtId="0" fontId="1" fillId="2" borderId="0" xfId="1" applyFill="1"/>
  </cellXfs>
  <cellStyles count="2">
    <cellStyle name="Hyperlink" xfId="1" builtinId="8"/>
    <cellStyle name="Normal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02ADE-6253-4750-9E89-40ACDE2FD146}" name="Table1" displayName="Table1" ref="A1:U5606" totalsRowShown="0">
  <autoFilter ref="A1:U5606" xr:uid="{D0E02ADE-6253-4750-9E89-40ACDE2FD146}">
    <filterColumn colId="15">
      <customFilters>
        <customFilter operator="lessThanOrEqual" val="-220"/>
      </customFilters>
    </filterColumn>
    <filterColumn colId="16">
      <filters>
        <filter val="-12"/>
        <filter val="-13"/>
        <filter val="-14"/>
        <filter val="-15"/>
        <filter val="-16"/>
        <filter val="-17"/>
        <filter val="-18"/>
        <filter val="-19"/>
        <filter val="-20"/>
      </filters>
    </filterColumn>
  </autoFilter>
  <sortState xmlns:xlrd2="http://schemas.microsoft.com/office/spreadsheetml/2017/richdata2" ref="A4:U5564">
    <sortCondition ref="R1:R5606"/>
  </sortState>
  <tableColumns count="21">
    <tableColumn id="1" xr3:uid="{0BD6B522-2F25-4224-AEE9-57B4DCE9D22F}" name="game_id"/>
    <tableColumn id="2" xr3:uid="{B2D8E81B-F3D6-45EB-AA62-D3607ABEB40D}" name="shotType"/>
    <tableColumn id="3" xr3:uid="{4E51908C-E6F9-48C3-8BF2-D2B45E8375B8}" name="actionSub"/>
    <tableColumn id="4" xr3:uid="{8250FADB-C0DF-4671-B634-B623F24C8DDF}" name="Score"/>
    <tableColumn id="5" xr3:uid="{77123D69-3CFA-4BF1-AA1B-0FD58DCCA98C}" name="OpScore"/>
    <tableColumn id="6" xr3:uid="{A7B2A6F1-397B-4D20-AAE4-038D1AB759C1}" name="Lead"/>
    <tableColumn id="7" xr3:uid="{565F903F-476B-4181-9DED-DDFF4E39B8CD}" name="Q"/>
    <tableColumn id="8" xr3:uid="{A0B1D6FC-78D1-4C7E-A736-4E83C7FC7040}" name="clock" dataDxfId="0"/>
    <tableColumn id="9" xr3:uid="{809F9B98-8D43-4964-927F-01AFB551D01A}" name="season"/>
    <tableColumn id="10" xr3:uid="{0CD7D993-6B24-4368-A5ED-94598578133B}" name="Tri"/>
    <tableColumn id="11" xr3:uid="{2A6DC73B-AEAD-431C-9620-30C439DEEF9A}" name="Play" dataCellStyle="Hyperlink"/>
    <tableColumn id="12" xr3:uid="{2AAC2B32-028E-4BCB-A72F-3689F4126747}" name="Link" dataCellStyle="Hyperlink"/>
    <tableColumn id="13" xr3:uid="{98D97499-D7F7-4313-9961-C967CBB650B1}" name="Dist"/>
    <tableColumn id="14" xr3:uid="{F3F177B1-2EE5-4A16-8B47-EEF5CEB02AB2}" name="x"/>
    <tableColumn id="15" xr3:uid="{E4422AF1-5135-4EC8-92D6-8F5CF714574A}" name="y"/>
    <tableColumn id="16" xr3:uid="{82B60A1F-2771-4B57-9A7A-FDCFE6BA3684}" name="xLegacy"/>
    <tableColumn id="17" xr3:uid="{C25A4B5D-1786-4611-80C1-5FA9E81CDEDC}" name="yLegacy"/>
    <tableColumn id="18" xr3:uid="{5DAA3DBE-CCAF-495E-A1C3-67F9D949145A}" name="trueX"/>
    <tableColumn id="19" xr3:uid="{59164B60-1C9F-4D69-A819-369A1E308EBF}" name="trueY"/>
    <tableColumn id="20" xr3:uid="{C47130AF-5A93-4FA3-8483-861F6E80A89B}" name="Name"/>
    <tableColumn id="21" xr3:uid="{6F4632B2-A44D-4CE8-890C-35FD4F540274}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A21F-7B23-43CA-9031-D6666ED601CF}">
  <dimension ref="A1:U5606"/>
  <sheetViews>
    <sheetView tabSelected="1" topLeftCell="F1" zoomScaleNormal="100" workbookViewId="0">
      <selection activeCell="L2796" sqref="L2796"/>
    </sheetView>
  </sheetViews>
  <sheetFormatPr defaultRowHeight="15" x14ac:dyDescent="0.25"/>
  <cols>
    <col min="1" max="1" width="10.5703125" customWidth="1"/>
    <col min="2" max="2" width="11" customWidth="1"/>
    <col min="3" max="3" width="35.85546875" bestFit="1" customWidth="1"/>
    <col min="4" max="4" width="8" customWidth="1"/>
    <col min="5" max="5" width="10.5703125" customWidth="1"/>
    <col min="6" max="6" width="7.28515625" customWidth="1"/>
    <col min="7" max="7" width="4.5703125" customWidth="1"/>
    <col min="8" max="8" width="7.85546875" customWidth="1"/>
    <col min="9" max="9" width="15.5703125" bestFit="1" customWidth="1"/>
    <col min="10" max="10" width="5.42578125" customWidth="1"/>
    <col min="11" max="11" width="57.7109375" customWidth="1"/>
    <col min="12" max="12" width="23.42578125" bestFit="1" customWidth="1"/>
    <col min="13" max="13" width="6.5703125" customWidth="1"/>
    <col min="14" max="15" width="6" bestFit="1" customWidth="1"/>
    <col min="16" max="17" width="9.85546875" customWidth="1"/>
    <col min="18" max="18" width="7.7109375" customWidth="1"/>
    <col min="19" max="19" width="7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98</v>
      </c>
      <c r="U1" t="s">
        <v>97</v>
      </c>
    </row>
    <row r="2" spans="1:21" hidden="1" x14ac:dyDescent="0.25">
      <c r="A2">
        <v>22200795</v>
      </c>
      <c r="B2" t="s">
        <v>18</v>
      </c>
      <c r="C2" t="s">
        <v>19</v>
      </c>
      <c r="D2">
        <v>94</v>
      </c>
      <c r="E2">
        <v>79</v>
      </c>
      <c r="F2">
        <v>15</v>
      </c>
      <c r="G2">
        <v>3</v>
      </c>
      <c r="H2" s="1">
        <v>7.407407407407407E-4</v>
      </c>
      <c r="I2">
        <v>2022</v>
      </c>
      <c r="J2" t="s">
        <v>83</v>
      </c>
      <c r="K2" s="2" t="str">
        <f>HYPERLINK("https://www.nba.com/stats/events?CFID=&amp;CFPARAMS=&amp;GameEventID=437&amp;GameID=0022200795&amp;Season=2022-23&amp;flag=1&amp;title=Leonard%2016'%20step%20back%20Jump%20Shot%20(25%20PTS)", "16' step back Jump Shot (25 PTS)")</f>
        <v>16' step back Jump Shot (25 PTS)</v>
      </c>
      <c r="L2" s="2" t="str">
        <f>HYPERLINK("https://www.nba.com/game/...-vs-...-0022200795/play-by-play?watchFullGame=true", "LAC vs NYK - Q3 01:04.00")</f>
        <v>LAC vs NYK - Q3 01:04.00</v>
      </c>
      <c r="M2">
        <v>16.170000000000002</v>
      </c>
      <c r="N2">
        <v>3.5</v>
      </c>
      <c r="O2">
        <v>17.89</v>
      </c>
      <c r="P2">
        <v>161</v>
      </c>
      <c r="Q2">
        <v>-20</v>
      </c>
      <c r="R2">
        <v>3</v>
      </c>
      <c r="S2">
        <v>17</v>
      </c>
    </row>
    <row r="3" spans="1:21" x14ac:dyDescent="0.25">
      <c r="A3">
        <v>22400697</v>
      </c>
      <c r="B3" t="s">
        <v>26</v>
      </c>
      <c r="C3" t="s">
        <v>19</v>
      </c>
      <c r="D3">
        <v>88</v>
      </c>
      <c r="E3">
        <v>98</v>
      </c>
      <c r="F3">
        <v>10</v>
      </c>
      <c r="G3">
        <v>4</v>
      </c>
      <c r="H3" s="1">
        <v>5.4976851851851853E-3</v>
      </c>
      <c r="I3">
        <v>2024</v>
      </c>
      <c r="J3" t="s">
        <v>83</v>
      </c>
      <c r="K3" s="2" t="str">
        <f>HYPERLINK("https://www.nba.com/stats/events?CFID=&amp;CFPARAMS=&amp;GameEventID=522&amp;GameID=0022400697&amp;Season=2024-25&amp;flag=1&amp;title=Leonard%203PT%20running%20(14%20PTS)%20(Porter%20Jr.%204%20AST)", "3PT running (14 PTS) (K. Porter Jr. 4 AST)")</f>
        <v>3PT running (14 PTS) (K. Porter Jr. 4 AST)</v>
      </c>
      <c r="L3" s="2" t="str">
        <f>HYPERLINK("https://www.nba.com/game/...-vs-...-0022400697/play-by-play?watchFullGame=true", "LAC vs TOR - Q4 07:55.00")</f>
        <v>LAC vs TOR - Q4 07:55.00</v>
      </c>
      <c r="M3">
        <v>23.22</v>
      </c>
      <c r="N3">
        <v>3.76</v>
      </c>
      <c r="O3">
        <v>96.32</v>
      </c>
      <c r="P3">
        <v>-232</v>
      </c>
      <c r="Q3">
        <v>-17</v>
      </c>
      <c r="R3">
        <v>3</v>
      </c>
      <c r="S3">
        <v>96</v>
      </c>
    </row>
    <row r="4" spans="1:21" hidden="1" x14ac:dyDescent="0.25">
      <c r="A4">
        <v>22301064</v>
      </c>
      <c r="B4" t="s">
        <v>18</v>
      </c>
      <c r="C4" t="s">
        <v>19</v>
      </c>
      <c r="D4">
        <v>49</v>
      </c>
      <c r="E4">
        <v>44</v>
      </c>
      <c r="F4">
        <v>5</v>
      </c>
      <c r="G4">
        <v>2</v>
      </c>
      <c r="H4" s="1">
        <v>2.2106481481481482E-3</v>
      </c>
      <c r="I4">
        <v>2023</v>
      </c>
      <c r="J4" t="s">
        <v>83</v>
      </c>
      <c r="K4" s="2" t="str">
        <f>HYPERLINK("https://www.nba.com/stats/events?CFID=&amp;CFPARAMS=&amp;GameEventID=280&amp;GameID=0022301064&amp;Season=2023-24&amp;flag=1&amp;title=Leonard%2014'%20Jump%20Shot%20(8%20PTS)", "14' Jump Shot (8 PTS)")</f>
        <v>14' Jump Shot (8 PTS)</v>
      </c>
      <c r="L4" s="2" t="str">
        <f>HYPERLINK("https://www.nba.com/game/...-vs-...-0022301064/play-by-play?watchFullGame=true", "LAC vs ORL - Q2 03:11.00")</f>
        <v>LAC vs ORL - Q2 03:11.00</v>
      </c>
      <c r="M4">
        <v>14.44</v>
      </c>
      <c r="N4">
        <v>3.76</v>
      </c>
      <c r="O4">
        <v>21.32</v>
      </c>
      <c r="P4">
        <v>143</v>
      </c>
      <c r="Q4">
        <v>-17</v>
      </c>
      <c r="R4">
        <v>3</v>
      </c>
      <c r="S4">
        <v>21</v>
      </c>
    </row>
    <row r="5" spans="1:21" hidden="1" x14ac:dyDescent="0.25">
      <c r="A5">
        <v>41900233</v>
      </c>
      <c r="B5" t="s">
        <v>18</v>
      </c>
      <c r="C5" t="s">
        <v>84</v>
      </c>
      <c r="D5">
        <v>30</v>
      </c>
      <c r="E5">
        <v>26</v>
      </c>
      <c r="F5">
        <v>4</v>
      </c>
      <c r="G5">
        <v>1</v>
      </c>
      <c r="H5" s="1">
        <v>1.7708333333333332E-3</v>
      </c>
      <c r="I5" t="s">
        <v>85</v>
      </c>
      <c r="J5" t="s">
        <v>83</v>
      </c>
      <c r="K5" s="2" t="str">
        <f>HYPERLINK("https://www.nba.com/stats/events?CFID=&amp;CFPARAMS=&amp;GameEventID=108&amp;GameID=0041900233&amp;Season=2019-20&amp;flag=1&amp;title=Leonard%2012'%20jumpshot%20(6%20PTS)", "12' jumpshot (6 PTS)")</f>
        <v>12' jumpshot (6 PTS)</v>
      </c>
      <c r="L5" s="2" t="str">
        <f>HYPERLINK("https://www.nba.com/game/...-vs-...-0041900233/play-by-play?watchFullGame=true", "LAC vs DEN - Q1 02:33.00")</f>
        <v>LAC vs DEN - Q1 02:33.00</v>
      </c>
      <c r="M5">
        <v>12.29</v>
      </c>
      <c r="N5">
        <v>3.63</v>
      </c>
      <c r="O5">
        <v>25.56</v>
      </c>
      <c r="P5">
        <v>122</v>
      </c>
      <c r="Q5">
        <v>-18</v>
      </c>
      <c r="R5">
        <v>3</v>
      </c>
      <c r="S5">
        <v>25</v>
      </c>
    </row>
    <row r="6" spans="1:21" hidden="1" x14ac:dyDescent="0.25">
      <c r="A6">
        <v>22300151</v>
      </c>
      <c r="B6" t="s">
        <v>26</v>
      </c>
      <c r="C6" t="s">
        <v>19</v>
      </c>
      <c r="D6">
        <v>88</v>
      </c>
      <c r="E6">
        <v>99</v>
      </c>
      <c r="F6">
        <v>11</v>
      </c>
      <c r="G6">
        <v>4</v>
      </c>
      <c r="H6" s="1">
        <v>4.1550925925925922E-3</v>
      </c>
      <c r="I6">
        <v>2023</v>
      </c>
      <c r="J6" t="s">
        <v>83</v>
      </c>
      <c r="K6" s="2" t="str">
        <f>HYPERLINK("https://www.nba.com/stats/events?CFID=&amp;CFPARAMS=&amp;GameEventID=539&amp;GameID=0022300151&amp;Season=2023-24&amp;flag=1&amp;title=Leonard%2024'%203PT%20%20(18%20PTS)%20(J.%20Harden%206%20AST)", "24' 3PT  (18 PTS) (J. Harden 6 AST)")</f>
        <v>24' 3PT  (18 PTS) (J. Harden 6 AST)</v>
      </c>
      <c r="L6" s="2" t="str">
        <f>HYPERLINK("https://www.nba.com/game/...-vs-...-0022300151/play-by-play?watchFullGame=true", "LAC vs NYK - Q4 05:59.00")</f>
        <v>LAC vs NYK - Q4 05:59.00</v>
      </c>
      <c r="M6">
        <v>24.05</v>
      </c>
      <c r="N6">
        <v>4.42</v>
      </c>
      <c r="O6">
        <v>1.96</v>
      </c>
      <c r="P6">
        <v>240</v>
      </c>
      <c r="Q6">
        <v>-11</v>
      </c>
      <c r="R6">
        <v>4</v>
      </c>
      <c r="S6">
        <v>1</v>
      </c>
    </row>
    <row r="7" spans="1:21" x14ac:dyDescent="0.25">
      <c r="A7">
        <v>22200687</v>
      </c>
      <c r="B7" t="s">
        <v>26</v>
      </c>
      <c r="C7" t="s">
        <v>19</v>
      </c>
      <c r="D7">
        <v>86</v>
      </c>
      <c r="E7">
        <v>90</v>
      </c>
      <c r="F7">
        <v>4</v>
      </c>
      <c r="G7">
        <v>3</v>
      </c>
      <c r="H7" s="1">
        <v>3.5069444444444445E-3</v>
      </c>
      <c r="I7">
        <v>2022</v>
      </c>
      <c r="J7" t="s">
        <v>83</v>
      </c>
      <c r="K7" s="2" t="str">
        <f>HYPERLINK("https://www.nba.com/stats/events?CFID=&amp;CFPARAMS=&amp;GameEventID=360&amp;GameID=0022200687&amp;Season=2022-23&amp;flag=1&amp;title=Leonard%203PT%20step%20back%20(25%20PTS)%20(N.%20Batum%202%20AST)", "3PT step back (25 PTS) (N. Batum 2 AST)")</f>
        <v>3PT step back (25 PTS) (N. Batum 2 AST)</v>
      </c>
      <c r="L7" s="2" t="str">
        <f>HYPERLINK("https://www.nba.com/game/...-vs-...-0022200687/play-by-play?watchFullGame=true", "LAC vs SAS - Q3 05:03.00")</f>
        <v>LAC vs SAS - Q3 05:03.00</v>
      </c>
      <c r="M7">
        <v>23.44</v>
      </c>
      <c r="N7">
        <v>4.29</v>
      </c>
      <c r="O7">
        <v>96.81</v>
      </c>
      <c r="P7">
        <v>-234</v>
      </c>
      <c r="Q7">
        <v>-12</v>
      </c>
      <c r="R7">
        <v>4</v>
      </c>
      <c r="S7">
        <v>96</v>
      </c>
    </row>
    <row r="8" spans="1:21" hidden="1" x14ac:dyDescent="0.25">
      <c r="A8">
        <v>22300658</v>
      </c>
      <c r="B8" t="s">
        <v>26</v>
      </c>
      <c r="C8" t="s">
        <v>19</v>
      </c>
      <c r="D8">
        <v>73</v>
      </c>
      <c r="E8">
        <v>72</v>
      </c>
      <c r="F8">
        <v>1</v>
      </c>
      <c r="G8">
        <v>3</v>
      </c>
      <c r="H8" s="1">
        <v>2.8124999999999999E-3</v>
      </c>
      <c r="I8">
        <v>2023</v>
      </c>
      <c r="J8" t="s">
        <v>83</v>
      </c>
      <c r="K8" s="2" t="str">
        <f>HYPERLINK("https://www.nba.com/stats/events?CFID=&amp;CFPARAMS=&amp;GameEventID=424&amp;GameID=0022300658&amp;Season=2023-24&amp;flag=1&amp;title=Leonard%203PT%20step%20back%20(24%20PTS)", "3PT step back (24 PTS)")</f>
        <v>3PT step back (24 PTS)</v>
      </c>
      <c r="L8" s="2" t="str">
        <f>HYPERLINK("https://www.nba.com/game/...-vs-...-0022300658/play-by-play?watchFullGame=true", "LAC vs CLE - Q3 04:03.00")</f>
        <v>LAC vs CLE - Q3 04:03.00</v>
      </c>
      <c r="M8">
        <v>23.55</v>
      </c>
      <c r="N8">
        <v>4.55</v>
      </c>
      <c r="O8">
        <v>97.06</v>
      </c>
      <c r="P8">
        <v>-235</v>
      </c>
      <c r="Q8">
        <v>-10</v>
      </c>
      <c r="R8">
        <v>4</v>
      </c>
      <c r="S8">
        <v>97</v>
      </c>
    </row>
    <row r="9" spans="1:21" x14ac:dyDescent="0.25">
      <c r="A9">
        <v>22300637</v>
      </c>
      <c r="B9" t="s">
        <v>26</v>
      </c>
      <c r="C9" t="s">
        <v>19</v>
      </c>
      <c r="D9">
        <v>77</v>
      </c>
      <c r="E9">
        <v>63</v>
      </c>
      <c r="F9">
        <v>14</v>
      </c>
      <c r="G9">
        <v>3</v>
      </c>
      <c r="H9" s="1">
        <v>5.4629629629629629E-3</v>
      </c>
      <c r="I9">
        <v>2023</v>
      </c>
      <c r="J9" t="s">
        <v>83</v>
      </c>
      <c r="K9" s="2" t="str">
        <f>HYPERLINK("https://www.nba.com/stats/events?CFID=&amp;CFPARAMS=&amp;GameEventID=380&amp;GameID=0022300637&amp;Season=2023-24&amp;flag=1&amp;title=Leonard%203PT%20%20(9%20PTS)%20(P.%20George%201%20AST)", "3PT  (9 PTS) (P. George 1 AST)")</f>
        <v>3PT  (9 PTS) (P. George 1 AST)</v>
      </c>
      <c r="L9" s="2" t="str">
        <f>HYPERLINK("https://www.nba.com/game/...-vs-...-0022300637/play-by-play?watchFullGame=true", "LAC vs TOR - Q3 07:52.00")</f>
        <v>LAC vs TOR - Q3 07:52.00</v>
      </c>
      <c r="M9">
        <v>23.82</v>
      </c>
      <c r="N9">
        <v>4.0199999999999996</v>
      </c>
      <c r="O9">
        <v>97.55</v>
      </c>
      <c r="P9">
        <v>-238</v>
      </c>
      <c r="Q9">
        <v>-15</v>
      </c>
      <c r="R9">
        <v>4</v>
      </c>
      <c r="S9">
        <v>97</v>
      </c>
    </row>
    <row r="10" spans="1:21" hidden="1" x14ac:dyDescent="0.25">
      <c r="A10">
        <v>22000308</v>
      </c>
      <c r="B10" t="s">
        <v>26</v>
      </c>
      <c r="C10" t="s">
        <v>19</v>
      </c>
      <c r="D10">
        <v>57</v>
      </c>
      <c r="E10">
        <v>57</v>
      </c>
      <c r="F10">
        <v>0</v>
      </c>
      <c r="G10">
        <v>2</v>
      </c>
      <c r="H10" s="1">
        <v>2.685185185185185E-3</v>
      </c>
      <c r="I10">
        <v>2020</v>
      </c>
      <c r="J10" t="s">
        <v>83</v>
      </c>
      <c r="K10" s="2" t="str">
        <f>HYPERLINK("https://www.nba.com/stats/events?CFID=&amp;CFPARAMS=&amp;GameEventID=254&amp;GameID=0022000308&amp;Season=2020-21&amp;flag=1&amp;title=Leonard%203PT%20%20(10%20PTS)%20(L.%20Williams%203%20AST)", "3PT  (10 PTS) (L. Williams 3 AST)")</f>
        <v>3PT  (10 PTS) (L. Williams 3 AST)</v>
      </c>
      <c r="L10" s="2" t="str">
        <f>HYPERLINK("https://www.nba.com/game/...-vs-...-0022000308/play-by-play?watchFullGame=true", "LAC vs NYK - Q2 03:52.00")</f>
        <v>LAC vs NYK - Q2 03:52.00</v>
      </c>
      <c r="M10">
        <v>23.83</v>
      </c>
      <c r="N10">
        <v>4.55</v>
      </c>
      <c r="O10">
        <v>97.62</v>
      </c>
      <c r="P10">
        <v>-238</v>
      </c>
      <c r="Q10">
        <v>-10</v>
      </c>
      <c r="R10">
        <v>4</v>
      </c>
      <c r="S10">
        <v>97</v>
      </c>
    </row>
    <row r="11" spans="1:21" hidden="1" x14ac:dyDescent="0.25">
      <c r="A11">
        <v>21900499</v>
      </c>
      <c r="B11" t="s">
        <v>18</v>
      </c>
      <c r="C11" t="s">
        <v>84</v>
      </c>
      <c r="D11">
        <v>81</v>
      </c>
      <c r="E11">
        <v>64</v>
      </c>
      <c r="F11">
        <v>17</v>
      </c>
      <c r="G11">
        <v>3</v>
      </c>
      <c r="H11" s="1">
        <v>2.1180555555555558E-3</v>
      </c>
      <c r="I11">
        <v>2019</v>
      </c>
      <c r="J11" t="s">
        <v>83</v>
      </c>
      <c r="K11" s="2" t="str">
        <f>HYPERLINK("https://www.nba.com/stats/events?CFID=&amp;CFPARAMS=&amp;GameEventID=458&amp;GameID=0021900499&amp;Season=2019-20&amp;flag=1&amp;title=Leonard%2014'%20jumpshot%20(24%20PTS)", "14' jumpshot (24 PTS)")</f>
        <v>14' jumpshot (24 PTS)</v>
      </c>
      <c r="L11" s="2" t="str">
        <f>HYPERLINK("https://www.nba.com/game/...-vs-...-0021900499/play-by-play?watchFullGame=true", "LAC vs SAC - Q3 03:03.00")</f>
        <v>LAC vs SAC - Q3 03:03.00</v>
      </c>
      <c r="M11">
        <v>13.51</v>
      </c>
      <c r="N11">
        <v>4.9400000000000004</v>
      </c>
      <c r="O11">
        <v>77.03</v>
      </c>
      <c r="P11">
        <v>-135</v>
      </c>
      <c r="Q11">
        <v>-6</v>
      </c>
      <c r="R11">
        <v>4</v>
      </c>
      <c r="S11">
        <v>77</v>
      </c>
    </row>
    <row r="12" spans="1:21" hidden="1" x14ac:dyDescent="0.25">
      <c r="A12">
        <v>22000701</v>
      </c>
      <c r="B12" t="s">
        <v>18</v>
      </c>
      <c r="C12" t="s">
        <v>19</v>
      </c>
      <c r="D12">
        <v>57</v>
      </c>
      <c r="E12">
        <v>57</v>
      </c>
      <c r="F12">
        <v>0</v>
      </c>
      <c r="G12">
        <v>2</v>
      </c>
      <c r="H12" s="1">
        <v>1.7013888888888888E-3</v>
      </c>
      <c r="I12">
        <v>2020</v>
      </c>
      <c r="J12" t="s">
        <v>83</v>
      </c>
      <c r="K12" s="2" t="str">
        <f>HYPERLINK("https://www.nba.com/stats/events?CFID=&amp;CFPARAMS=&amp;GameEventID=277&amp;GameID=0022000701&amp;Season=2020-21&amp;flag=1&amp;title=Leonard%2013'%20fadeaway%20Jump%20Shot%20(14%20PTS)", "13' fadeaway Jump Shot (14 PTS)")</f>
        <v>13' fadeaway Jump Shot (14 PTS)</v>
      </c>
      <c r="L12" s="2" t="str">
        <f>HYPERLINK("https://www.nba.com/game/...-vs-...-0022000701/play-by-play?watchFullGame=true", "LAC vs PHI - Q2 02:27.00")</f>
        <v>LAC vs PHI - Q2 02:27.00</v>
      </c>
      <c r="M12">
        <v>13.28</v>
      </c>
      <c r="N12">
        <v>4.91</v>
      </c>
      <c r="O12">
        <v>23.46</v>
      </c>
      <c r="P12">
        <v>133</v>
      </c>
      <c r="Q12">
        <v>-6</v>
      </c>
      <c r="R12">
        <v>4</v>
      </c>
      <c r="S12">
        <v>23</v>
      </c>
    </row>
    <row r="13" spans="1:21" hidden="1" x14ac:dyDescent="0.25">
      <c r="A13">
        <v>41900153</v>
      </c>
      <c r="B13" t="s">
        <v>18</v>
      </c>
      <c r="C13" t="s">
        <v>84</v>
      </c>
      <c r="D13">
        <v>13</v>
      </c>
      <c r="E13">
        <v>13</v>
      </c>
      <c r="F13">
        <v>0</v>
      </c>
      <c r="G13">
        <v>1</v>
      </c>
      <c r="H13" s="1">
        <v>4.1203703703703706E-3</v>
      </c>
      <c r="I13" t="s">
        <v>86</v>
      </c>
      <c r="J13" t="s">
        <v>83</v>
      </c>
      <c r="K13" s="2" t="str">
        <f>HYPERLINK("https://www.nba.com/stats/events?CFID=&amp;CFPARAMS=&amp;GameEventID=64&amp;GameID=0041900153&amp;Season=2019-20&amp;flag=1&amp;title=Leonard%2011'%20jumpshot%20(6%20PTS)", "11' jumpshot (6 PTS)")</f>
        <v>11' jumpshot (6 PTS)</v>
      </c>
      <c r="L13" s="2" t="str">
        <f>HYPERLINK("https://www.nba.com/game/...-vs-...-0041900153/play-by-play?watchFullGame=true", "LAC vs DAL - Q1 05:56.00")</f>
        <v>LAC vs DAL - Q1 05:56.00</v>
      </c>
      <c r="M13">
        <v>11.36</v>
      </c>
      <c r="N13">
        <v>4.8099999999999996</v>
      </c>
      <c r="O13">
        <v>27.27</v>
      </c>
      <c r="P13">
        <v>114</v>
      </c>
      <c r="Q13">
        <v>-7</v>
      </c>
      <c r="R13">
        <v>4</v>
      </c>
      <c r="S13">
        <v>27</v>
      </c>
    </row>
    <row r="14" spans="1:21" hidden="1" x14ac:dyDescent="0.25">
      <c r="A14">
        <v>21900626</v>
      </c>
      <c r="B14" t="s">
        <v>18</v>
      </c>
      <c r="C14" t="s">
        <v>84</v>
      </c>
      <c r="D14">
        <v>6</v>
      </c>
      <c r="E14">
        <v>1</v>
      </c>
      <c r="F14">
        <v>5</v>
      </c>
      <c r="G14">
        <v>1</v>
      </c>
      <c r="H14" s="1">
        <v>7.2916666666666668E-3</v>
      </c>
      <c r="I14">
        <v>2019</v>
      </c>
      <c r="J14" t="s">
        <v>83</v>
      </c>
      <c r="K14" s="2" t="str">
        <f>HYPERLINK("https://www.nba.com/stats/events?CFID=&amp;CFPARAMS=&amp;GameEventID=25&amp;GameID=0021900626&amp;Season=2019-20&amp;flag=1&amp;title=Leonard%2011'%20jumpshot%20(2%20PTS)%20(P.%20Beverley%201%20AST)", "11' jumpshot (2 PTS) (P. Beverley 1 AST)")</f>
        <v>11' jumpshot (2 PTS) (P. Beverley 1 AST)</v>
      </c>
      <c r="L14" s="2" t="str">
        <f>HYPERLINK("https://www.nba.com/game/...-vs-...-0021900626/play-by-play?watchFullGame=true", "LAC vs NOP - Q1 10:30.00")</f>
        <v>LAC vs NOP - Q1 10:30.00</v>
      </c>
      <c r="M14">
        <v>11.07</v>
      </c>
      <c r="N14">
        <v>4.55</v>
      </c>
      <c r="O14">
        <v>72.13</v>
      </c>
      <c r="P14">
        <v>-111</v>
      </c>
      <c r="Q14">
        <v>-10</v>
      </c>
      <c r="R14">
        <v>4</v>
      </c>
      <c r="S14">
        <v>72</v>
      </c>
    </row>
    <row r="15" spans="1:21" hidden="1" x14ac:dyDescent="0.25">
      <c r="A15">
        <v>22000601</v>
      </c>
      <c r="B15" t="s">
        <v>18</v>
      </c>
      <c r="C15" t="s">
        <v>19</v>
      </c>
      <c r="D15">
        <v>44</v>
      </c>
      <c r="E15">
        <v>55</v>
      </c>
      <c r="F15">
        <v>11</v>
      </c>
      <c r="G15">
        <v>2</v>
      </c>
      <c r="H15" s="1">
        <v>2.627314814814815E-3</v>
      </c>
      <c r="I15">
        <v>2020</v>
      </c>
      <c r="J15" t="s">
        <v>83</v>
      </c>
      <c r="K15" s="2" t="str">
        <f>HYPERLINK("https://www.nba.com/stats/events?CFID=&amp;CFPARAMS=&amp;GameEventID=270&amp;GameID=0022000601&amp;Season=2020-21&amp;flag=1&amp;title=Leonard%209'%20pullup%20Jump%20Shot%20(12%20PTS)", "9' pullup Jump Shot (12 PTS)")</f>
        <v>9' pullup Jump Shot (12 PTS)</v>
      </c>
      <c r="L15" s="2" t="str">
        <f>HYPERLINK("https://www.nba.com/game/...-vs-...-0022000601/play-by-play?watchFullGame=true", "LAC vs NOP - Q2 03:47.00")</f>
        <v>LAC vs NOP - Q2 03:47.00</v>
      </c>
      <c r="M15">
        <v>9.7799999999999994</v>
      </c>
      <c r="N15">
        <v>4.42</v>
      </c>
      <c r="O15">
        <v>69.430000000000007</v>
      </c>
      <c r="P15">
        <v>-97</v>
      </c>
      <c r="Q15">
        <v>-11</v>
      </c>
      <c r="R15">
        <v>4</v>
      </c>
      <c r="S15">
        <v>69</v>
      </c>
    </row>
    <row r="16" spans="1:21" hidden="1" x14ac:dyDescent="0.25">
      <c r="A16">
        <v>22000601</v>
      </c>
      <c r="B16" t="s">
        <v>18</v>
      </c>
      <c r="C16" t="s">
        <v>19</v>
      </c>
      <c r="D16">
        <v>15</v>
      </c>
      <c r="E16">
        <v>22</v>
      </c>
      <c r="F16">
        <v>7</v>
      </c>
      <c r="G16">
        <v>1</v>
      </c>
      <c r="H16" s="1">
        <v>3.3796296296296296E-3</v>
      </c>
      <c r="I16">
        <v>2020</v>
      </c>
      <c r="J16" t="s">
        <v>83</v>
      </c>
      <c r="K16" s="2" t="str">
        <f>HYPERLINK("https://www.nba.com/stats/events?CFID=&amp;CFPARAMS=&amp;GameEventID=83&amp;GameID=0022000601&amp;Season=2020-21&amp;flag=1&amp;title=Leonard%208'%20turnaround%20fadeaway%20Jump%20Shot%20(4%20PTS)", "8' turnaround fadeaway Jump Shot (4 PTS)")</f>
        <v>8' turnaround fadeaway Jump Shot (4 PTS)</v>
      </c>
      <c r="L16" s="2" t="str">
        <f>HYPERLINK("https://www.nba.com/game/...-vs-...-0022000601/play-by-play?watchFullGame=true", "LAC vs NOP - Q1 04:52.00")</f>
        <v>LAC vs NOP - Q1 04:52.00</v>
      </c>
      <c r="M16">
        <v>8.34</v>
      </c>
      <c r="N16">
        <v>4.29</v>
      </c>
      <c r="O16">
        <v>66.489999999999995</v>
      </c>
      <c r="P16">
        <v>-82</v>
      </c>
      <c r="Q16">
        <v>-12</v>
      </c>
      <c r="R16">
        <v>4</v>
      </c>
      <c r="S16">
        <v>66</v>
      </c>
    </row>
    <row r="17" spans="1:19" hidden="1" x14ac:dyDescent="0.25">
      <c r="A17">
        <v>22001002</v>
      </c>
      <c r="B17" t="s">
        <v>18</v>
      </c>
      <c r="C17" t="s">
        <v>88</v>
      </c>
      <c r="D17">
        <v>82</v>
      </c>
      <c r="E17">
        <v>60</v>
      </c>
      <c r="F17">
        <v>22</v>
      </c>
      <c r="G17">
        <v>3</v>
      </c>
      <c r="H17" s="1">
        <v>2.2569444444444442E-3</v>
      </c>
      <c r="I17">
        <v>2020</v>
      </c>
      <c r="J17" t="s">
        <v>83</v>
      </c>
      <c r="K17" s="2" t="str">
        <f>HYPERLINK("https://www.nba.com/stats/events?CFID=&amp;CFPARAMS=&amp;GameEventID=417&amp;GameID=0022001002&amp;Season=2020-21&amp;flag=1&amp;title=Leonard%20DUNK%20(9%20PTS)", "DUNK (9 PTS)")</f>
        <v>DUNK (9 PTS)</v>
      </c>
      <c r="L17" s="2" t="str">
        <f>HYPERLINK("https://www.nba.com/game/...-vs-...-0022001002/play-by-play?watchFullGame=true", "LAC vs LAL - Q3 03:15.00")</f>
        <v>LAC vs LAL - Q3 03:15.00</v>
      </c>
      <c r="M17">
        <v>0.98</v>
      </c>
      <c r="N17">
        <v>4.9400000000000004</v>
      </c>
      <c r="O17">
        <v>51.54</v>
      </c>
      <c r="P17">
        <v>-8</v>
      </c>
      <c r="Q17">
        <v>-6</v>
      </c>
      <c r="R17">
        <v>4</v>
      </c>
      <c r="S17">
        <v>51</v>
      </c>
    </row>
    <row r="18" spans="1:19" hidden="1" x14ac:dyDescent="0.25">
      <c r="A18">
        <v>22000799</v>
      </c>
      <c r="B18" t="s">
        <v>18</v>
      </c>
      <c r="C18" t="s">
        <v>88</v>
      </c>
      <c r="D18">
        <v>94</v>
      </c>
      <c r="E18">
        <v>76</v>
      </c>
      <c r="F18">
        <v>18</v>
      </c>
      <c r="G18">
        <v>3</v>
      </c>
      <c r="H18" s="1">
        <v>5.1736111111111112E-4</v>
      </c>
      <c r="I18">
        <v>2020</v>
      </c>
      <c r="J18" t="s">
        <v>83</v>
      </c>
      <c r="K18" s="2" t="str">
        <f>HYPERLINK("https://www.nba.com/stats/events?CFID=&amp;CFPARAMS=&amp;GameEventID=490&amp;GameID=0022000799&amp;Season=2020-21&amp;flag=1&amp;title=Leonard%20driving%20DUNK%20(23%20PTS)%20(T.%20Mann%208%20AST)", "Driving DUNK (23 PTS) (T. Mann 8 AST)")</f>
        <v>Driving DUNK (23 PTS) (T. Mann 8 AST)</v>
      </c>
      <c r="L18" s="2" t="str">
        <f>HYPERLINK("https://www.nba.com/game/...-vs-...-0022000799/play-by-play?watchFullGame=true", "LAC vs HOU - Q3 00:44.70")</f>
        <v>LAC vs HOU - Q3 00:44.70</v>
      </c>
      <c r="M18">
        <v>0.98</v>
      </c>
      <c r="N18">
        <v>4.8099999999999996</v>
      </c>
      <c r="O18">
        <v>51.29</v>
      </c>
      <c r="P18">
        <v>-6</v>
      </c>
      <c r="Q18">
        <v>-7</v>
      </c>
      <c r="R18">
        <v>4</v>
      </c>
      <c r="S18">
        <v>51</v>
      </c>
    </row>
    <row r="19" spans="1:19" hidden="1" x14ac:dyDescent="0.25">
      <c r="A19">
        <v>22200363</v>
      </c>
      <c r="B19" t="s">
        <v>18</v>
      </c>
      <c r="C19" t="s">
        <v>88</v>
      </c>
      <c r="D19">
        <v>41</v>
      </c>
      <c r="E19">
        <v>28</v>
      </c>
      <c r="F19">
        <v>13</v>
      </c>
      <c r="G19">
        <v>2</v>
      </c>
      <c r="H19" s="1">
        <v>3.7499999999999999E-3</v>
      </c>
      <c r="I19">
        <v>2022</v>
      </c>
      <c r="J19" t="s">
        <v>83</v>
      </c>
      <c r="K19" s="2" t="str">
        <f>HYPERLINK("https://www.nba.com/stats/events?CFID=&amp;CFPARAMS=&amp;GameEventID=260&amp;GameID=0022200363&amp;Season=2022-23&amp;flag=1&amp;title=Leonard%20running%20DUNK%20(9%20PTS)%20(T.%20Mann%203%20AST)", "Running DUNK (9 PTS) (T. Mann 3 AST)")</f>
        <v>Running DUNK (9 PTS) (T. Mann 3 AST)</v>
      </c>
      <c r="L19" s="2" t="str">
        <f>HYPERLINK("https://www.nba.com/game/...-vs-...-0022200363/play-by-play?watchFullGame=true", "LAC vs ORL - Q2 05:24.00")</f>
        <v>LAC vs ORL - Q2 05:24.00</v>
      </c>
      <c r="M19">
        <v>0.86</v>
      </c>
      <c r="N19">
        <v>4.9400000000000004</v>
      </c>
      <c r="O19">
        <v>51.23</v>
      </c>
      <c r="P19">
        <v>-6</v>
      </c>
      <c r="Q19">
        <v>-6</v>
      </c>
      <c r="R19">
        <v>4</v>
      </c>
      <c r="S19">
        <v>51</v>
      </c>
    </row>
    <row r="20" spans="1:19" hidden="1" x14ac:dyDescent="0.25">
      <c r="A20">
        <v>22300160</v>
      </c>
      <c r="B20" t="s">
        <v>18</v>
      </c>
      <c r="C20" t="s">
        <v>87</v>
      </c>
      <c r="D20">
        <v>64</v>
      </c>
      <c r="E20">
        <v>64</v>
      </c>
      <c r="F20">
        <v>0</v>
      </c>
      <c r="G20">
        <v>3</v>
      </c>
      <c r="H20" s="1">
        <v>2.0717592592592593E-3</v>
      </c>
      <c r="I20">
        <v>2023</v>
      </c>
      <c r="J20" t="s">
        <v>83</v>
      </c>
      <c r="K20" s="2" t="str">
        <f>HYPERLINK("https://www.nba.com/stats/events?CFID=&amp;CFPARAMS=&amp;GameEventID=430&amp;GameID=0022300160&amp;Season=2023-24&amp;flag=1&amp;title=Leonard%20driving%20Layup%20(15%20PTS)%20(P.%20Tucker%202%20AST)", "Driving Layup (15 PTS) (P. Tucker 2 AST)")</f>
        <v>Driving Layup (15 PTS) (P. Tucker 2 AST)</v>
      </c>
      <c r="L20" s="2" t="str">
        <f>HYPERLINK("https://www.nba.com/game/...-vs-...-0022300160/play-by-play?watchFullGame=true", "LAC vs BKN - Q3 02:59.00")</f>
        <v>LAC vs BKN - Q3 02:59.00</v>
      </c>
      <c r="M20">
        <v>1.7</v>
      </c>
      <c r="N20">
        <v>4.68</v>
      </c>
      <c r="O20">
        <v>47.06</v>
      </c>
      <c r="P20">
        <v>15</v>
      </c>
      <c r="Q20">
        <v>-8</v>
      </c>
      <c r="R20">
        <v>4</v>
      </c>
      <c r="S20">
        <v>47</v>
      </c>
    </row>
    <row r="21" spans="1:19" hidden="1" x14ac:dyDescent="0.25">
      <c r="A21">
        <v>22300688</v>
      </c>
      <c r="B21" t="s">
        <v>18</v>
      </c>
      <c r="C21" t="s">
        <v>88</v>
      </c>
      <c r="D21">
        <v>125</v>
      </c>
      <c r="E21">
        <v>109</v>
      </c>
      <c r="F21">
        <v>16</v>
      </c>
      <c r="G21">
        <v>4</v>
      </c>
      <c r="H21" s="1">
        <v>4.1319444444444442E-3</v>
      </c>
      <c r="I21">
        <v>2023</v>
      </c>
      <c r="J21" t="s">
        <v>83</v>
      </c>
      <c r="K21" s="2" t="str">
        <f>HYPERLINK("https://www.nba.com/stats/events?CFID=&amp;CFPARAMS=&amp;GameEventID=568&amp;GameID=0022300688&amp;Season=2023-24&amp;flag=1&amp;title=Leonard%20running%20DUNK%20(33%20PTS)%20(P.%20George%206%20AST)", "Running DUNK (33 PTS) (P. George 6 AST)")</f>
        <v>Running DUNK (33 PTS) (P. George 6 AST)</v>
      </c>
      <c r="L21" s="2" t="str">
        <f>HYPERLINK("https://www.nba.com/game/...-vs-...-0022300688/play-by-play?watchFullGame=true", "LAC vs DET - Q4 05:57.00")</f>
        <v>LAC vs DET - Q4 05:57.00</v>
      </c>
      <c r="M21">
        <v>1.59</v>
      </c>
      <c r="N21">
        <v>4.16</v>
      </c>
      <c r="O21">
        <v>48.28</v>
      </c>
      <c r="P21">
        <v>9</v>
      </c>
      <c r="Q21">
        <v>-13</v>
      </c>
      <c r="R21">
        <v>4</v>
      </c>
      <c r="S21">
        <v>48</v>
      </c>
    </row>
    <row r="22" spans="1:19" hidden="1" x14ac:dyDescent="0.25">
      <c r="A22">
        <v>22000202</v>
      </c>
      <c r="B22" t="s">
        <v>18</v>
      </c>
      <c r="C22" t="s">
        <v>87</v>
      </c>
      <c r="D22">
        <v>100</v>
      </c>
      <c r="E22">
        <v>75</v>
      </c>
      <c r="F22">
        <v>25</v>
      </c>
      <c r="G22">
        <v>3</v>
      </c>
      <c r="H22" s="1">
        <v>9.2592592592592591E-6</v>
      </c>
      <c r="I22">
        <v>2020</v>
      </c>
      <c r="J22" t="s">
        <v>83</v>
      </c>
      <c r="K22" s="2" t="str">
        <f>HYPERLINK("https://www.nba.com/stats/events?CFID=&amp;CFPARAMS=&amp;GameEventID=456&amp;GameID=0022000202&amp;Season=2020-21&amp;flag=1&amp;title=Leonard%20tip%20Layup%20(17%20PTS)", "Tip Layup (17 PTS)")</f>
        <v>Tip Layup (17 PTS)</v>
      </c>
      <c r="L22" s="2" t="str">
        <f>HYPERLINK("https://www.nba.com/game/...-vs-...-0022000202/play-by-play?watchFullGame=true", "LAC vs IND - Q3 00:00.80")</f>
        <v>LAC vs IND - Q3 00:00.80</v>
      </c>
      <c r="M22" t="s">
        <v>21</v>
      </c>
      <c r="N22">
        <v>5.59</v>
      </c>
      <c r="O22">
        <v>50</v>
      </c>
      <c r="P22">
        <v>5</v>
      </c>
      <c r="Q22">
        <v>50</v>
      </c>
      <c r="R22">
        <v>5</v>
      </c>
      <c r="S22">
        <v>50</v>
      </c>
    </row>
    <row r="23" spans="1:19" hidden="1" x14ac:dyDescent="0.25">
      <c r="A23">
        <v>22400943</v>
      </c>
      <c r="B23" t="s">
        <v>18</v>
      </c>
      <c r="C23" t="s">
        <v>87</v>
      </c>
      <c r="D23">
        <v>118</v>
      </c>
      <c r="E23">
        <v>123</v>
      </c>
      <c r="F23">
        <v>5</v>
      </c>
      <c r="G23">
        <v>4</v>
      </c>
      <c r="H23" s="1">
        <v>2.3958333333333332E-4</v>
      </c>
      <c r="I23">
        <v>2024</v>
      </c>
      <c r="J23" t="s">
        <v>83</v>
      </c>
      <c r="K23" s="2" t="str">
        <f>HYPERLINK("https://www.nba.com/stats/events?CFID=&amp;CFPARAMS=&amp;GameEventID=637&amp;GameID=0022400943&amp;Season=2024-25&amp;flag=1&amp;title=Leonard%20tip%20Layup%20(27%20PTS)", "Tip Layup (27 PTS)")</f>
        <v>Tip Layup (27 PTS)</v>
      </c>
      <c r="L23" s="2" t="str">
        <f>HYPERLINK("https://www.nba.com/game/...-vs-...-0022400943/play-by-play?watchFullGame=true", "LAC vs NOP - Q4 00:20.70")</f>
        <v>LAC vs NOP - Q4 00:20.70</v>
      </c>
      <c r="M23" t="s">
        <v>21</v>
      </c>
      <c r="N23">
        <v>5.59</v>
      </c>
      <c r="O23">
        <v>50</v>
      </c>
      <c r="P23">
        <v>5</v>
      </c>
      <c r="Q23">
        <v>50</v>
      </c>
      <c r="R23">
        <v>5</v>
      </c>
      <c r="S23">
        <v>50</v>
      </c>
    </row>
    <row r="24" spans="1:19" hidden="1" x14ac:dyDescent="0.25">
      <c r="A24">
        <v>22200352</v>
      </c>
      <c r="B24" t="s">
        <v>18</v>
      </c>
      <c r="C24" t="s">
        <v>87</v>
      </c>
      <c r="D24">
        <v>117</v>
      </c>
      <c r="E24">
        <v>117</v>
      </c>
      <c r="F24">
        <v>0</v>
      </c>
      <c r="G24">
        <v>4</v>
      </c>
      <c r="H24" s="1">
        <v>4.5949074074074078E-4</v>
      </c>
      <c r="I24">
        <v>2022</v>
      </c>
      <c r="J24" t="s">
        <v>83</v>
      </c>
      <c r="K24" s="2" t="str">
        <f>HYPERLINK("https://www.nba.com/stats/events?CFID=&amp;CFPARAMS=&amp;GameEventID=663&amp;GameID=0022200352&amp;Season=2022-23&amp;flag=1&amp;title=Leonard%20putback%20Layup%20(14%20PTS)", "Putback Layup (14 PTS)")</f>
        <v>Putback Layup (14 PTS)</v>
      </c>
      <c r="L24" s="2" t="str">
        <f>HYPERLINK("https://www.nba.com/game/...-vs-...-0022200352/play-by-play?watchFullGame=true", "LAC vs CHA - Q4 00:39.70")</f>
        <v>LAC vs CHA - Q4 00:39.70</v>
      </c>
      <c r="M24" t="s">
        <v>21</v>
      </c>
      <c r="N24">
        <v>5.59</v>
      </c>
      <c r="O24">
        <v>50</v>
      </c>
      <c r="P24">
        <v>5</v>
      </c>
      <c r="Q24">
        <v>50</v>
      </c>
      <c r="R24">
        <v>5</v>
      </c>
      <c r="S24">
        <v>50</v>
      </c>
    </row>
    <row r="25" spans="1:19" hidden="1" x14ac:dyDescent="0.25">
      <c r="A25">
        <v>22000105</v>
      </c>
      <c r="B25" t="s">
        <v>18</v>
      </c>
      <c r="C25" t="s">
        <v>87</v>
      </c>
      <c r="D25">
        <v>42</v>
      </c>
      <c r="E25">
        <v>60</v>
      </c>
      <c r="F25">
        <v>18</v>
      </c>
      <c r="G25">
        <v>2</v>
      </c>
      <c r="H25" s="1">
        <v>1.1342592592592593E-3</v>
      </c>
      <c r="I25">
        <v>2020</v>
      </c>
      <c r="J25" t="s">
        <v>83</v>
      </c>
      <c r="K25" s="2" t="str">
        <f>HYPERLINK("https://www.nba.com/stats/events?CFID=&amp;CFPARAMS=&amp;GameEventID=295&amp;GameID=0022000105&amp;Season=2020-21&amp;flag=1&amp;title=Leonard%20putback%20Layup%20(15%20PTS)", "Putback Layup (15 PTS)")</f>
        <v>Putback Layup (15 PTS)</v>
      </c>
      <c r="L25" s="2" t="str">
        <f>HYPERLINK("https://www.nba.com/game/...-vs-...-0022000105/play-by-play?watchFullGame=true", "LAC vs SAS - Q2 01:38.00")</f>
        <v>LAC vs SAS - Q2 01:38.00</v>
      </c>
      <c r="M25" t="s">
        <v>21</v>
      </c>
      <c r="N25">
        <v>5.59</v>
      </c>
      <c r="O25">
        <v>50</v>
      </c>
      <c r="P25">
        <v>5</v>
      </c>
      <c r="Q25">
        <v>50</v>
      </c>
      <c r="R25">
        <v>5</v>
      </c>
      <c r="S25">
        <v>50</v>
      </c>
    </row>
    <row r="26" spans="1:19" hidden="1" x14ac:dyDescent="0.25">
      <c r="A26">
        <v>22300917</v>
      </c>
      <c r="B26" t="s">
        <v>18</v>
      </c>
      <c r="C26" t="s">
        <v>87</v>
      </c>
      <c r="D26">
        <v>17</v>
      </c>
      <c r="E26">
        <v>25</v>
      </c>
      <c r="F26">
        <v>8</v>
      </c>
      <c r="G26">
        <v>1</v>
      </c>
      <c r="H26" s="1">
        <v>1.1921296296296296E-3</v>
      </c>
      <c r="I26">
        <v>2023</v>
      </c>
      <c r="J26" t="s">
        <v>83</v>
      </c>
      <c r="K26" s="2" t="str">
        <f>HYPERLINK("https://www.nba.com/stats/events?CFID=&amp;CFPARAMS=&amp;GameEventID=128&amp;GameID=0022300917&amp;Season=2023-24&amp;flag=1&amp;title=Leonard%20putback%20Layup%20(5%20PTS)", "Putback Layup (5 PTS)")</f>
        <v>Putback Layup (5 PTS)</v>
      </c>
      <c r="L26" s="2" t="str">
        <f>HYPERLINK("https://www.nba.com/game/...-vs-...-0022300917/play-by-play?watchFullGame=true", "LAC vs CHI - Q1 01:43.00")</f>
        <v>LAC vs CHI - Q1 01:43.00</v>
      </c>
      <c r="M26" t="s">
        <v>21</v>
      </c>
      <c r="N26">
        <v>5.59</v>
      </c>
      <c r="O26">
        <v>50</v>
      </c>
      <c r="P26">
        <v>5</v>
      </c>
      <c r="Q26">
        <v>50</v>
      </c>
      <c r="R26">
        <v>5</v>
      </c>
      <c r="S26">
        <v>50</v>
      </c>
    </row>
    <row r="27" spans="1:19" hidden="1" x14ac:dyDescent="0.25">
      <c r="A27">
        <v>42000177</v>
      </c>
      <c r="B27" t="s">
        <v>18</v>
      </c>
      <c r="C27" t="s">
        <v>87</v>
      </c>
      <c r="D27">
        <v>93</v>
      </c>
      <c r="E27">
        <v>83</v>
      </c>
      <c r="F27">
        <v>10</v>
      </c>
      <c r="G27">
        <v>3</v>
      </c>
      <c r="H27" s="1">
        <v>1.3773148148148147E-3</v>
      </c>
      <c r="I27" t="s">
        <v>91</v>
      </c>
      <c r="J27" t="s">
        <v>83</v>
      </c>
      <c r="K27" s="2" t="str">
        <f>HYPERLINK("https://www.nba.com/stats/events?CFID=&amp;CFPARAMS=&amp;GameEventID=447&amp;GameID=0042000177&amp;Season=2020-21&amp;flag=1&amp;title=Leonard%20putback%20Layup%20(21%20PTS)", "Putback Layup (21 PTS)")</f>
        <v>Putback Layup (21 PTS)</v>
      </c>
      <c r="L27" s="2" t="str">
        <f>HYPERLINK("https://www.nba.com/game/...-vs-...-0042000177/play-by-play?watchFullGame=true", "LAC vs DAL - Q3 01:59.00")</f>
        <v>LAC vs DAL - Q3 01:59.00</v>
      </c>
      <c r="M27" t="s">
        <v>21</v>
      </c>
      <c r="N27">
        <v>5.59</v>
      </c>
      <c r="O27">
        <v>50</v>
      </c>
      <c r="P27">
        <v>5</v>
      </c>
      <c r="Q27">
        <v>50</v>
      </c>
      <c r="R27">
        <v>5</v>
      </c>
      <c r="S27">
        <v>50</v>
      </c>
    </row>
    <row r="28" spans="1:19" hidden="1" x14ac:dyDescent="0.25">
      <c r="A28">
        <v>22000605</v>
      </c>
      <c r="B28" t="s">
        <v>18</v>
      </c>
      <c r="C28" t="s">
        <v>87</v>
      </c>
      <c r="D28">
        <v>105</v>
      </c>
      <c r="E28">
        <v>99</v>
      </c>
      <c r="F28">
        <v>6</v>
      </c>
      <c r="G28">
        <v>4</v>
      </c>
      <c r="H28" s="1">
        <v>1.4814814814814814E-3</v>
      </c>
      <c r="I28">
        <v>2020</v>
      </c>
      <c r="J28" t="s">
        <v>83</v>
      </c>
      <c r="K28" s="2" t="str">
        <f>HYPERLINK("https://www.nba.com/stats/events?CFID=&amp;CFPARAMS=&amp;GameEventID=526&amp;GameID=0022000605&amp;Season=2020-21&amp;flag=1&amp;title=Leonard%20putback%20Layup%20(21%20PTS)", "Putback Layup (21 PTS)")</f>
        <v>Putback Layup (21 PTS)</v>
      </c>
      <c r="L28" s="2" t="str">
        <f>HYPERLINK("https://www.nba.com/game/...-vs-...-0022000605/play-by-play?watchFullGame=true", "LAC vs DAL - Q4 02:08.00")</f>
        <v>LAC vs DAL - Q4 02:08.00</v>
      </c>
      <c r="M28" t="s">
        <v>21</v>
      </c>
      <c r="N28">
        <v>5.59</v>
      </c>
      <c r="O28">
        <v>50</v>
      </c>
      <c r="P28">
        <v>5</v>
      </c>
      <c r="Q28">
        <v>50</v>
      </c>
      <c r="R28">
        <v>5</v>
      </c>
      <c r="S28">
        <v>50</v>
      </c>
    </row>
    <row r="29" spans="1:19" hidden="1" x14ac:dyDescent="0.25">
      <c r="A29">
        <v>22200509</v>
      </c>
      <c r="B29" t="s">
        <v>18</v>
      </c>
      <c r="C29" t="s">
        <v>87</v>
      </c>
      <c r="D29">
        <v>121</v>
      </c>
      <c r="E29">
        <v>107</v>
      </c>
      <c r="F29">
        <v>14</v>
      </c>
      <c r="G29">
        <v>4</v>
      </c>
      <c r="H29" s="1">
        <v>1.5393518518518519E-3</v>
      </c>
      <c r="I29">
        <v>2022</v>
      </c>
      <c r="J29" t="s">
        <v>83</v>
      </c>
      <c r="K29" s="2" t="str">
        <f>HYPERLINK("https://www.nba.com/stats/events?CFID=&amp;CFPARAMS=&amp;GameEventID=619&amp;GameID=0022200509&amp;Season=2022-23&amp;flag=1&amp;title=Leonard%20tip%20Layup%20(15%20PTS)", "Tip Layup (15 PTS)")</f>
        <v>Tip Layup (15 PTS)</v>
      </c>
      <c r="L29" s="2" t="str">
        <f>HYPERLINK("https://www.nba.com/game/...-vs-...-0022200509/play-by-play?watchFullGame=true", "LAC vs TOR - Q4 02:13.00")</f>
        <v>LAC vs TOR - Q4 02:13.00</v>
      </c>
      <c r="M29" t="s">
        <v>21</v>
      </c>
      <c r="N29">
        <v>5.59</v>
      </c>
      <c r="O29">
        <v>50</v>
      </c>
      <c r="P29">
        <v>5</v>
      </c>
      <c r="Q29">
        <v>50</v>
      </c>
      <c r="R29">
        <v>5</v>
      </c>
      <c r="S29">
        <v>50</v>
      </c>
    </row>
    <row r="30" spans="1:19" hidden="1" x14ac:dyDescent="0.25">
      <c r="A30">
        <v>22300956</v>
      </c>
      <c r="B30" t="s">
        <v>18</v>
      </c>
      <c r="C30" t="s">
        <v>87</v>
      </c>
      <c r="D30">
        <v>30</v>
      </c>
      <c r="E30">
        <v>17</v>
      </c>
      <c r="F30">
        <v>13</v>
      </c>
      <c r="G30">
        <v>1</v>
      </c>
      <c r="H30" s="1">
        <v>1.5972222222222223E-3</v>
      </c>
      <c r="I30">
        <v>2023</v>
      </c>
      <c r="J30" t="s">
        <v>83</v>
      </c>
      <c r="K30" s="2" t="str">
        <f>HYPERLINK("https://www.nba.com/stats/events?CFID=&amp;CFPARAMS=&amp;GameEventID=105&amp;GameID=0022300956&amp;Season=2023-24&amp;flag=1&amp;title=Leonard%20tip%20Layup%20(10%20PTS)", "Tip Layup (10 PTS)")</f>
        <v>Tip Layup (10 PTS)</v>
      </c>
      <c r="L30" s="2" t="str">
        <f>HYPERLINK("https://www.nba.com/game/...-vs-...-0022300956/play-by-play?watchFullGame=true", "LAC vs CHI - Q1 02:18.00")</f>
        <v>LAC vs CHI - Q1 02:18.00</v>
      </c>
      <c r="M30" t="s">
        <v>21</v>
      </c>
      <c r="N30">
        <v>5.59</v>
      </c>
      <c r="O30">
        <v>50</v>
      </c>
      <c r="P30">
        <v>5</v>
      </c>
      <c r="Q30">
        <v>50</v>
      </c>
      <c r="R30">
        <v>5</v>
      </c>
      <c r="S30">
        <v>50</v>
      </c>
    </row>
    <row r="31" spans="1:19" hidden="1" x14ac:dyDescent="0.25">
      <c r="A31">
        <v>22300085</v>
      </c>
      <c r="B31" t="s">
        <v>18</v>
      </c>
      <c r="C31" t="s">
        <v>87</v>
      </c>
      <c r="D31">
        <v>113</v>
      </c>
      <c r="E31">
        <v>113</v>
      </c>
      <c r="F31">
        <v>0</v>
      </c>
      <c r="G31">
        <v>4</v>
      </c>
      <c r="H31" s="1">
        <v>1.5972222222222223E-3</v>
      </c>
      <c r="I31">
        <v>2023</v>
      </c>
      <c r="J31" t="s">
        <v>83</v>
      </c>
      <c r="K31" s="2" t="str">
        <f>HYPERLINK("https://www.nba.com/stats/events?CFID=&amp;CFPARAMS=&amp;GameEventID=627&amp;GameID=0022300085&amp;Season=2023-24&amp;flag=1&amp;title=Leonard%20tip%20Layup%20(25%20PTS)", "Tip Layup (25 PTS)")</f>
        <v>Tip Layup (25 PTS)</v>
      </c>
      <c r="L31" s="2" t="str">
        <f>HYPERLINK("https://www.nba.com/game/...-vs-...-0022300085/play-by-play?watchFullGame=true", "LAC vs UTA - Q4 02:18.00")</f>
        <v>LAC vs UTA - Q4 02:18.00</v>
      </c>
      <c r="M31" t="s">
        <v>21</v>
      </c>
      <c r="N31">
        <v>5.59</v>
      </c>
      <c r="O31">
        <v>50</v>
      </c>
      <c r="P31">
        <v>5</v>
      </c>
      <c r="Q31">
        <v>50</v>
      </c>
      <c r="R31">
        <v>5</v>
      </c>
      <c r="S31">
        <v>50</v>
      </c>
    </row>
    <row r="32" spans="1:19" hidden="1" x14ac:dyDescent="0.25">
      <c r="A32">
        <v>21900458</v>
      </c>
      <c r="B32" t="s">
        <v>18</v>
      </c>
      <c r="C32" t="s">
        <v>90</v>
      </c>
      <c r="D32">
        <v>22</v>
      </c>
      <c r="E32">
        <v>19</v>
      </c>
      <c r="F32">
        <v>3</v>
      </c>
      <c r="G32">
        <v>1</v>
      </c>
      <c r="H32" s="1">
        <v>2.5000000000000001E-3</v>
      </c>
      <c r="I32">
        <v>2019</v>
      </c>
      <c r="J32" t="s">
        <v>83</v>
      </c>
      <c r="K32" s="2" t="str">
        <f>HYPERLINK("https://www.nba.com/stats/events?CFID=&amp;CFPARAMS=&amp;GameEventID=97&amp;GameID=0021900458&amp;Season=2019-20&amp;flag=1&amp;title=Leonard%20layup%20(9%20PTS)", "Layup (9 PTS)")</f>
        <v>Layup (9 PTS)</v>
      </c>
      <c r="L32" s="2" t="str">
        <f>HYPERLINK("https://www.nba.com/game/...-vs-...-0021900458/play-by-play?watchFullGame=true", "LAC vs LAL - Q1 03:36.00")</f>
        <v>LAC vs LAL - Q1 03:36.00</v>
      </c>
      <c r="M32" t="s">
        <v>21</v>
      </c>
      <c r="N32">
        <v>5</v>
      </c>
      <c r="O32">
        <v>50</v>
      </c>
      <c r="P32">
        <v>5</v>
      </c>
      <c r="Q32">
        <v>-6</v>
      </c>
      <c r="R32">
        <v>5</v>
      </c>
      <c r="S32">
        <v>50</v>
      </c>
    </row>
    <row r="33" spans="1:19" hidden="1" x14ac:dyDescent="0.25">
      <c r="A33">
        <v>22300807</v>
      </c>
      <c r="B33" t="s">
        <v>18</v>
      </c>
      <c r="C33" t="s">
        <v>87</v>
      </c>
      <c r="D33">
        <v>20</v>
      </c>
      <c r="E33">
        <v>16</v>
      </c>
      <c r="F33">
        <v>4</v>
      </c>
      <c r="G33">
        <v>1</v>
      </c>
      <c r="H33" s="1">
        <v>3.6574074074074074E-3</v>
      </c>
      <c r="I33">
        <v>2023</v>
      </c>
      <c r="J33" t="s">
        <v>83</v>
      </c>
      <c r="K33" s="2" t="str">
        <f>HYPERLINK("https://www.nba.com/stats/events?CFID=&amp;CFPARAMS=&amp;GameEventID=76&amp;GameID=0022300807&amp;Season=2023-24&amp;flag=1&amp;title=Leonard%20tip%20Layup%20(6%20PTS)", "Tip Layup (6 PTS)")</f>
        <v>Tip Layup (6 PTS)</v>
      </c>
      <c r="L33" s="2" t="str">
        <f>HYPERLINK("https://www.nba.com/game/...-vs-...-0022300807/play-by-play?watchFullGame=true", "LAC vs MEM - Q1 05:16.00")</f>
        <v>LAC vs MEM - Q1 05:16.00</v>
      </c>
      <c r="M33" t="s">
        <v>21</v>
      </c>
      <c r="N33">
        <v>5.59</v>
      </c>
      <c r="O33">
        <v>50</v>
      </c>
      <c r="P33">
        <v>5</v>
      </c>
      <c r="Q33">
        <v>50</v>
      </c>
      <c r="R33">
        <v>5</v>
      </c>
      <c r="S33">
        <v>50</v>
      </c>
    </row>
    <row r="34" spans="1:19" hidden="1" x14ac:dyDescent="0.25">
      <c r="A34">
        <v>22400500</v>
      </c>
      <c r="B34" t="s">
        <v>18</v>
      </c>
      <c r="C34" t="s">
        <v>87</v>
      </c>
      <c r="D34">
        <v>15</v>
      </c>
      <c r="E34">
        <v>7</v>
      </c>
      <c r="F34">
        <v>8</v>
      </c>
      <c r="G34">
        <v>1</v>
      </c>
      <c r="H34" s="1">
        <v>3.7847222222222223E-3</v>
      </c>
      <c r="I34">
        <v>2024</v>
      </c>
      <c r="J34" t="s">
        <v>83</v>
      </c>
      <c r="K34" s="2" t="str">
        <f>HYPERLINK("https://www.nba.com/stats/events?CFID=&amp;CFPARAMS=&amp;GameEventID=94&amp;GameID=0022400500&amp;Season=2024-25&amp;flag=1&amp;title=Leonard%20tip%20Layup%20(5%20PTS)", "Tip Layup (5 PTS)")</f>
        <v>Tip Layup (5 PTS)</v>
      </c>
      <c r="L34" s="2" t="str">
        <f>HYPERLINK("https://www.nba.com/game/...-vs-...-0022400500/play-by-play?watchFullGame=true", "LAC vs MIN - Q1 05:27.00")</f>
        <v>LAC vs MIN - Q1 05:27.00</v>
      </c>
      <c r="M34" t="s">
        <v>21</v>
      </c>
      <c r="N34">
        <v>5.59</v>
      </c>
      <c r="O34">
        <v>50</v>
      </c>
      <c r="P34">
        <v>5</v>
      </c>
      <c r="Q34">
        <v>50</v>
      </c>
      <c r="R34">
        <v>5</v>
      </c>
      <c r="S34">
        <v>50</v>
      </c>
    </row>
    <row r="35" spans="1:19" hidden="1" x14ac:dyDescent="0.25">
      <c r="A35">
        <v>42300172</v>
      </c>
      <c r="B35" t="s">
        <v>18</v>
      </c>
      <c r="C35" t="s">
        <v>87</v>
      </c>
      <c r="D35">
        <v>53</v>
      </c>
      <c r="E35">
        <v>55</v>
      </c>
      <c r="F35">
        <v>2</v>
      </c>
      <c r="G35">
        <v>3</v>
      </c>
      <c r="H35" s="1">
        <v>4.178240740740741E-3</v>
      </c>
      <c r="I35" t="s">
        <v>93</v>
      </c>
      <c r="J35" t="s">
        <v>83</v>
      </c>
      <c r="K35" s="2" t="str">
        <f>HYPERLINK("https://www.nba.com/stats/events?CFID=&amp;CFPARAMS=&amp;GameEventID=417&amp;GameID=0042300172&amp;Season=2023-24&amp;flag=1&amp;title=Leonard%20putback%20Layup%20(10%20PTS)", "Putback Layup (10 PTS)")</f>
        <v>Putback Layup (10 PTS)</v>
      </c>
      <c r="L35" s="2" t="str">
        <f>HYPERLINK("https://www.nba.com/game/...-vs-...-0042300172/play-by-play?watchFullGame=true", "LAC vs DAL - Q3 06:01.00")</f>
        <v>LAC vs DAL - Q3 06:01.00</v>
      </c>
      <c r="M35" t="s">
        <v>21</v>
      </c>
      <c r="N35">
        <v>5.59</v>
      </c>
      <c r="O35">
        <v>50</v>
      </c>
      <c r="P35">
        <v>5</v>
      </c>
      <c r="Q35">
        <v>50</v>
      </c>
      <c r="R35">
        <v>5</v>
      </c>
      <c r="S35">
        <v>50</v>
      </c>
    </row>
    <row r="36" spans="1:19" hidden="1" x14ac:dyDescent="0.25">
      <c r="A36">
        <v>22400874</v>
      </c>
      <c r="B36" t="s">
        <v>18</v>
      </c>
      <c r="C36" t="s">
        <v>87</v>
      </c>
      <c r="D36">
        <v>55</v>
      </c>
      <c r="E36">
        <v>67</v>
      </c>
      <c r="F36">
        <v>12</v>
      </c>
      <c r="G36">
        <v>3</v>
      </c>
      <c r="H36" s="1">
        <v>4.7685185185185183E-3</v>
      </c>
      <c r="I36">
        <v>2024</v>
      </c>
      <c r="J36" t="s">
        <v>83</v>
      </c>
      <c r="K36" s="2" t="str">
        <f>HYPERLINK("https://www.nba.com/stats/events?CFID=&amp;CFPARAMS=&amp;GameEventID=364&amp;GameID=0022400874&amp;Season=2024-25&amp;flag=1&amp;title=Leonard%20tip%20Layup%20(23%20PTS)", "Tip Layup (23 PTS)")</f>
        <v>Tip Layup (23 PTS)</v>
      </c>
      <c r="L36" s="2" t="str">
        <f>HYPERLINK("https://www.nba.com/game/...-vs-...-0022400874/play-by-play?watchFullGame=true", "LAC vs LAL - Q3 06:52.00")</f>
        <v>LAC vs LAL - Q3 06:52.00</v>
      </c>
      <c r="M36" t="s">
        <v>21</v>
      </c>
      <c r="N36">
        <v>5.59</v>
      </c>
      <c r="O36">
        <v>50</v>
      </c>
      <c r="P36">
        <v>5</v>
      </c>
      <c r="Q36">
        <v>50</v>
      </c>
      <c r="R36">
        <v>5</v>
      </c>
      <c r="S36">
        <v>50</v>
      </c>
    </row>
    <row r="37" spans="1:19" hidden="1" x14ac:dyDescent="0.25">
      <c r="A37">
        <v>22300658</v>
      </c>
      <c r="B37" t="s">
        <v>18</v>
      </c>
      <c r="C37" t="s">
        <v>87</v>
      </c>
      <c r="D37">
        <v>61</v>
      </c>
      <c r="E37">
        <v>62</v>
      </c>
      <c r="F37">
        <v>1</v>
      </c>
      <c r="G37">
        <v>3</v>
      </c>
      <c r="H37" s="1">
        <v>5.7407407407407407E-3</v>
      </c>
      <c r="I37">
        <v>2023</v>
      </c>
      <c r="J37" t="s">
        <v>83</v>
      </c>
      <c r="K37" s="2" t="str">
        <f>HYPERLINK("https://www.nba.com/stats/events?CFID=&amp;CFPARAMS=&amp;GameEventID=382&amp;GameID=0022300658&amp;Season=2023-24&amp;flag=1&amp;title=Leonard%20putback%20Layup%20(16%20PTS)", "Putback Layup (16 PTS)")</f>
        <v>Putback Layup (16 PTS)</v>
      </c>
      <c r="L37" s="2" t="str">
        <f>HYPERLINK("https://www.nba.com/game/...-vs-...-0022300658/play-by-play?watchFullGame=true", "LAC vs CLE - Q3 08:16.00")</f>
        <v>LAC vs CLE - Q3 08:16.00</v>
      </c>
      <c r="M37" t="s">
        <v>21</v>
      </c>
      <c r="N37">
        <v>5.59</v>
      </c>
      <c r="O37">
        <v>50</v>
      </c>
      <c r="P37">
        <v>5</v>
      </c>
      <c r="Q37">
        <v>50</v>
      </c>
      <c r="R37">
        <v>5</v>
      </c>
      <c r="S37">
        <v>50</v>
      </c>
    </row>
    <row r="38" spans="1:19" hidden="1" x14ac:dyDescent="0.25">
      <c r="A38">
        <v>22400911</v>
      </c>
      <c r="B38" t="s">
        <v>18</v>
      </c>
      <c r="C38" t="s">
        <v>87</v>
      </c>
      <c r="D38">
        <v>62</v>
      </c>
      <c r="E38">
        <v>59</v>
      </c>
      <c r="F38">
        <v>3</v>
      </c>
      <c r="G38">
        <v>3</v>
      </c>
      <c r="H38" s="1">
        <v>6.9675925925925929E-3</v>
      </c>
      <c r="I38">
        <v>2024</v>
      </c>
      <c r="J38" t="s">
        <v>83</v>
      </c>
      <c r="K38" s="2" t="str">
        <f>HYPERLINK("https://www.nba.com/stats/events?CFID=&amp;CFPARAMS=&amp;GameEventID=322&amp;GameID=0022400911&amp;Season=2024-25&amp;flag=1&amp;title=Leonard%20tip%20Layup%20(11%20PTS)", "Tip Layup (11 PTS)")</f>
        <v>Tip Layup (11 PTS)</v>
      </c>
      <c r="L38" s="2" t="str">
        <f>HYPERLINK("https://www.nba.com/game/...-vs-...-0022400911/play-by-play?watchFullGame=true", "LAC vs NYK - Q3 10:02.00")</f>
        <v>LAC vs NYK - Q3 10:02.00</v>
      </c>
      <c r="M38" t="s">
        <v>21</v>
      </c>
      <c r="N38">
        <v>5.59</v>
      </c>
      <c r="O38">
        <v>50</v>
      </c>
      <c r="P38">
        <v>5</v>
      </c>
      <c r="Q38">
        <v>50</v>
      </c>
      <c r="R38">
        <v>5</v>
      </c>
      <c r="S38">
        <v>50</v>
      </c>
    </row>
    <row r="39" spans="1:19" hidden="1" x14ac:dyDescent="0.25">
      <c r="A39">
        <v>21900359</v>
      </c>
      <c r="B39" t="s">
        <v>26</v>
      </c>
      <c r="C39" t="s">
        <v>84</v>
      </c>
      <c r="D39">
        <v>12</v>
      </c>
      <c r="E39">
        <v>13</v>
      </c>
      <c r="F39">
        <v>1</v>
      </c>
      <c r="G39">
        <v>1</v>
      </c>
      <c r="H39" s="1">
        <v>5.4050925925925924E-3</v>
      </c>
      <c r="I39">
        <v>2019</v>
      </c>
      <c r="J39" t="s">
        <v>83</v>
      </c>
      <c r="K39" s="2" t="str">
        <f>HYPERLINK("https://www.nba.com/stats/events?CFID=&amp;CFPARAMS=&amp;GameEventID=49&amp;GameID=0021900359&amp;Season=2019-20&amp;flag=1&amp;title=Leonard%2024'%203PT%20%20(3%20PTS)%20(P.%20Beverley%201%20AST)", "24' 3PT  (3 PTS) (P. Beverley 1 AST)")</f>
        <v>24' 3PT  (3 PTS) (P. Beverley 1 AST)</v>
      </c>
      <c r="L39" s="2" t="str">
        <f>HYPERLINK("https://www.nba.com/game/...-vs-...-0021900359/play-by-play?watchFullGame=true", "LAC vs TOR - Q1 07:47.00")</f>
        <v>LAC vs TOR - Q1 07:47.00</v>
      </c>
      <c r="M39">
        <v>23.5</v>
      </c>
      <c r="N39">
        <v>5.86</v>
      </c>
      <c r="O39">
        <v>3.01</v>
      </c>
      <c r="P39">
        <v>235</v>
      </c>
      <c r="Q39">
        <v>3</v>
      </c>
      <c r="R39">
        <v>5</v>
      </c>
      <c r="S39">
        <v>3</v>
      </c>
    </row>
    <row r="40" spans="1:19" hidden="1" x14ac:dyDescent="0.25">
      <c r="A40">
        <v>22200687</v>
      </c>
      <c r="B40" t="s">
        <v>26</v>
      </c>
      <c r="C40" t="s">
        <v>19</v>
      </c>
      <c r="D40">
        <v>93</v>
      </c>
      <c r="E40">
        <v>90</v>
      </c>
      <c r="F40">
        <v>3</v>
      </c>
      <c r="G40">
        <v>3</v>
      </c>
      <c r="H40" s="1">
        <v>2.4652777777777776E-3</v>
      </c>
      <c r="I40">
        <v>2022</v>
      </c>
      <c r="J40" t="s">
        <v>83</v>
      </c>
      <c r="K40" s="2" t="str">
        <f>HYPERLINK("https://www.nba.com/stats/events?CFID=&amp;CFPARAMS=&amp;GameEventID=375&amp;GameID=0022200687&amp;Season=2022-23&amp;flag=1&amp;title=Leonard%203PT%20%20(30%20PTS)%20(P.%20George%209%20AST)", "3PT  (30 PTS) (P. George 9 AST)")</f>
        <v>3PT  (30 PTS) (P. George 9 AST)</v>
      </c>
      <c r="L40" s="2" t="str">
        <f>HYPERLINK("https://www.nba.com/game/...-vs-...-0022200687/play-by-play?watchFullGame=true", "LAC vs SAS - Q3 03:33.00")</f>
        <v>LAC vs SAS - Q3 03:33.00</v>
      </c>
      <c r="M40">
        <v>23.16</v>
      </c>
      <c r="N40">
        <v>6</v>
      </c>
      <c r="O40">
        <v>3.68</v>
      </c>
      <c r="P40">
        <v>232</v>
      </c>
      <c r="Q40">
        <v>4</v>
      </c>
      <c r="R40">
        <v>5</v>
      </c>
      <c r="S40">
        <v>3</v>
      </c>
    </row>
    <row r="41" spans="1:19" hidden="1" x14ac:dyDescent="0.25">
      <c r="A41">
        <v>22000224</v>
      </c>
      <c r="B41" t="s">
        <v>26</v>
      </c>
      <c r="C41" t="s">
        <v>19</v>
      </c>
      <c r="D41">
        <v>69</v>
      </c>
      <c r="E41">
        <v>61</v>
      </c>
      <c r="F41">
        <v>8</v>
      </c>
      <c r="G41">
        <v>3</v>
      </c>
      <c r="H41" s="1">
        <v>6.9097222222222225E-3</v>
      </c>
      <c r="I41">
        <v>2020</v>
      </c>
      <c r="J41" t="s">
        <v>83</v>
      </c>
      <c r="K41" s="2" t="str">
        <f>HYPERLINK("https://www.nba.com/stats/events?CFID=&amp;CFPARAMS=&amp;GameEventID=339&amp;GameID=0022000224&amp;Season=2020-21&amp;flag=1&amp;title=Leonard%203PT%20%20(19%20PTS)%20(Ibaka%201%20AST)", "3PT  (19 PTS) (S. Ibaka 1 AST)")</f>
        <v>3PT  (19 PTS) (S. Ibaka 1 AST)</v>
      </c>
      <c r="L41" s="2" t="str">
        <f>HYPERLINK("https://www.nba.com/game/...-vs-...-0022000224/play-by-play?watchFullGame=true", "LAC vs SAC - Q3 09:57.00")</f>
        <v>LAC vs SAC - Q3 09:57.00</v>
      </c>
      <c r="M41">
        <v>23.13</v>
      </c>
      <c r="N41">
        <v>5.86</v>
      </c>
      <c r="O41">
        <v>3.75</v>
      </c>
      <c r="P41">
        <v>231</v>
      </c>
      <c r="Q41">
        <v>3</v>
      </c>
      <c r="R41">
        <v>5</v>
      </c>
      <c r="S41">
        <v>3</v>
      </c>
    </row>
    <row r="42" spans="1:19" hidden="1" x14ac:dyDescent="0.25">
      <c r="A42">
        <v>22000756</v>
      </c>
      <c r="B42" t="s">
        <v>18</v>
      </c>
      <c r="C42" t="s">
        <v>19</v>
      </c>
      <c r="D42">
        <v>94</v>
      </c>
      <c r="E42">
        <v>75</v>
      </c>
      <c r="F42">
        <v>19</v>
      </c>
      <c r="G42">
        <v>4</v>
      </c>
      <c r="H42" s="1">
        <v>3.4953703703703705E-3</v>
      </c>
      <c r="I42">
        <v>2020</v>
      </c>
      <c r="J42" t="s">
        <v>83</v>
      </c>
      <c r="K42" s="2" t="str">
        <f>HYPERLINK("https://www.nba.com/stats/events?CFID=&amp;CFPARAMS=&amp;GameEventID=578&amp;GameID=0022000756&amp;Season=2020-21&amp;flag=1&amp;title=Leonard%2018'%20step%20back%20Jump%20Shot%20(17%20PTS)", "18' step back Jump Shot (17 PTS)")</f>
        <v>18' step back Jump Shot (17 PTS)</v>
      </c>
      <c r="L42" s="2" t="str">
        <f>HYPERLINK("https://www.nba.com/game/...-vs-...-0022000756/play-by-play?watchFullGame=true", "LAC vs LAL - Q4 05:02.00")</f>
        <v>LAC vs LAL - Q4 05:02.00</v>
      </c>
      <c r="M42">
        <v>18.72</v>
      </c>
      <c r="N42">
        <v>5.86</v>
      </c>
      <c r="O42">
        <v>12.57</v>
      </c>
      <c r="P42">
        <v>187</v>
      </c>
      <c r="Q42">
        <v>3</v>
      </c>
      <c r="R42">
        <v>5</v>
      </c>
      <c r="S42">
        <v>12</v>
      </c>
    </row>
    <row r="43" spans="1:19" hidden="1" x14ac:dyDescent="0.25">
      <c r="A43">
        <v>22300264</v>
      </c>
      <c r="B43" t="s">
        <v>18</v>
      </c>
      <c r="C43" t="s">
        <v>19</v>
      </c>
      <c r="D43">
        <v>72</v>
      </c>
      <c r="E43">
        <v>50</v>
      </c>
      <c r="F43">
        <v>22</v>
      </c>
      <c r="G43">
        <v>2</v>
      </c>
      <c r="H43" s="1">
        <v>1.0416666666666666E-5</v>
      </c>
      <c r="I43">
        <v>2023</v>
      </c>
      <c r="J43" t="s">
        <v>83</v>
      </c>
      <c r="K43" s="2" t="str">
        <f>HYPERLINK("https://www.nba.com/stats/events?CFID=&amp;CFPARAMS=&amp;GameEventID=351&amp;GameID=0022300264&amp;Season=2023-24&amp;flag=1&amp;title=Leonard%2019'%20fadeaway%20Jump%20Shot%20(16%20PTS)", "19' fadeaway Jump Shot (16 PTS)")</f>
        <v>19' fadeaway Jump Shot (16 PTS)</v>
      </c>
      <c r="L43" s="2" t="str">
        <f>HYPERLINK("https://www.nba.com/game/...-vs-...-0022300264/play-by-play?watchFullGame=true", "LAC vs SAC - Q2 00:00.90")</f>
        <v>LAC vs SAC - Q2 00:00.90</v>
      </c>
      <c r="M43">
        <v>19.5</v>
      </c>
      <c r="N43">
        <v>5.08</v>
      </c>
      <c r="O43">
        <v>88.97</v>
      </c>
      <c r="P43">
        <v>-195</v>
      </c>
      <c r="Q43">
        <v>-5</v>
      </c>
      <c r="R43">
        <v>5</v>
      </c>
      <c r="S43">
        <v>88</v>
      </c>
    </row>
    <row r="44" spans="1:19" hidden="1" x14ac:dyDescent="0.25">
      <c r="A44">
        <v>22300486</v>
      </c>
      <c r="B44" t="s">
        <v>26</v>
      </c>
      <c r="C44" t="s">
        <v>19</v>
      </c>
      <c r="D44">
        <v>66</v>
      </c>
      <c r="E44">
        <v>44</v>
      </c>
      <c r="F44">
        <v>22</v>
      </c>
      <c r="G44">
        <v>3</v>
      </c>
      <c r="H44" s="1">
        <v>7.1759259259259259E-3</v>
      </c>
      <c r="I44">
        <v>2023</v>
      </c>
      <c r="J44" t="s">
        <v>83</v>
      </c>
      <c r="K44" s="2" t="str">
        <f>HYPERLINK("https://www.nba.com/stats/events?CFID=&amp;CFPARAMS=&amp;GameEventID=349&amp;GameID=0022300486&amp;Season=2023-24&amp;flag=1&amp;title=Leonard%203PT%20%20(9%20PTS)%20(T.%20Mann%201%20AST)", "3PT  (9 PTS) (T. Mann 1 AST)")</f>
        <v>3PT  (9 PTS) (T. Mann 1 AST)</v>
      </c>
      <c r="L44" s="2" t="str">
        <f>HYPERLINK("https://www.nba.com/game/...-vs-...-0022300486/play-by-play?watchFullGame=true", "LAC vs NOP - Q3 10:20.00")</f>
        <v>LAC vs NOP - Q3 10:20.00</v>
      </c>
      <c r="M44">
        <v>23.16</v>
      </c>
      <c r="N44">
        <v>5.73</v>
      </c>
      <c r="O44">
        <v>96.32</v>
      </c>
      <c r="P44">
        <v>-232</v>
      </c>
      <c r="Q44">
        <v>1</v>
      </c>
      <c r="R44">
        <v>5</v>
      </c>
      <c r="S44">
        <v>96</v>
      </c>
    </row>
    <row r="45" spans="1:19" hidden="1" x14ac:dyDescent="0.25">
      <c r="A45">
        <v>22000788</v>
      </c>
      <c r="B45" t="s">
        <v>26</v>
      </c>
      <c r="C45" t="s">
        <v>19</v>
      </c>
      <c r="D45">
        <v>48</v>
      </c>
      <c r="E45">
        <v>43</v>
      </c>
      <c r="F45">
        <v>5</v>
      </c>
      <c r="G45">
        <v>2</v>
      </c>
      <c r="H45" s="1">
        <v>2.9282407407407408E-3</v>
      </c>
      <c r="I45">
        <v>2020</v>
      </c>
      <c r="J45" t="s">
        <v>83</v>
      </c>
      <c r="K45" s="2" t="str">
        <f>HYPERLINK("https://www.nba.com/stats/events?CFID=&amp;CFPARAMS=&amp;GameEventID=235&amp;GameID=0022000788&amp;Season=2020-21&amp;flag=1&amp;title=Leonard%203PT%20%20(5%20PTS)%20(P.%20Beverley%202%20AST)", "3PT  (5 PTS) (P. Beverley 2 AST)")</f>
        <v>3PT  (5 PTS) (P. Beverley 2 AST)</v>
      </c>
      <c r="L45" s="2" t="str">
        <f>HYPERLINK("https://www.nba.com/game/...-vs-...-0022000788/play-by-play?watchFullGame=true", "LAC vs PHX - Q2 04:13.00")</f>
        <v>LAC vs PHX - Q2 04:13.00</v>
      </c>
      <c r="M45">
        <v>23.81</v>
      </c>
      <c r="N45">
        <v>6</v>
      </c>
      <c r="O45">
        <v>97.62</v>
      </c>
      <c r="P45">
        <v>-238</v>
      </c>
      <c r="Q45">
        <v>4</v>
      </c>
      <c r="R45">
        <v>5</v>
      </c>
      <c r="S45">
        <v>97</v>
      </c>
    </row>
    <row r="46" spans="1:19" hidden="1" x14ac:dyDescent="0.25">
      <c r="A46">
        <v>22300688</v>
      </c>
      <c r="B46" t="s">
        <v>18</v>
      </c>
      <c r="C46" t="s">
        <v>19</v>
      </c>
      <c r="D46">
        <v>83</v>
      </c>
      <c r="E46">
        <v>74</v>
      </c>
      <c r="F46">
        <v>9</v>
      </c>
      <c r="G46">
        <v>3</v>
      </c>
      <c r="H46" s="1">
        <v>4.8263888888888887E-3</v>
      </c>
      <c r="I46">
        <v>2023</v>
      </c>
      <c r="J46" t="s">
        <v>83</v>
      </c>
      <c r="K46" s="2" t="str">
        <f>HYPERLINK("https://www.nba.com/stats/events?CFID=&amp;CFPARAMS=&amp;GameEventID=385&amp;GameID=0022300688&amp;Season=2023-24&amp;flag=1&amp;title=Leonard%2014'%20turnaround%20Jump%20Shot%20(29%20PTS)", "14' turnaround Jump Shot (29 PTS)")</f>
        <v>14' turnaround Jump Shot (29 PTS)</v>
      </c>
      <c r="L46" s="2" t="str">
        <f>HYPERLINK("https://www.nba.com/game/...-vs-...-0022300688/play-by-play?watchFullGame=true", "LAC vs DET - Q3 06:57.00")</f>
        <v>LAC vs DET - Q3 06:57.00</v>
      </c>
      <c r="M46">
        <v>14.22</v>
      </c>
      <c r="N46">
        <v>5.34</v>
      </c>
      <c r="O46">
        <v>21.57</v>
      </c>
      <c r="P46">
        <v>142</v>
      </c>
      <c r="Q46">
        <v>-2</v>
      </c>
      <c r="R46">
        <v>5</v>
      </c>
      <c r="S46">
        <v>21</v>
      </c>
    </row>
    <row r="47" spans="1:19" hidden="1" x14ac:dyDescent="0.25">
      <c r="A47">
        <v>41900151</v>
      </c>
      <c r="B47" t="s">
        <v>18</v>
      </c>
      <c r="C47" t="s">
        <v>84</v>
      </c>
      <c r="D47">
        <v>77</v>
      </c>
      <c r="E47">
        <v>76</v>
      </c>
      <c r="F47">
        <v>1</v>
      </c>
      <c r="G47">
        <v>3</v>
      </c>
      <c r="H47" s="1">
        <v>4.1435185185185186E-3</v>
      </c>
      <c r="I47" t="s">
        <v>86</v>
      </c>
      <c r="J47" t="s">
        <v>83</v>
      </c>
      <c r="K47" s="2" t="str">
        <f>HYPERLINK("https://www.nba.com/stats/events?CFID=&amp;CFPARAMS=&amp;GameEventID=442&amp;GameID=0041900151&amp;Season=2019-20&amp;flag=1&amp;title=Leonard%2012'%20jumpshot%20(17%20PTS)", "12' jumpshot (17 PTS)")</f>
        <v>12' jumpshot (17 PTS)</v>
      </c>
      <c r="L47" s="2" t="str">
        <f>HYPERLINK("https://www.nba.com/game/...-vs-...-0041900151/play-by-play?watchFullGame=true", "LAC vs DAL - Q3 05:58.00")</f>
        <v>LAC vs DAL - Q3 05:58.00</v>
      </c>
      <c r="M47">
        <v>12.35</v>
      </c>
      <c r="N47">
        <v>5.47</v>
      </c>
      <c r="O47">
        <v>25.31</v>
      </c>
      <c r="P47">
        <v>123</v>
      </c>
      <c r="Q47">
        <v>-1</v>
      </c>
      <c r="R47">
        <v>5</v>
      </c>
      <c r="S47">
        <v>25</v>
      </c>
    </row>
    <row r="48" spans="1:19" hidden="1" x14ac:dyDescent="0.25">
      <c r="A48">
        <v>22400571</v>
      </c>
      <c r="B48" t="s">
        <v>18</v>
      </c>
      <c r="C48" t="s">
        <v>19</v>
      </c>
      <c r="D48">
        <v>90</v>
      </c>
      <c r="E48">
        <v>38</v>
      </c>
      <c r="F48">
        <v>52</v>
      </c>
      <c r="G48">
        <v>3</v>
      </c>
      <c r="H48" s="1">
        <v>4.0277777777777777E-3</v>
      </c>
      <c r="I48">
        <v>2024</v>
      </c>
      <c r="J48" t="s">
        <v>83</v>
      </c>
      <c r="K48" s="2" t="str">
        <f>HYPERLINK("https://www.nba.com/stats/events?CFID=&amp;CFPARAMS=&amp;GameEventID=435&amp;GameID=0022400571&amp;Season=2024-25&amp;flag=1&amp;title=Leonard%2012'%20pullup%20Jump%20Shot%20(17%20PTS)", "12' pullup Jump Shot (17 PTS)")</f>
        <v>12' pullup Jump Shot (17 PTS)</v>
      </c>
      <c r="L48" s="2" t="str">
        <f>HYPERLINK("https://www.nba.com/game/...-vs-...-0022400571/play-by-play?watchFullGame=true", "LAC vs BKN - Q3 05:48.00")</f>
        <v>LAC vs BKN - Q3 05:48.00</v>
      </c>
      <c r="M48">
        <v>12.26</v>
      </c>
      <c r="N48">
        <v>6</v>
      </c>
      <c r="O48">
        <v>25.49</v>
      </c>
      <c r="P48">
        <v>123</v>
      </c>
      <c r="Q48">
        <v>4</v>
      </c>
      <c r="R48">
        <v>5</v>
      </c>
      <c r="S48">
        <v>25</v>
      </c>
    </row>
    <row r="49" spans="1:19" hidden="1" x14ac:dyDescent="0.25">
      <c r="A49">
        <v>42000176</v>
      </c>
      <c r="B49" t="s">
        <v>18</v>
      </c>
      <c r="C49" t="s">
        <v>19</v>
      </c>
      <c r="D49">
        <v>54</v>
      </c>
      <c r="E49">
        <v>53</v>
      </c>
      <c r="F49">
        <v>1</v>
      </c>
      <c r="G49">
        <v>3</v>
      </c>
      <c r="H49" s="1">
        <v>6.2962962962962964E-3</v>
      </c>
      <c r="I49" t="s">
        <v>91</v>
      </c>
      <c r="J49" t="s">
        <v>83</v>
      </c>
      <c r="K49" s="2" t="str">
        <f>HYPERLINK("https://www.nba.com/stats/events?CFID=&amp;CFPARAMS=&amp;GameEventID=357&amp;GameID=0042000176&amp;Season=2020-21&amp;flag=1&amp;title=Leonard%2011'%20Jump%20Shot%20(18%20PTS)%20(P.%20George%203%20AST)", "11' Jump Shot (18 PTS) (P. George 3 AST)")</f>
        <v>11' Jump Shot (18 PTS) (P. George 3 AST)</v>
      </c>
      <c r="L49" s="2" t="str">
        <f>HYPERLINK("https://www.nba.com/game/...-vs-...-0042000176/play-by-play?watchFullGame=true", "LAC vs DAL - Q3 09:04.00")</f>
        <v>LAC vs DAL - Q3 09:04.00</v>
      </c>
      <c r="M49">
        <v>11.92</v>
      </c>
      <c r="N49">
        <v>5.34</v>
      </c>
      <c r="O49">
        <v>73.84</v>
      </c>
      <c r="P49">
        <v>5</v>
      </c>
      <c r="Q49">
        <v>73</v>
      </c>
      <c r="R49">
        <v>5</v>
      </c>
      <c r="S49">
        <v>73</v>
      </c>
    </row>
    <row r="50" spans="1:19" hidden="1" x14ac:dyDescent="0.25">
      <c r="A50">
        <v>22200423</v>
      </c>
      <c r="B50" t="s">
        <v>18</v>
      </c>
      <c r="C50" t="s">
        <v>19</v>
      </c>
      <c r="D50">
        <v>73</v>
      </c>
      <c r="E50">
        <v>71</v>
      </c>
      <c r="F50">
        <v>2</v>
      </c>
      <c r="G50">
        <v>4</v>
      </c>
      <c r="H50" s="1">
        <v>6.4004629629629628E-3</v>
      </c>
      <c r="I50">
        <v>2022</v>
      </c>
      <c r="J50" t="s">
        <v>83</v>
      </c>
      <c r="K50" s="2" t="str">
        <f>HYPERLINK("https://www.nba.com/stats/events?CFID=&amp;CFPARAMS=&amp;GameEventID=500&amp;GameID=0022200423&amp;Season=2022-23&amp;flag=1&amp;title=Leonard%2011'%20pullup%20Jump%20Shot%20(13%20PTS)", "11' pullup Jump Shot (13 PTS)")</f>
        <v>11' pullup Jump Shot (13 PTS)</v>
      </c>
      <c r="L50" s="2" t="str">
        <f>HYPERLINK("https://www.nba.com/game/...-vs-...-0022200423/play-by-play?watchFullGame=true", "LAC vs MIN - Q4 09:13.00")</f>
        <v>LAC vs MIN - Q4 09:13.00</v>
      </c>
      <c r="M50">
        <v>11.76</v>
      </c>
      <c r="N50">
        <v>5.31</v>
      </c>
      <c r="O50">
        <v>73.53</v>
      </c>
      <c r="P50">
        <v>-118</v>
      </c>
      <c r="Q50">
        <v>-3</v>
      </c>
      <c r="R50">
        <v>5</v>
      </c>
      <c r="S50">
        <v>73</v>
      </c>
    </row>
    <row r="51" spans="1:19" hidden="1" x14ac:dyDescent="0.25">
      <c r="A51">
        <v>22400671</v>
      </c>
      <c r="B51" t="s">
        <v>18</v>
      </c>
      <c r="C51" t="s">
        <v>19</v>
      </c>
      <c r="D51">
        <v>71</v>
      </c>
      <c r="E51">
        <v>65</v>
      </c>
      <c r="F51">
        <v>6</v>
      </c>
      <c r="G51">
        <v>3</v>
      </c>
      <c r="H51" s="1">
        <v>7.5115740740740742E-3</v>
      </c>
      <c r="I51">
        <v>2024</v>
      </c>
      <c r="J51" t="s">
        <v>83</v>
      </c>
      <c r="K51" s="2" t="str">
        <f>HYPERLINK("https://www.nba.com/stats/events?CFID=&amp;CFPARAMS=&amp;GameEventID=360&amp;GameID=0022400671&amp;Season=2024-25&amp;flag=1&amp;title=Leonard%2011'%20fadeaway%20Jump%20Shot%20(16%20PTS)%20(D.%20Jones%20Jr.%201%20AST)", "11' fadeaway Jump Shot (16 PTS) (D. Jones Jr. 1 AST)")</f>
        <v>11' fadeaway Jump Shot (16 PTS) (D. Jones Jr. 1 AST)</v>
      </c>
      <c r="L51" s="2" t="str">
        <f>HYPERLINK("https://www.nba.com/game/...-vs-...-0022400671/play-by-play?watchFullGame=true", "LAC vs SAS - Q3 10:49.00")</f>
        <v>LAC vs SAS - Q3 10:49.00</v>
      </c>
      <c r="M51">
        <v>11.64</v>
      </c>
      <c r="N51">
        <v>5.73</v>
      </c>
      <c r="O51">
        <v>26.72</v>
      </c>
      <c r="P51">
        <v>116</v>
      </c>
      <c r="Q51">
        <v>1</v>
      </c>
      <c r="R51">
        <v>5</v>
      </c>
      <c r="S51">
        <v>26</v>
      </c>
    </row>
    <row r="52" spans="1:19" hidden="1" x14ac:dyDescent="0.25">
      <c r="A52">
        <v>22000116</v>
      </c>
      <c r="B52" t="s">
        <v>18</v>
      </c>
      <c r="C52" t="s">
        <v>19</v>
      </c>
      <c r="D52">
        <v>48</v>
      </c>
      <c r="E52">
        <v>42</v>
      </c>
      <c r="F52">
        <v>6</v>
      </c>
      <c r="G52">
        <v>2</v>
      </c>
      <c r="H52" s="1">
        <v>2.2106481481481482E-3</v>
      </c>
      <c r="I52">
        <v>2020</v>
      </c>
      <c r="J52" t="s">
        <v>83</v>
      </c>
      <c r="K52" s="2" t="str">
        <f>HYPERLINK("https://www.nba.com/stats/events?CFID=&amp;CFPARAMS=&amp;GameEventID=285&amp;GameID=0022000116&amp;Season=2020-21&amp;flag=1&amp;title=Leonard%2011'%20turnaround%20fadeaway%20Jump%20Shot%20(6%20PTS)", "11' turnaround fadeaway Jump Shot (6 PTS)")</f>
        <v>11' turnaround fadeaway Jump Shot (6 PTS)</v>
      </c>
      <c r="L52" s="2" t="str">
        <f>HYPERLINK("https://www.nba.com/game/...-vs-...-0022000116/play-by-play?watchFullGame=true", "LAC vs GSW - Q2 03:11.00")</f>
        <v>LAC vs GSW - Q2 03:11.00</v>
      </c>
      <c r="M52">
        <v>11.43</v>
      </c>
      <c r="N52">
        <v>5.6</v>
      </c>
      <c r="O52">
        <v>72.86</v>
      </c>
      <c r="P52">
        <v>-114</v>
      </c>
      <c r="Q52">
        <v>72</v>
      </c>
      <c r="R52">
        <v>5</v>
      </c>
      <c r="S52">
        <v>72</v>
      </c>
    </row>
    <row r="53" spans="1:19" hidden="1" x14ac:dyDescent="0.25">
      <c r="A53">
        <v>22300244</v>
      </c>
      <c r="B53" t="s">
        <v>18</v>
      </c>
      <c r="C53" t="s">
        <v>19</v>
      </c>
      <c r="D53">
        <v>76</v>
      </c>
      <c r="E53">
        <v>55</v>
      </c>
      <c r="F53">
        <v>21</v>
      </c>
      <c r="G53">
        <v>3</v>
      </c>
      <c r="H53" s="1">
        <v>2.0023148148148148E-3</v>
      </c>
      <c r="I53">
        <v>2023</v>
      </c>
      <c r="J53" t="s">
        <v>83</v>
      </c>
      <c r="K53" s="2" t="str">
        <f>HYPERLINK("https://www.nba.com/stats/events?CFID=&amp;CFPARAMS=&amp;GameEventID=471&amp;GameID=0022300244&amp;Season=2023-24&amp;flag=1&amp;title=Leonard%2010'%20pullup%20Jump%20Shot%20(6%20PTS)", "10' pullup Jump Shot (6 PTS)")</f>
        <v>10' pullup Jump Shot (6 PTS)</v>
      </c>
      <c r="L53" s="2" t="str">
        <f>HYPERLINK("https://www.nba.com/game/...-vs-...-0022300244/play-by-play?watchFullGame=true", "LAC vs DAL - Q3 02:53.00")</f>
        <v>LAC vs DAL - Q3 02:53.00</v>
      </c>
      <c r="M53">
        <v>10.66</v>
      </c>
      <c r="N53">
        <v>5.44</v>
      </c>
      <c r="O53">
        <v>28.68</v>
      </c>
      <c r="P53">
        <v>107</v>
      </c>
      <c r="Q53">
        <v>-1</v>
      </c>
      <c r="R53">
        <v>5</v>
      </c>
      <c r="S53">
        <v>28</v>
      </c>
    </row>
    <row r="54" spans="1:19" hidden="1" x14ac:dyDescent="0.25">
      <c r="A54">
        <v>22200902</v>
      </c>
      <c r="B54" t="s">
        <v>18</v>
      </c>
      <c r="C54" t="s">
        <v>19</v>
      </c>
      <c r="D54">
        <v>157</v>
      </c>
      <c r="E54">
        <v>154</v>
      </c>
      <c r="F54">
        <v>3</v>
      </c>
      <c r="G54">
        <v>5</v>
      </c>
      <c r="H54" s="1">
        <v>2.9398148148148148E-3</v>
      </c>
      <c r="I54">
        <v>2022</v>
      </c>
      <c r="J54" t="s">
        <v>83</v>
      </c>
      <c r="K54" s="2" t="str">
        <f>HYPERLINK("https://www.nba.com/stats/events?CFID=&amp;CFPARAMS=&amp;GameEventID=674&amp;GameID=0022200902&amp;Season=2022-23&amp;flag=1&amp;title=Leonard%2010'%20fadeaway%20Jump%20Shot%20(42%20PTS)%20(R.%20Westbrook%2011%20AST)", "10' fadeaway Jump Shot (42 PTS) (R. Westbrook 11 AST)")</f>
        <v>10' fadeaway Jump Shot (42 PTS) (R. Westbrook 11 AST)</v>
      </c>
      <c r="L54" s="2" t="str">
        <f>HYPERLINK("https://www.nba.com/game/...-vs-...-0022200902/play-by-play?watchFullGame=true", "LAC vs SAC - Q5 04:14.00")</f>
        <v>LAC vs SAC - Q5 04:14.00</v>
      </c>
      <c r="M54">
        <v>10.42</v>
      </c>
      <c r="N54">
        <v>5.31</v>
      </c>
      <c r="O54">
        <v>29.17</v>
      </c>
      <c r="P54">
        <v>104</v>
      </c>
      <c r="Q54">
        <v>-3</v>
      </c>
      <c r="R54">
        <v>5</v>
      </c>
      <c r="S54">
        <v>29</v>
      </c>
    </row>
    <row r="55" spans="1:19" hidden="1" x14ac:dyDescent="0.25">
      <c r="A55">
        <v>22000188</v>
      </c>
      <c r="B55" t="s">
        <v>18</v>
      </c>
      <c r="C55" t="s">
        <v>19</v>
      </c>
      <c r="D55">
        <v>73</v>
      </c>
      <c r="E55">
        <v>63</v>
      </c>
      <c r="F55">
        <v>10</v>
      </c>
      <c r="G55">
        <v>3</v>
      </c>
      <c r="H55" s="1">
        <v>7.6967592592592591E-3</v>
      </c>
      <c r="I55">
        <v>2020</v>
      </c>
      <c r="J55" t="s">
        <v>83</v>
      </c>
      <c r="K55" s="2" t="str">
        <f>HYPERLINK("https://www.nba.com/stats/events?CFID=&amp;CFPARAMS=&amp;GameEventID=330&amp;GameID=0022000188&amp;Season=2020-21&amp;flag=1&amp;title=Leonard%2010'%20turnaround%20fadeaway%20Jump%20Shot%20(18%20PTS)", "10' turnaround fadeaway Jump Shot (18 PTS)")</f>
        <v>10' turnaround fadeaway Jump Shot (18 PTS)</v>
      </c>
      <c r="L55" s="2" t="str">
        <f>HYPERLINK("https://www.nba.com/game/...-vs-...-0022000188/play-by-play?watchFullGame=true", "LAC vs SAC - Q3 11:05.00")</f>
        <v>LAC vs SAC - Q3 11:05.00</v>
      </c>
      <c r="M55">
        <v>10.14</v>
      </c>
      <c r="N55">
        <v>5.73</v>
      </c>
      <c r="O55">
        <v>29.73</v>
      </c>
      <c r="P55">
        <v>101</v>
      </c>
      <c r="Q55">
        <v>1</v>
      </c>
      <c r="R55">
        <v>5</v>
      </c>
      <c r="S55">
        <v>29</v>
      </c>
    </row>
    <row r="56" spans="1:19" hidden="1" x14ac:dyDescent="0.25">
      <c r="A56">
        <v>22200795</v>
      </c>
      <c r="B56" t="s">
        <v>18</v>
      </c>
      <c r="C56" t="s">
        <v>19</v>
      </c>
      <c r="D56">
        <v>108</v>
      </c>
      <c r="E56">
        <v>97</v>
      </c>
      <c r="F56">
        <v>11</v>
      </c>
      <c r="G56">
        <v>4</v>
      </c>
      <c r="H56" s="1">
        <v>3.9236111111111112E-3</v>
      </c>
      <c r="I56">
        <v>2022</v>
      </c>
      <c r="J56" t="s">
        <v>83</v>
      </c>
      <c r="K56" s="2" t="str">
        <f>HYPERLINK("https://www.nba.com/stats/events?CFID=&amp;CFPARAMS=&amp;GameEventID=526&amp;GameID=0022200795&amp;Season=2022-23&amp;flag=1&amp;title=Leonard%209'%20fadeaway%20Jump%20Shot%20(27%20PTS)", "9' fadeaway Jump Shot (27 PTS)")</f>
        <v>9' fadeaway Jump Shot (27 PTS)</v>
      </c>
      <c r="L56" s="2" t="str">
        <f>HYPERLINK("https://www.nba.com/game/...-vs-...-0022200795/play-by-play?watchFullGame=true", "LAC vs NYK - Q4 05:39.00")</f>
        <v>LAC vs NYK - Q4 05:39.00</v>
      </c>
      <c r="M56">
        <v>9.93</v>
      </c>
      <c r="N56">
        <v>5.73</v>
      </c>
      <c r="O56">
        <v>69.849999999999994</v>
      </c>
      <c r="P56">
        <v>-99</v>
      </c>
      <c r="Q56">
        <v>1</v>
      </c>
      <c r="R56">
        <v>5</v>
      </c>
      <c r="S56">
        <v>69</v>
      </c>
    </row>
    <row r="57" spans="1:19" hidden="1" x14ac:dyDescent="0.25">
      <c r="A57">
        <v>22201004</v>
      </c>
      <c r="B57" t="s">
        <v>18</v>
      </c>
      <c r="C57" t="s">
        <v>89</v>
      </c>
      <c r="D57">
        <v>49</v>
      </c>
      <c r="E57">
        <v>49</v>
      </c>
      <c r="F57">
        <v>0</v>
      </c>
      <c r="G57">
        <v>3</v>
      </c>
      <c r="H57" s="1">
        <v>7.8819444444444449E-3</v>
      </c>
      <c r="I57">
        <v>2022</v>
      </c>
      <c r="J57" t="s">
        <v>83</v>
      </c>
      <c r="K57" s="2" t="str">
        <f>HYPERLINK("https://www.nba.com/stats/events?CFID=&amp;CFPARAMS=&amp;GameEventID=325&amp;GameID=0022201004&amp;Season=2022-23&amp;flag=1&amp;title=Leonard%209'%20driving%20Hook%20(12%20PTS)", "9' driving Hook (12 PTS)")</f>
        <v>9' driving Hook (12 PTS)</v>
      </c>
      <c r="L57" s="2" t="str">
        <f>HYPERLINK("https://www.nba.com/game/...-vs-...-0022201004/play-by-play?watchFullGame=true", "LAC vs NYK - Q3 11:21.00")</f>
        <v>LAC vs NYK - Q3 11:21.00</v>
      </c>
      <c r="M57">
        <v>9.81</v>
      </c>
      <c r="N57">
        <v>5.96</v>
      </c>
      <c r="O57">
        <v>30.39</v>
      </c>
      <c r="P57">
        <v>98</v>
      </c>
      <c r="Q57">
        <v>4</v>
      </c>
      <c r="R57">
        <v>5</v>
      </c>
      <c r="S57">
        <v>30</v>
      </c>
    </row>
    <row r="58" spans="1:19" hidden="1" x14ac:dyDescent="0.25">
      <c r="A58">
        <v>22300127</v>
      </c>
      <c r="B58" t="s">
        <v>18</v>
      </c>
      <c r="C58" t="s">
        <v>19</v>
      </c>
      <c r="D58">
        <v>74</v>
      </c>
      <c r="E58">
        <v>63</v>
      </c>
      <c r="F58">
        <v>11</v>
      </c>
      <c r="G58">
        <v>3</v>
      </c>
      <c r="H58" s="1">
        <v>5.4166666666666669E-3</v>
      </c>
      <c r="I58">
        <v>2023</v>
      </c>
      <c r="J58" t="s">
        <v>83</v>
      </c>
      <c r="K58" s="2" t="str">
        <f>HYPERLINK("https://www.nba.com/stats/events?CFID=&amp;CFPARAMS=&amp;GameEventID=374&amp;GameID=0022300127&amp;Season=2023-24&amp;flag=1&amp;title=Leonard%209'%20pullup%20Jump%20Shot%20(26%20PTS)", "9' pullup Jump Shot (26 PTS)")</f>
        <v>9' pullup Jump Shot (26 PTS)</v>
      </c>
      <c r="L58" s="2" t="str">
        <f>HYPERLINK("https://www.nba.com/game/...-vs-...-0022300127/play-by-play?watchFullGame=true", "LAC vs LAL - Q3 07:48.00")</f>
        <v>LAC vs LAL - Q3 07:48.00</v>
      </c>
      <c r="M58">
        <v>9.69</v>
      </c>
      <c r="N58">
        <v>5.78</v>
      </c>
      <c r="O58">
        <v>30.61</v>
      </c>
      <c r="P58">
        <v>97</v>
      </c>
      <c r="Q58">
        <v>2</v>
      </c>
      <c r="R58">
        <v>5</v>
      </c>
      <c r="S58">
        <v>30</v>
      </c>
    </row>
    <row r="59" spans="1:19" hidden="1" x14ac:dyDescent="0.25">
      <c r="A59">
        <v>22300486</v>
      </c>
      <c r="B59" t="s">
        <v>18</v>
      </c>
      <c r="C59" t="s">
        <v>19</v>
      </c>
      <c r="D59">
        <v>76</v>
      </c>
      <c r="E59">
        <v>54</v>
      </c>
      <c r="F59">
        <v>22</v>
      </c>
      <c r="G59">
        <v>3</v>
      </c>
      <c r="H59" s="1">
        <v>3.6921296296296298E-3</v>
      </c>
      <c r="I59">
        <v>2023</v>
      </c>
      <c r="J59" t="s">
        <v>83</v>
      </c>
      <c r="K59" s="2" t="str">
        <f>HYPERLINK("https://www.nba.com/stats/events?CFID=&amp;CFPARAMS=&amp;GameEventID=409&amp;GameID=0022300486&amp;Season=2023-24&amp;flag=1&amp;title=Leonard%209'%20fadeaway%20Jump%20Shot%20(17%20PTS)", "9' fadeaway Jump Shot (17 PTS)")</f>
        <v>9' fadeaway Jump Shot (17 PTS)</v>
      </c>
      <c r="L59" s="2" t="str">
        <f>HYPERLINK("https://www.nba.com/game/...-vs-...-0022300486/play-by-play?watchFullGame=true", "LAC vs NOP - Q3 05:19.00")</f>
        <v>LAC vs NOP - Q3 05:19.00</v>
      </c>
      <c r="M59">
        <v>9.44</v>
      </c>
      <c r="N59">
        <v>5.73</v>
      </c>
      <c r="O59">
        <v>68.87</v>
      </c>
      <c r="P59">
        <v>-94</v>
      </c>
      <c r="Q59">
        <v>1</v>
      </c>
      <c r="R59">
        <v>5</v>
      </c>
      <c r="S59">
        <v>68</v>
      </c>
    </row>
    <row r="60" spans="1:19" hidden="1" x14ac:dyDescent="0.25">
      <c r="A60">
        <v>22400911</v>
      </c>
      <c r="B60" t="s">
        <v>18</v>
      </c>
      <c r="C60" t="s">
        <v>19</v>
      </c>
      <c r="D60">
        <v>68</v>
      </c>
      <c r="E60">
        <v>59</v>
      </c>
      <c r="F60">
        <v>9</v>
      </c>
      <c r="G60">
        <v>3</v>
      </c>
      <c r="H60" s="1">
        <v>5.4513888888888893E-3</v>
      </c>
      <c r="I60">
        <v>2024</v>
      </c>
      <c r="J60" t="s">
        <v>83</v>
      </c>
      <c r="K60" s="2" t="str">
        <f>HYPERLINK("https://www.nba.com/stats/events?CFID=&amp;CFPARAMS=&amp;GameEventID=339&amp;GameID=0022400911&amp;Season=2024-25&amp;flag=1&amp;title=Leonard%209'%20step%20back%20Jump%20Shot%20(13%20PTS)%20(J.%20Harden%207%20AST)", "9' step back Jump Shot (13 PTS) (J. Harden 7 AST)")</f>
        <v>9' step back Jump Shot (13 PTS) (J. Harden 7 AST)</v>
      </c>
      <c r="L60" s="2" t="str">
        <f>HYPERLINK("https://www.nba.com/game/...-vs-...-0022400911/play-by-play?watchFullGame=true", "LAC vs NYK - Q3 07:51.00")</f>
        <v>LAC vs NYK - Q3 07:51.00</v>
      </c>
      <c r="M60">
        <v>9.2799999999999994</v>
      </c>
      <c r="N60">
        <v>5.39</v>
      </c>
      <c r="O60">
        <v>31.44</v>
      </c>
      <c r="P60">
        <v>93</v>
      </c>
      <c r="Q60">
        <v>-2</v>
      </c>
      <c r="R60">
        <v>5</v>
      </c>
      <c r="S60">
        <v>31</v>
      </c>
    </row>
    <row r="61" spans="1:19" hidden="1" x14ac:dyDescent="0.25">
      <c r="A61">
        <v>22200902</v>
      </c>
      <c r="B61" t="s">
        <v>18</v>
      </c>
      <c r="C61" t="s">
        <v>19</v>
      </c>
      <c r="D61">
        <v>171</v>
      </c>
      <c r="E61">
        <v>169</v>
      </c>
      <c r="F61">
        <v>2</v>
      </c>
      <c r="G61">
        <v>6</v>
      </c>
      <c r="H61" s="1">
        <v>2.0254629629629629E-3</v>
      </c>
      <c r="I61">
        <v>2022</v>
      </c>
      <c r="J61" t="s">
        <v>83</v>
      </c>
      <c r="K61" s="2" t="str">
        <f>HYPERLINK("https://www.nba.com/stats/events?CFID=&amp;CFPARAMS=&amp;GameEventID=767&amp;GameID=0022200902&amp;Season=2022-23&amp;flag=1&amp;title=Leonard%206'%20turnaround%20fadeaway%20Jump%20Shot%20(44%20PTS)%20(R.%20Westbrook%2013%20AST)", "6' turnaround fadeaway Jump Shot (44 PTS) (R. Westbrook 13 AST)")</f>
        <v>6' turnaround fadeaway Jump Shot (44 PTS) (R. Westbrook 13 AST)</v>
      </c>
      <c r="L61" s="2" t="str">
        <f>HYPERLINK("https://www.nba.com/game/...-vs-...-0022200902/play-by-play?watchFullGame=true", "LAC vs SAC - Q6 02:55.00")</f>
        <v>LAC vs SAC - Q6 02:55.00</v>
      </c>
      <c r="M61">
        <v>6.38</v>
      </c>
      <c r="N61">
        <v>5.17</v>
      </c>
      <c r="O61">
        <v>37.25</v>
      </c>
      <c r="P61">
        <v>64</v>
      </c>
      <c r="Q61">
        <v>-4</v>
      </c>
      <c r="R61">
        <v>5</v>
      </c>
      <c r="S61">
        <v>37</v>
      </c>
    </row>
    <row r="62" spans="1:19" hidden="1" x14ac:dyDescent="0.25">
      <c r="A62">
        <v>22300372</v>
      </c>
      <c r="B62" t="s">
        <v>18</v>
      </c>
      <c r="C62" t="s">
        <v>87</v>
      </c>
      <c r="D62">
        <v>83</v>
      </c>
      <c r="E62">
        <v>73</v>
      </c>
      <c r="F62">
        <v>10</v>
      </c>
      <c r="G62">
        <v>3</v>
      </c>
      <c r="H62" s="1">
        <v>2.8819444444444444E-3</v>
      </c>
      <c r="I62">
        <v>2023</v>
      </c>
      <c r="J62" t="s">
        <v>83</v>
      </c>
      <c r="K62" s="2" t="str">
        <f>HYPERLINK("https://www.nba.com/stats/events?CFID=&amp;CFPARAMS=&amp;GameEventID=418&amp;GameID=0022300372&amp;Season=2023-24&amp;flag=1&amp;title=Leonard%20driving%20Layup%20(20%20PTS)%20(R.%20Westbrook%203%20AST)", "Driving Layup (20 PTS) (R. Westbrook 3 AST)")</f>
        <v>Driving Layup (20 PTS) (R. Westbrook 3 AST)</v>
      </c>
      <c r="L62" s="2" t="str">
        <f>HYPERLINK("https://www.nba.com/game/...-vs-...-0022300372/play-by-play?watchFullGame=true", "LAC vs DAL - Q3 04:09.00")</f>
        <v>LAC vs DAL - Q3 04:09.00</v>
      </c>
      <c r="M62">
        <v>3.45</v>
      </c>
      <c r="N62">
        <v>6</v>
      </c>
      <c r="O62">
        <v>56.86</v>
      </c>
      <c r="P62">
        <v>-34</v>
      </c>
      <c r="Q62">
        <v>4</v>
      </c>
      <c r="R62">
        <v>5</v>
      </c>
      <c r="S62">
        <v>56</v>
      </c>
    </row>
    <row r="63" spans="1:19" hidden="1" x14ac:dyDescent="0.25">
      <c r="A63">
        <v>22200766</v>
      </c>
      <c r="B63" t="s">
        <v>18</v>
      </c>
      <c r="C63" t="s">
        <v>88</v>
      </c>
      <c r="D63">
        <v>50</v>
      </c>
      <c r="E63">
        <v>50</v>
      </c>
      <c r="F63">
        <v>0</v>
      </c>
      <c r="G63">
        <v>2</v>
      </c>
      <c r="H63" s="1">
        <v>1.6087962962962963E-3</v>
      </c>
      <c r="I63">
        <v>2022</v>
      </c>
      <c r="J63" t="s">
        <v>83</v>
      </c>
      <c r="K63" s="2" t="str">
        <f>HYPERLINK("https://www.nba.com/stats/events?CFID=&amp;CFPARAMS=&amp;GameEventID=259&amp;GameID=0022200766&amp;Season=2022-23&amp;flag=1&amp;title=Leonard%20running%20DUNK%20(11%20PTS)", "Running DUNK (11 PTS)")</f>
        <v>Running DUNK (11 PTS)</v>
      </c>
      <c r="L63" s="2" t="str">
        <f>HYPERLINK("https://www.nba.com/game/...-vs-...-0022200766/play-by-play?watchFullGame=true", "LAC vs CHI - Q2 02:19.00")</f>
        <v>LAC vs CHI - Q2 02:19.00</v>
      </c>
      <c r="M63">
        <v>1.0900000000000001</v>
      </c>
      <c r="N63">
        <v>5.08</v>
      </c>
      <c r="O63">
        <v>51.96</v>
      </c>
      <c r="P63">
        <v>-10</v>
      </c>
      <c r="Q63">
        <v>-5</v>
      </c>
      <c r="R63">
        <v>5</v>
      </c>
      <c r="S63">
        <v>51</v>
      </c>
    </row>
    <row r="64" spans="1:19" hidden="1" x14ac:dyDescent="0.25">
      <c r="A64">
        <v>22300964</v>
      </c>
      <c r="B64" t="s">
        <v>18</v>
      </c>
      <c r="C64" t="s">
        <v>87</v>
      </c>
      <c r="D64">
        <v>53</v>
      </c>
      <c r="E64">
        <v>62</v>
      </c>
      <c r="F64">
        <v>9</v>
      </c>
      <c r="G64">
        <v>3</v>
      </c>
      <c r="H64" s="1">
        <v>5.5092592592592589E-3</v>
      </c>
      <c r="I64">
        <v>2023</v>
      </c>
      <c r="J64" t="s">
        <v>83</v>
      </c>
      <c r="K64" s="2" t="str">
        <f>HYPERLINK("https://www.nba.com/stats/events?CFID=&amp;CFPARAMS=&amp;GameEventID=360&amp;GameID=0022300964&amp;Season=2023-24&amp;flag=1&amp;title=Leonard%20driving%20Layup%20(13%20PTS)", "Driving Layup (13 PTS)")</f>
        <v>Driving Layup (13 PTS)</v>
      </c>
      <c r="L64" s="2" t="str">
        <f>HYPERLINK("https://www.nba.com/game/...-vs-...-0022300964/play-by-play?watchFullGame=true", "LAC vs NOP - Q3 07:56.00")</f>
        <v>LAC vs NOP - Q3 07:56.00</v>
      </c>
      <c r="M64">
        <v>2.6</v>
      </c>
      <c r="N64">
        <v>5.21</v>
      </c>
      <c r="O64">
        <v>44.85</v>
      </c>
      <c r="P64">
        <v>26</v>
      </c>
      <c r="Q64">
        <v>-4</v>
      </c>
      <c r="R64">
        <v>5</v>
      </c>
      <c r="S64">
        <v>44</v>
      </c>
    </row>
    <row r="65" spans="1:19" hidden="1" x14ac:dyDescent="0.25">
      <c r="A65">
        <v>22200810</v>
      </c>
      <c r="B65" t="s">
        <v>18</v>
      </c>
      <c r="C65" t="s">
        <v>87</v>
      </c>
      <c r="D65">
        <v>67</v>
      </c>
      <c r="E65">
        <v>61</v>
      </c>
      <c r="F65">
        <v>6</v>
      </c>
      <c r="G65">
        <v>3</v>
      </c>
      <c r="H65" s="1">
        <v>6.6782407407407407E-3</v>
      </c>
      <c r="I65">
        <v>2022</v>
      </c>
      <c r="J65" t="s">
        <v>83</v>
      </c>
      <c r="K65" s="2" t="str">
        <f>HYPERLINK("https://www.nba.com/stats/events?CFID=&amp;CFPARAMS=&amp;GameEventID=320&amp;GameID=0022200810&amp;Season=2022-23&amp;flag=1&amp;title=Leonard%20driving%20Layup%20(11%20PTS)", "Driving Layup (11 PTS)")</f>
        <v>Driving Layup (11 PTS)</v>
      </c>
      <c r="L65" s="2" t="str">
        <f>HYPERLINK("https://www.nba.com/game/...-vs-...-0022200810/play-by-play?watchFullGame=true", "LAC vs BKN - Q3 09:37.00")</f>
        <v>LAC vs BKN - Q3 09:37.00</v>
      </c>
      <c r="M65">
        <v>2.6</v>
      </c>
      <c r="N65">
        <v>6</v>
      </c>
      <c r="O65">
        <v>44.85</v>
      </c>
      <c r="P65">
        <v>26</v>
      </c>
      <c r="Q65">
        <v>4</v>
      </c>
      <c r="R65">
        <v>5</v>
      </c>
      <c r="S65">
        <v>44</v>
      </c>
    </row>
    <row r="66" spans="1:19" hidden="1" x14ac:dyDescent="0.25">
      <c r="A66">
        <v>41900152</v>
      </c>
      <c r="B66" t="s">
        <v>18</v>
      </c>
      <c r="C66" t="s">
        <v>90</v>
      </c>
      <c r="D66">
        <v>4</v>
      </c>
      <c r="E66">
        <v>15</v>
      </c>
      <c r="F66">
        <v>11</v>
      </c>
      <c r="G66">
        <v>1</v>
      </c>
      <c r="H66" s="1">
        <v>4.6527777777777774E-3</v>
      </c>
      <c r="I66" t="s">
        <v>86</v>
      </c>
      <c r="J66" t="s">
        <v>83</v>
      </c>
      <c r="K66" s="2" t="str">
        <f>HYPERLINK("https://www.nba.com/stats/events?CFID=&amp;CFPARAMS=&amp;GameEventID=61&amp;GameID=0041900152&amp;Season=2019-20&amp;flag=1&amp;title=Leonard%20layup%20(2%20PTS)%20(L.%20Williams%201%20AST)", "Layup (2 PTS) (L. Williams 1 AST)")</f>
        <v>Layup (2 PTS) (L. Williams 1 AST)</v>
      </c>
      <c r="L66" s="2" t="str">
        <f>HYPERLINK("https://www.nba.com/game/...-vs-...-0041900152/play-by-play?watchFullGame=true", "LAC vs DAL - Q1 06:42.00")</f>
        <v>LAC vs DAL - Q1 06:42.00</v>
      </c>
      <c r="M66">
        <v>2.5499999999999998</v>
      </c>
      <c r="N66">
        <v>5.86</v>
      </c>
      <c r="O66">
        <v>45.17</v>
      </c>
      <c r="P66">
        <v>24</v>
      </c>
      <c r="Q66">
        <v>3</v>
      </c>
      <c r="R66">
        <v>5</v>
      </c>
      <c r="S66">
        <v>45</v>
      </c>
    </row>
    <row r="67" spans="1:19" hidden="1" x14ac:dyDescent="0.25">
      <c r="A67">
        <v>21900251</v>
      </c>
      <c r="B67" t="s">
        <v>18</v>
      </c>
      <c r="C67" t="s">
        <v>90</v>
      </c>
      <c r="D67">
        <v>59</v>
      </c>
      <c r="E67">
        <v>42</v>
      </c>
      <c r="F67">
        <v>17</v>
      </c>
      <c r="G67">
        <v>2</v>
      </c>
      <c r="H67" s="1">
        <v>1.3541666666666667E-3</v>
      </c>
      <c r="I67">
        <v>2019</v>
      </c>
      <c r="J67" t="s">
        <v>83</v>
      </c>
      <c r="K67" s="2" t="str">
        <f>HYPERLINK("https://www.nba.com/stats/events?CFID=&amp;CFPARAMS=&amp;GameEventID=324&amp;GameID=0021900251&amp;Season=2019-20&amp;flag=1&amp;title=Leonard%20layup%20(10%20PTS)%20(M.%20Harkless%202%20AST)", "Layup (10 PTS) (M. Harkless 2 AST)")</f>
        <v>Layup (10 PTS) (M. Harkless 2 AST)</v>
      </c>
      <c r="L67" s="2" t="str">
        <f>HYPERLINK("https://www.nba.com/game/...-vs-...-0021900251/play-by-play?watchFullGame=true", "LAC vs DAL - Q2 01:57.00")</f>
        <v>LAC vs DAL - Q2 01:57.00</v>
      </c>
      <c r="M67">
        <v>2.36</v>
      </c>
      <c r="N67">
        <v>6</v>
      </c>
      <c r="O67">
        <v>45.66</v>
      </c>
      <c r="P67">
        <v>22</v>
      </c>
      <c r="Q67">
        <v>4</v>
      </c>
      <c r="R67">
        <v>5</v>
      </c>
      <c r="S67">
        <v>45</v>
      </c>
    </row>
    <row r="68" spans="1:19" hidden="1" x14ac:dyDescent="0.25">
      <c r="A68">
        <v>22300473</v>
      </c>
      <c r="B68" t="s">
        <v>18</v>
      </c>
      <c r="C68" t="s">
        <v>87</v>
      </c>
      <c r="D68">
        <v>125</v>
      </c>
      <c r="E68">
        <v>114</v>
      </c>
      <c r="F68">
        <v>11</v>
      </c>
      <c r="G68">
        <v>4</v>
      </c>
      <c r="H68" s="1">
        <v>1.6319444444444445E-3</v>
      </c>
      <c r="I68">
        <v>2023</v>
      </c>
      <c r="J68" t="s">
        <v>83</v>
      </c>
      <c r="K68" s="2" t="str">
        <f>HYPERLINK("https://www.nba.com/stats/events?CFID=&amp;CFPARAMS=&amp;GameEventID=640&amp;GameID=0022300473&amp;Season=2023-24&amp;flag=1&amp;title=Leonard%20driving%20Layup%20(30%20PTS)", "Driving Layup (30 PTS)")</f>
        <v>Driving Layup (30 PTS)</v>
      </c>
      <c r="L68" s="2" t="str">
        <f>HYPERLINK("https://www.nba.com/game/...-vs-...-0022300473/play-by-play?watchFullGame=true", "LAC vs PHX - Q4 02:21.00")</f>
        <v>LAC vs PHX - Q4 02:21.00</v>
      </c>
      <c r="M68">
        <v>2.34</v>
      </c>
      <c r="N68">
        <v>5.34</v>
      </c>
      <c r="O68">
        <v>45.34</v>
      </c>
      <c r="P68">
        <v>23</v>
      </c>
      <c r="Q68">
        <v>-2</v>
      </c>
      <c r="R68">
        <v>5</v>
      </c>
      <c r="S68">
        <v>45</v>
      </c>
    </row>
    <row r="69" spans="1:19" hidden="1" x14ac:dyDescent="0.25">
      <c r="A69">
        <v>21901232</v>
      </c>
      <c r="B69" t="s">
        <v>18</v>
      </c>
      <c r="C69" t="s">
        <v>90</v>
      </c>
      <c r="D69">
        <v>9</v>
      </c>
      <c r="E69">
        <v>11</v>
      </c>
      <c r="F69">
        <v>2</v>
      </c>
      <c r="G69">
        <v>1</v>
      </c>
      <c r="H69" s="1">
        <v>5.4745370370370373E-3</v>
      </c>
      <c r="I69">
        <v>2019</v>
      </c>
      <c r="J69" t="s">
        <v>83</v>
      </c>
      <c r="K69" s="2" t="str">
        <f>HYPERLINK("https://www.nba.com/stats/events?CFID=&amp;CFPARAMS=&amp;GameEventID=55&amp;GameID=0021901232&amp;Season=2019-20&amp;flag=1&amp;title=Leonard%20layup%20(5%20PTS)", "Layup (5 PTS)")</f>
        <v>Layup (5 PTS)</v>
      </c>
      <c r="L69" s="2" t="str">
        <f>HYPERLINK("https://www.nba.com/game/...-vs-...-0021901232/play-by-play?watchFullGame=true", "LAC vs LAL - Q1 07:53.00")</f>
        <v>LAC vs LAL - Q1 07:53.00</v>
      </c>
      <c r="M69">
        <v>2.3199999999999998</v>
      </c>
      <c r="N69">
        <v>6</v>
      </c>
      <c r="O69">
        <v>54.24</v>
      </c>
      <c r="P69">
        <v>-21</v>
      </c>
      <c r="Q69">
        <v>4</v>
      </c>
      <c r="R69">
        <v>5</v>
      </c>
      <c r="S69">
        <v>54</v>
      </c>
    </row>
    <row r="70" spans="1:19" hidden="1" x14ac:dyDescent="0.25">
      <c r="A70">
        <v>22300264</v>
      </c>
      <c r="B70" t="s">
        <v>18</v>
      </c>
      <c r="C70" t="s">
        <v>87</v>
      </c>
      <c r="D70">
        <v>22</v>
      </c>
      <c r="E70">
        <v>16</v>
      </c>
      <c r="F70">
        <v>6</v>
      </c>
      <c r="G70">
        <v>1</v>
      </c>
      <c r="H70" s="1">
        <v>2.5578703703703705E-3</v>
      </c>
      <c r="I70">
        <v>2023</v>
      </c>
      <c r="J70" t="s">
        <v>83</v>
      </c>
      <c r="K70" s="2" t="str">
        <f>HYPERLINK("https://www.nba.com/stats/events?CFID=&amp;CFPARAMS=&amp;GameEventID=101&amp;GameID=0022300264&amp;Season=2023-24&amp;flag=1&amp;title=Leonard%20Layup%20(2%20PTS)", "Layup (2 PTS)")</f>
        <v>Layup (2 PTS)</v>
      </c>
      <c r="L70" s="2" t="str">
        <f>HYPERLINK("https://www.nba.com/game/...-vs-...-0022300264/play-by-play?watchFullGame=true", "LAC vs SAC - Q1 03:41.00")</f>
        <v>LAC vs SAC - Q1 03:41.00</v>
      </c>
      <c r="M70">
        <v>2.21</v>
      </c>
      <c r="N70">
        <v>5.47</v>
      </c>
      <c r="O70">
        <v>45.59</v>
      </c>
      <c r="P70">
        <v>22</v>
      </c>
      <c r="Q70">
        <v>-1</v>
      </c>
      <c r="R70">
        <v>5</v>
      </c>
      <c r="S70">
        <v>45</v>
      </c>
    </row>
    <row r="71" spans="1:19" hidden="1" x14ac:dyDescent="0.25">
      <c r="A71">
        <v>41900155</v>
      </c>
      <c r="B71" t="s">
        <v>18</v>
      </c>
      <c r="C71" t="s">
        <v>90</v>
      </c>
      <c r="D71">
        <v>33</v>
      </c>
      <c r="E71">
        <v>18</v>
      </c>
      <c r="F71">
        <v>15</v>
      </c>
      <c r="G71">
        <v>1</v>
      </c>
      <c r="H71" s="1">
        <v>2.8356481481481483E-3</v>
      </c>
      <c r="I71" t="s">
        <v>86</v>
      </c>
      <c r="J71" t="s">
        <v>83</v>
      </c>
      <c r="K71" s="2" t="str">
        <f>HYPERLINK("https://www.nba.com/stats/events?CFID=&amp;CFPARAMS=&amp;GameEventID=87&amp;GameID=0041900155&amp;Season=2019-20&amp;flag=1&amp;title=Leonard%20layup%20(13%20PTS)", "Layup (13 PTS)")</f>
        <v>Layup (13 PTS)</v>
      </c>
      <c r="L71" s="2" t="str">
        <f>HYPERLINK("https://www.nba.com/game/...-vs-...-0041900155/play-by-play?watchFullGame=true", "LAC vs DAL - Q1 04:05.00")</f>
        <v>LAC vs DAL - Q1 04:05.00</v>
      </c>
      <c r="M71">
        <v>2.0299999999999998</v>
      </c>
      <c r="N71">
        <v>5.34</v>
      </c>
      <c r="O71">
        <v>53.99</v>
      </c>
      <c r="P71">
        <v>-20</v>
      </c>
      <c r="Q71">
        <v>-2</v>
      </c>
      <c r="R71">
        <v>5</v>
      </c>
      <c r="S71">
        <v>53</v>
      </c>
    </row>
    <row r="72" spans="1:19" hidden="1" x14ac:dyDescent="0.25">
      <c r="A72">
        <v>22000400</v>
      </c>
      <c r="B72" t="s">
        <v>18</v>
      </c>
      <c r="C72" t="s">
        <v>88</v>
      </c>
      <c r="D72">
        <v>80</v>
      </c>
      <c r="E72">
        <v>74</v>
      </c>
      <c r="F72">
        <v>6</v>
      </c>
      <c r="G72">
        <v>3</v>
      </c>
      <c r="H72" s="1">
        <v>2.9398148148148148E-3</v>
      </c>
      <c r="I72">
        <v>2020</v>
      </c>
      <c r="J72" t="s">
        <v>83</v>
      </c>
      <c r="K72" s="2" t="str">
        <f>HYPERLINK("https://www.nba.com/stats/events?CFID=&amp;CFPARAMS=&amp;GameEventID=387&amp;GameID=0022000400&amp;Season=2020-21&amp;flag=1&amp;title=Leonard%20cutting%20DUNK%20(22%20PTS)%20(I.%20Zubac%201%20AST)", "Cutting DUNK (22 PTS) (I. Zubac 1 AST)")</f>
        <v>Cutting DUNK (22 PTS) (I. Zubac 1 AST)</v>
      </c>
      <c r="L72" s="2" t="str">
        <f>HYPERLINK("https://www.nba.com/game/...-vs-...-0022000400/play-by-play?watchFullGame=true", "LAC vs CHI - Q3 04:14.00")</f>
        <v>LAC vs CHI - Q3 04:14.00</v>
      </c>
      <c r="M72">
        <v>0.74</v>
      </c>
      <c r="N72">
        <v>5.21</v>
      </c>
      <c r="O72">
        <v>51.29</v>
      </c>
      <c r="P72">
        <v>-6</v>
      </c>
      <c r="Q72">
        <v>-4</v>
      </c>
      <c r="R72">
        <v>5</v>
      </c>
      <c r="S72">
        <v>51</v>
      </c>
    </row>
    <row r="73" spans="1:19" hidden="1" x14ac:dyDescent="0.25">
      <c r="A73">
        <v>22300600</v>
      </c>
      <c r="B73" t="s">
        <v>18</v>
      </c>
      <c r="C73" t="s">
        <v>88</v>
      </c>
      <c r="D73">
        <v>49</v>
      </c>
      <c r="E73">
        <v>57</v>
      </c>
      <c r="F73">
        <v>8</v>
      </c>
      <c r="G73">
        <v>2</v>
      </c>
      <c r="H73" s="1">
        <v>7.291666666666667E-4</v>
      </c>
      <c r="I73">
        <v>2023</v>
      </c>
      <c r="J73" t="s">
        <v>83</v>
      </c>
      <c r="K73" s="2" t="str">
        <f>HYPERLINK("https://www.nba.com/stats/events?CFID=&amp;CFPARAMS=&amp;GameEventID=294&amp;GameID=0022300600&amp;Season=2023-24&amp;flag=1&amp;title=Leonard%20running%20DUNK%20(7%20PTS)", "Running DUNK (7 PTS)")</f>
        <v>Running DUNK (7 PTS)</v>
      </c>
      <c r="L73" s="2" t="str">
        <f>HYPERLINK("https://www.nba.com/game/...-vs-...-0022300600/play-by-play?watchFullGame=true", "LAC vs BKN - Q2 01:03.00")</f>
        <v>LAC vs BKN - Q2 01:03.00</v>
      </c>
      <c r="M73">
        <v>0.65</v>
      </c>
      <c r="N73">
        <v>5.83</v>
      </c>
      <c r="O73">
        <v>51.23</v>
      </c>
      <c r="P73">
        <v>-6</v>
      </c>
      <c r="Q73">
        <v>2</v>
      </c>
      <c r="R73">
        <v>5</v>
      </c>
      <c r="S73">
        <v>51</v>
      </c>
    </row>
    <row r="74" spans="1:19" hidden="1" x14ac:dyDescent="0.25">
      <c r="A74">
        <v>41900153</v>
      </c>
      <c r="B74" t="s">
        <v>18</v>
      </c>
      <c r="C74" t="s">
        <v>92</v>
      </c>
      <c r="D74">
        <v>50</v>
      </c>
      <c r="E74">
        <v>41</v>
      </c>
      <c r="F74">
        <v>9</v>
      </c>
      <c r="G74">
        <v>2</v>
      </c>
      <c r="H74" s="1">
        <v>2.7893518518518519E-3</v>
      </c>
      <c r="I74" t="s">
        <v>86</v>
      </c>
      <c r="J74" t="s">
        <v>83</v>
      </c>
      <c r="K74" s="2" t="str">
        <f>HYPERLINK("https://www.nba.com/stats/events?CFID=&amp;CFPARAMS=&amp;GameEventID=274&amp;GameID=0041900153&amp;Season=2019-20&amp;flag=1&amp;title=Leonard%20dunk%20(16%20PTS)", "Dunk (16 PTS)")</f>
        <v>Dunk (16 PTS)</v>
      </c>
      <c r="L74" s="2" t="str">
        <f>HYPERLINK("https://www.nba.com/game/...-vs-...-0041900153/play-by-play?watchFullGame=true", "LAC vs DAL - Q2 04:01.00")</f>
        <v>LAC vs DAL - Q2 04:01.00</v>
      </c>
      <c r="M74">
        <v>0.86</v>
      </c>
      <c r="N74">
        <v>5.73</v>
      </c>
      <c r="O74">
        <v>51.05</v>
      </c>
      <c r="P74">
        <v>-5</v>
      </c>
      <c r="Q74">
        <v>1</v>
      </c>
      <c r="R74">
        <v>5</v>
      </c>
      <c r="S74">
        <v>51</v>
      </c>
    </row>
    <row r="75" spans="1:19" hidden="1" x14ac:dyDescent="0.25">
      <c r="A75">
        <v>42000173</v>
      </c>
      <c r="B75" t="s">
        <v>18</v>
      </c>
      <c r="C75" t="s">
        <v>87</v>
      </c>
      <c r="D75">
        <v>107</v>
      </c>
      <c r="E75">
        <v>97</v>
      </c>
      <c r="F75">
        <v>10</v>
      </c>
      <c r="G75">
        <v>4</v>
      </c>
      <c r="H75" s="1">
        <v>3.6226851851851854E-3</v>
      </c>
      <c r="I75" t="s">
        <v>91</v>
      </c>
      <c r="J75" t="s">
        <v>83</v>
      </c>
      <c r="K75" s="2" t="str">
        <f>HYPERLINK("https://www.nba.com/stats/events?CFID=&amp;CFPARAMS=&amp;GameEventID=517&amp;GameID=0042000173&amp;Season=2020-21&amp;flag=1&amp;title=Leonard%20driving%20Layup%20(32%20PTS)", "Driving Layup (32 PTS)")</f>
        <v>Driving Layup (32 PTS)</v>
      </c>
      <c r="L75" s="2" t="str">
        <f>HYPERLINK("https://www.nba.com/game/...-vs-...-0042000173/play-by-play?watchFullGame=true", "LAC vs DAL - Q4 05:13.00")</f>
        <v>LAC vs DAL - Q4 05:13.00</v>
      </c>
      <c r="M75">
        <v>1.94</v>
      </c>
      <c r="N75">
        <v>5.73</v>
      </c>
      <c r="O75">
        <v>46.15</v>
      </c>
      <c r="P75">
        <v>5</v>
      </c>
      <c r="Q75">
        <v>46</v>
      </c>
      <c r="R75">
        <v>5</v>
      </c>
      <c r="S75">
        <v>46</v>
      </c>
    </row>
    <row r="76" spans="1:19" hidden="1" x14ac:dyDescent="0.25">
      <c r="A76">
        <v>21900626</v>
      </c>
      <c r="B76" t="s">
        <v>18</v>
      </c>
      <c r="C76" t="s">
        <v>90</v>
      </c>
      <c r="D76">
        <v>25</v>
      </c>
      <c r="E76">
        <v>24</v>
      </c>
      <c r="F76">
        <v>1</v>
      </c>
      <c r="G76">
        <v>1</v>
      </c>
      <c r="H76" s="1">
        <v>1.6435185185185185E-3</v>
      </c>
      <c r="I76">
        <v>2019</v>
      </c>
      <c r="J76" t="s">
        <v>83</v>
      </c>
      <c r="K76" s="2" t="str">
        <f>HYPERLINK("https://www.nba.com/stats/events?CFID=&amp;CFPARAMS=&amp;GameEventID=131&amp;GameID=0021900626&amp;Season=2019-20&amp;flag=1&amp;title=Leonard%20layup%20(14%20PTS)%20(P.%20Beverley%204%20AST)", "Layup (14 PTS) (P. Beverley 4 AST)")</f>
        <v>Layup (14 PTS) (P. Beverley 4 AST)</v>
      </c>
      <c r="L76" s="2" t="str">
        <f>HYPERLINK("https://www.nba.com/game/...-vs-...-0021900626/play-by-play?watchFullGame=true", "LAC vs NOP - Q1 02:22.00")</f>
        <v>LAC vs NOP - Q1 02:22.00</v>
      </c>
      <c r="M76">
        <v>1.93</v>
      </c>
      <c r="N76">
        <v>5.73</v>
      </c>
      <c r="O76">
        <v>46.39</v>
      </c>
      <c r="P76">
        <v>18</v>
      </c>
      <c r="Q76">
        <v>1</v>
      </c>
      <c r="R76">
        <v>5</v>
      </c>
      <c r="S76">
        <v>46</v>
      </c>
    </row>
    <row r="77" spans="1:19" hidden="1" x14ac:dyDescent="0.25">
      <c r="A77">
        <v>22000601</v>
      </c>
      <c r="B77" t="s">
        <v>18</v>
      </c>
      <c r="C77" t="s">
        <v>87</v>
      </c>
      <c r="D77">
        <v>54</v>
      </c>
      <c r="E77">
        <v>65</v>
      </c>
      <c r="F77">
        <v>11</v>
      </c>
      <c r="G77">
        <v>2</v>
      </c>
      <c r="H77" s="1">
        <v>5.9027777777777778E-4</v>
      </c>
      <c r="I77">
        <v>2020</v>
      </c>
      <c r="J77" t="s">
        <v>83</v>
      </c>
      <c r="K77" s="2" t="str">
        <f>HYPERLINK("https://www.nba.com/stats/events?CFID=&amp;CFPARAMS=&amp;GameEventID=317&amp;GameID=0022000601&amp;Season=2020-21&amp;flag=1&amp;title=Leonard%20driving%20Layup%20(16%20PTS)", "Driving Layup (16 PTS)")</f>
        <v>Driving Layup (16 PTS)</v>
      </c>
      <c r="L77" s="2" t="str">
        <f>HYPERLINK("https://www.nba.com/game/...-vs-...-0022000601/play-by-play?watchFullGame=true", "LAC vs NOP - Q2 00:51.00")</f>
        <v>LAC vs NOP - Q2 00:51.00</v>
      </c>
      <c r="M77">
        <v>1.57</v>
      </c>
      <c r="N77">
        <v>5.73</v>
      </c>
      <c r="O77">
        <v>46.88</v>
      </c>
      <c r="P77">
        <v>16</v>
      </c>
      <c r="Q77">
        <v>1</v>
      </c>
      <c r="R77">
        <v>5</v>
      </c>
      <c r="S77">
        <v>46</v>
      </c>
    </row>
    <row r="78" spans="1:19" hidden="1" x14ac:dyDescent="0.25">
      <c r="A78">
        <v>21900653</v>
      </c>
      <c r="B78" t="s">
        <v>18</v>
      </c>
      <c r="C78" t="s">
        <v>90</v>
      </c>
      <c r="D78">
        <v>57</v>
      </c>
      <c r="E78">
        <v>45</v>
      </c>
      <c r="F78">
        <v>12</v>
      </c>
      <c r="G78">
        <v>2</v>
      </c>
      <c r="H78" s="1">
        <v>5.6481481481481476E-4</v>
      </c>
      <c r="I78">
        <v>2019</v>
      </c>
      <c r="J78" t="s">
        <v>83</v>
      </c>
      <c r="K78" s="2" t="str">
        <f>HYPERLINK("https://www.nba.com/stats/events?CFID=&amp;CFPARAMS=&amp;GameEventID=345&amp;GameID=0021900653&amp;Season=2019-20&amp;flag=1&amp;title=Leonard%20layup%20(13%20PTS)%20(I.%20Zubac%201%20AST)", "Layup (13 PTS) (I. Zubac 1 AST)")</f>
        <v>Layup (13 PTS) (I. Zubac 1 AST)</v>
      </c>
      <c r="L78" s="2" t="str">
        <f>HYPERLINK("https://www.nba.com/game/...-vs-...-0021900653/play-by-play?watchFullGame=true", "LAC vs DAL - Q2 00:48.80")</f>
        <v>LAC vs DAL - Q2 00:48.80</v>
      </c>
      <c r="M78">
        <v>1.52</v>
      </c>
      <c r="N78">
        <v>6</v>
      </c>
      <c r="O78">
        <v>47.62</v>
      </c>
      <c r="P78">
        <v>12</v>
      </c>
      <c r="Q78">
        <v>4</v>
      </c>
      <c r="R78">
        <v>5</v>
      </c>
      <c r="S78">
        <v>47</v>
      </c>
    </row>
    <row r="79" spans="1:19" hidden="1" x14ac:dyDescent="0.25">
      <c r="A79">
        <v>22000387</v>
      </c>
      <c r="B79" t="s">
        <v>18</v>
      </c>
      <c r="C79" t="s">
        <v>88</v>
      </c>
      <c r="D79">
        <v>67</v>
      </c>
      <c r="E79">
        <v>64</v>
      </c>
      <c r="F79">
        <v>3</v>
      </c>
      <c r="G79">
        <v>3</v>
      </c>
      <c r="H79" s="1">
        <v>3.3564814814814816E-3</v>
      </c>
      <c r="I79">
        <v>2020</v>
      </c>
      <c r="J79" t="s">
        <v>83</v>
      </c>
      <c r="K79" s="2" t="str">
        <f>HYPERLINK("https://www.nba.com/stats/events?CFID=&amp;CFPARAMS=&amp;GameEventID=423&amp;GameID=0022000387&amp;Season=2020-21&amp;flag=1&amp;title=Leonard%20running%20alley-oop%20DUNK%20(19%20PTS)%20(T.%20Mann%201%20AST)", "Running alley-oop DUNK (19 PTS) (T. Mann 1 AST)")</f>
        <v>Running alley-oop DUNK (19 PTS) (T. Mann 1 AST)</v>
      </c>
      <c r="L79" s="2" t="str">
        <f>HYPERLINK("https://www.nba.com/game/...-vs-...-0022000387/play-by-play?watchFullGame=true", "LAC vs MIN - Q3 04:50.00")</f>
        <v>LAC vs MIN - Q3 04:50.00</v>
      </c>
      <c r="M79">
        <v>0.31</v>
      </c>
      <c r="N79">
        <v>5.86</v>
      </c>
      <c r="O79">
        <v>50.31</v>
      </c>
      <c r="P79">
        <v>-2</v>
      </c>
      <c r="Q79">
        <v>3</v>
      </c>
      <c r="R79">
        <v>5</v>
      </c>
      <c r="S79">
        <v>50</v>
      </c>
    </row>
    <row r="80" spans="1:19" hidden="1" x14ac:dyDescent="0.25">
      <c r="A80">
        <v>22000625</v>
      </c>
      <c r="B80" t="s">
        <v>18</v>
      </c>
      <c r="C80" t="s">
        <v>88</v>
      </c>
      <c r="D80">
        <v>53</v>
      </c>
      <c r="E80">
        <v>58</v>
      </c>
      <c r="F80">
        <v>5</v>
      </c>
      <c r="G80">
        <v>3</v>
      </c>
      <c r="H80" s="1">
        <v>7.3032407407407404E-3</v>
      </c>
      <c r="I80">
        <v>2020</v>
      </c>
      <c r="J80" t="s">
        <v>83</v>
      </c>
      <c r="K80" s="2" t="str">
        <f>HYPERLINK("https://www.nba.com/stats/events?CFID=&amp;CFPARAMS=&amp;GameEventID=355&amp;GameID=0022000625&amp;Season=2020-21&amp;flag=1&amp;title=Leonard%20driving%20DUNK%20(12%20PTS)", "Driving DUNK (12 PTS)")</f>
        <v>Driving DUNK (12 PTS)</v>
      </c>
      <c r="L80" s="2" t="str">
        <f>HYPERLINK("https://www.nba.com/game/...-vs-...-0022000625/play-by-play?watchFullGame=true", "LAC vs DAL - Q3 10:31.00")</f>
        <v>LAC vs DAL - Q3 10:31.00</v>
      </c>
      <c r="M80">
        <v>0.19</v>
      </c>
      <c r="N80">
        <v>5.47</v>
      </c>
      <c r="O80">
        <v>50.31</v>
      </c>
      <c r="P80">
        <v>-2</v>
      </c>
      <c r="Q80">
        <v>-1</v>
      </c>
      <c r="R80">
        <v>5</v>
      </c>
      <c r="S80">
        <v>50</v>
      </c>
    </row>
    <row r="81" spans="1:19" hidden="1" x14ac:dyDescent="0.25">
      <c r="A81">
        <v>22000720</v>
      </c>
      <c r="B81" t="s">
        <v>18</v>
      </c>
      <c r="C81" t="s">
        <v>87</v>
      </c>
      <c r="D81">
        <v>19</v>
      </c>
      <c r="E81">
        <v>10</v>
      </c>
      <c r="F81">
        <v>9</v>
      </c>
      <c r="G81">
        <v>1</v>
      </c>
      <c r="H81" s="1">
        <v>3.8773148148148148E-3</v>
      </c>
      <c r="I81">
        <v>2020</v>
      </c>
      <c r="J81" t="s">
        <v>83</v>
      </c>
      <c r="K81" s="2" t="str">
        <f>HYPERLINK("https://www.nba.com/stats/events?CFID=&amp;CFPARAMS=&amp;GameEventID=60&amp;GameID=0022000720&amp;Season=2020-21&amp;flag=1&amp;title=Leonard%20driving%20Layup%20(7%20PTS)%20(R.%20Jackson%202%20AST)", "Driving Layup (7 PTS) (R. Jackson 2 AST)")</f>
        <v>Driving Layup (7 PTS) (R. Jackson 2 AST)</v>
      </c>
      <c r="L81" s="2" t="str">
        <f>HYPERLINK("https://www.nba.com/game/...-vs-...-0022000720/play-by-play?watchFullGame=true", "LAC vs ORL - Q1 05:35.00")</f>
        <v>LAC vs ORL - Q1 05:35.00</v>
      </c>
      <c r="M81">
        <v>1.45</v>
      </c>
      <c r="N81">
        <v>5.73</v>
      </c>
      <c r="O81">
        <v>47.13</v>
      </c>
      <c r="P81">
        <v>14</v>
      </c>
      <c r="Q81">
        <v>1</v>
      </c>
      <c r="R81">
        <v>5</v>
      </c>
      <c r="S81">
        <v>47</v>
      </c>
    </row>
    <row r="82" spans="1:19" hidden="1" x14ac:dyDescent="0.25">
      <c r="A82">
        <v>22000061</v>
      </c>
      <c r="B82" t="s">
        <v>18</v>
      </c>
      <c r="C82" t="s">
        <v>87</v>
      </c>
      <c r="D82">
        <v>66</v>
      </c>
      <c r="E82">
        <v>46</v>
      </c>
      <c r="F82">
        <v>20</v>
      </c>
      <c r="G82">
        <v>2</v>
      </c>
      <c r="H82" s="1">
        <v>2.1875000000000002E-3</v>
      </c>
      <c r="I82">
        <v>2020</v>
      </c>
      <c r="J82" t="s">
        <v>83</v>
      </c>
      <c r="K82" s="2" t="str">
        <f>HYPERLINK("https://www.nba.com/stats/events?CFID=&amp;CFPARAMS=&amp;GameEventID=268&amp;GameID=0022000061&amp;Season=2020-21&amp;flag=1&amp;title=Leonard%20driving%20reverse%20Layup%20(11%20PTS)%20(N.%20Batum%201%20AST)", "Driving reverse Layup (11 PTS) (N. Batum 1 AST)")</f>
        <v>Driving reverse Layup (11 PTS) (N. Batum 1 AST)</v>
      </c>
      <c r="L82" s="2" t="str">
        <f>HYPERLINK("https://www.nba.com/game/...-vs-...-0022000061/play-by-play?watchFullGame=true", "LAC vs POR - Q2 03:09.00")</f>
        <v>LAC vs POR - Q2 03:09.00</v>
      </c>
      <c r="M82">
        <v>1.43</v>
      </c>
      <c r="N82">
        <v>6</v>
      </c>
      <c r="O82">
        <v>52.77</v>
      </c>
      <c r="P82">
        <v>-14</v>
      </c>
      <c r="Q82">
        <v>4</v>
      </c>
      <c r="R82">
        <v>5</v>
      </c>
      <c r="S82">
        <v>52</v>
      </c>
    </row>
    <row r="83" spans="1:19" hidden="1" x14ac:dyDescent="0.25">
      <c r="A83">
        <v>22201229</v>
      </c>
      <c r="B83" t="s">
        <v>18</v>
      </c>
      <c r="C83" t="s">
        <v>87</v>
      </c>
      <c r="D83">
        <v>119</v>
      </c>
      <c r="E83">
        <v>114</v>
      </c>
      <c r="F83">
        <v>5</v>
      </c>
      <c r="G83">
        <v>4</v>
      </c>
      <c r="H83" s="1">
        <v>2.2453703703703703E-4</v>
      </c>
      <c r="I83">
        <v>2022</v>
      </c>
      <c r="J83" t="s">
        <v>83</v>
      </c>
      <c r="K83" s="2" t="str">
        <f>HYPERLINK("https://www.nba.com/stats/events?CFID=&amp;CFPARAMS=&amp;GameEventID=649&amp;GameID=0022201229&amp;Season=2022-23&amp;flag=1&amp;title=Leonard%20driving%20Layup%20(25%20PTS)", "Driving Layup (25 PTS)")</f>
        <v>Driving Layup (25 PTS)</v>
      </c>
      <c r="L83" s="2" t="str">
        <f>HYPERLINK("https://www.nba.com/game/...-vs-...-0022201229/play-by-play?watchFullGame=true", "LAC vs PHX - Q4 00:19.40")</f>
        <v>LAC vs PHX - Q4 00:19.40</v>
      </c>
      <c r="M83">
        <v>1.41</v>
      </c>
      <c r="N83">
        <v>6</v>
      </c>
      <c r="O83">
        <v>52.7</v>
      </c>
      <c r="P83">
        <v>-13</v>
      </c>
      <c r="Q83">
        <v>4</v>
      </c>
      <c r="R83">
        <v>5</v>
      </c>
      <c r="S83">
        <v>52</v>
      </c>
    </row>
    <row r="84" spans="1:19" hidden="1" x14ac:dyDescent="0.25">
      <c r="A84">
        <v>22201162</v>
      </c>
      <c r="B84" t="s">
        <v>18</v>
      </c>
      <c r="C84" t="s">
        <v>87</v>
      </c>
      <c r="D84">
        <v>114</v>
      </c>
      <c r="E84">
        <v>121</v>
      </c>
      <c r="F84">
        <v>7</v>
      </c>
      <c r="G84">
        <v>4</v>
      </c>
      <c r="H84" s="1">
        <v>9.0277777777777774E-5</v>
      </c>
      <c r="I84">
        <v>2022</v>
      </c>
      <c r="J84" t="s">
        <v>83</v>
      </c>
      <c r="K84" s="2" t="str">
        <f>HYPERLINK("https://www.nba.com/stats/events?CFID=&amp;CFPARAMS=&amp;GameEventID=635&amp;GameID=0022201162&amp;Season=2022-23&amp;flag=1&amp;title=Leonard%20cutting%20Layup%20(40%20PTS)%20(R.%20Westbrook%209%20AST)", "Cutting Layup (40 PTS) (R. Westbrook 9 AST)")</f>
        <v>Cutting Layup (40 PTS) (R. Westbrook 9 AST)</v>
      </c>
      <c r="L84" s="2" t="str">
        <f>HYPERLINK("https://www.nba.com/game/...-vs-...-0022201162/play-by-play?watchFullGame=true", "LAC vs NOP - Q4 00:07.80")</f>
        <v>LAC vs NOP - Q4 00:07.80</v>
      </c>
      <c r="M84">
        <v>1.1100000000000001</v>
      </c>
      <c r="N84">
        <v>5.73</v>
      </c>
      <c r="O84">
        <v>47.79</v>
      </c>
      <c r="P84">
        <v>11</v>
      </c>
      <c r="Q84">
        <v>1</v>
      </c>
      <c r="R84">
        <v>5</v>
      </c>
      <c r="S84">
        <v>47</v>
      </c>
    </row>
    <row r="85" spans="1:19" hidden="1" x14ac:dyDescent="0.25">
      <c r="A85">
        <v>21900239</v>
      </c>
      <c r="B85" t="s">
        <v>18</v>
      </c>
      <c r="C85" t="s">
        <v>90</v>
      </c>
      <c r="D85">
        <v>119</v>
      </c>
      <c r="E85">
        <v>102</v>
      </c>
      <c r="F85">
        <v>17</v>
      </c>
      <c r="G85">
        <v>4</v>
      </c>
      <c r="H85" s="1">
        <v>3.449074074074074E-3</v>
      </c>
      <c r="I85">
        <v>2019</v>
      </c>
      <c r="J85" t="s">
        <v>83</v>
      </c>
      <c r="K85" s="2" t="str">
        <f>HYPERLINK("https://www.nba.com/stats/events?CFID=&amp;CFPARAMS=&amp;GameEventID=616&amp;GameID=0021900239&amp;Season=2019-20&amp;flag=1&amp;title=Leonard%20layup%20(24%20PTS)", "Layup (24 PTS)")</f>
        <v>Layup (24 PTS)</v>
      </c>
      <c r="L85" s="2" t="str">
        <f>HYPERLINK("https://www.nba.com/game/...-vs-...-0021900239/play-by-play?watchFullGame=true", "LAC vs NOP - Q4 04:58.00")</f>
        <v>LAC vs NOP - Q4 04:58.00</v>
      </c>
      <c r="M85">
        <v>1.0900000000000001</v>
      </c>
      <c r="N85">
        <v>5.44</v>
      </c>
      <c r="O85">
        <v>47.97</v>
      </c>
      <c r="P85">
        <v>10</v>
      </c>
      <c r="Q85">
        <v>-1</v>
      </c>
      <c r="R85">
        <v>5</v>
      </c>
      <c r="S85">
        <v>47</v>
      </c>
    </row>
    <row r="86" spans="1:19" hidden="1" x14ac:dyDescent="0.25">
      <c r="A86">
        <v>22300716</v>
      </c>
      <c r="B86" t="s">
        <v>18</v>
      </c>
      <c r="C86" t="s">
        <v>87</v>
      </c>
      <c r="D86">
        <v>124</v>
      </c>
      <c r="E86">
        <v>123</v>
      </c>
      <c r="F86">
        <v>1</v>
      </c>
      <c r="G86">
        <v>4</v>
      </c>
      <c r="H86" s="1">
        <v>3.3796296296296296E-3</v>
      </c>
      <c r="I86">
        <v>2023</v>
      </c>
      <c r="J86" t="s">
        <v>83</v>
      </c>
      <c r="K86" s="2" t="str">
        <f>HYPERLINK("https://www.nba.com/stats/events?CFID=&amp;CFPARAMS=&amp;GameEventID=582&amp;GameID=0022300716&amp;Season=2023-24&amp;flag=1&amp;title=Leonard%20putback%20Layup%20(28%20PTS)", "Putback Layup (28 PTS)")</f>
        <v>Putback Layup (28 PTS)</v>
      </c>
      <c r="L86" s="2" t="str">
        <f>HYPERLINK("https://www.nba.com/game/...-vs-...-0022300716/play-by-play?watchFullGame=true", "LAC vs ATL - Q4 04:52.00")</f>
        <v>LAC vs ATL - Q4 04:52.00</v>
      </c>
      <c r="M86">
        <v>0.93</v>
      </c>
      <c r="N86">
        <v>5.21</v>
      </c>
      <c r="O86">
        <v>48.28</v>
      </c>
      <c r="P86">
        <v>9</v>
      </c>
      <c r="Q86">
        <v>-4</v>
      </c>
      <c r="R86">
        <v>5</v>
      </c>
      <c r="S86">
        <v>48</v>
      </c>
    </row>
    <row r="87" spans="1:19" hidden="1" x14ac:dyDescent="0.25">
      <c r="A87">
        <v>21900626</v>
      </c>
      <c r="B87" t="s">
        <v>18</v>
      </c>
      <c r="C87" t="s">
        <v>90</v>
      </c>
      <c r="D87">
        <v>67</v>
      </c>
      <c r="E87">
        <v>70</v>
      </c>
      <c r="F87">
        <v>3</v>
      </c>
      <c r="G87">
        <v>2</v>
      </c>
      <c r="H87" s="1">
        <v>1.0532407407407407E-3</v>
      </c>
      <c r="I87">
        <v>2019</v>
      </c>
      <c r="J87" t="s">
        <v>83</v>
      </c>
      <c r="K87" s="2" t="str">
        <f>HYPERLINK("https://www.nba.com/stats/events?CFID=&amp;CFPARAMS=&amp;GameEventID=355&amp;GameID=0021900626&amp;Season=2019-20&amp;flag=1&amp;title=Leonard%20layup%20(21%20PTS)%20(P.%20Beverley%206%20AST)", "Layup (21 PTS) (P. Beverley 6 AST)")</f>
        <v>Layup (21 PTS) (P. Beverley 6 AST)</v>
      </c>
      <c r="L87" s="2" t="str">
        <f>HYPERLINK("https://www.nba.com/game/...-vs-...-0021900626/play-by-play?watchFullGame=true", "LAC vs NOP - Q2 01:31.00")</f>
        <v>LAC vs NOP - Q2 01:31.00</v>
      </c>
      <c r="M87">
        <v>0.9</v>
      </c>
      <c r="N87">
        <v>5.6</v>
      </c>
      <c r="O87">
        <v>48.6</v>
      </c>
      <c r="P87">
        <v>7</v>
      </c>
      <c r="Q87">
        <v>48</v>
      </c>
      <c r="R87">
        <v>5</v>
      </c>
      <c r="S87">
        <v>48</v>
      </c>
    </row>
    <row r="88" spans="1:19" hidden="1" x14ac:dyDescent="0.25">
      <c r="A88">
        <v>42000174</v>
      </c>
      <c r="B88" t="s">
        <v>18</v>
      </c>
      <c r="C88" t="s">
        <v>87</v>
      </c>
      <c r="D88">
        <v>88</v>
      </c>
      <c r="E88">
        <v>64</v>
      </c>
      <c r="F88">
        <v>24</v>
      </c>
      <c r="G88">
        <v>4</v>
      </c>
      <c r="H88" s="1">
        <v>6.1111111111111114E-3</v>
      </c>
      <c r="I88" t="s">
        <v>91</v>
      </c>
      <c r="J88" t="s">
        <v>83</v>
      </c>
      <c r="K88" s="2" t="str">
        <f>HYPERLINK("https://www.nba.com/stats/events?CFID=&amp;CFPARAMS=&amp;GameEventID=538&amp;GameID=0042000174&amp;Season=2020-21&amp;flag=1&amp;title=Leonard%20driving%20reverse%20Layup%20(29%20PTS)", "Driving reverse Layup (29 PTS)")</f>
        <v>Driving reverse Layup (29 PTS)</v>
      </c>
      <c r="L88" s="2" t="str">
        <f>HYPERLINK("https://www.nba.com/game/...-vs-...-0042000174/play-by-play?watchFullGame=true", "LAC vs DAL - Q4 08:48.00")</f>
        <v>LAC vs DAL - Q4 08:48.00</v>
      </c>
      <c r="M88">
        <v>0.78</v>
      </c>
      <c r="N88">
        <v>5.73</v>
      </c>
      <c r="O88">
        <v>51.54</v>
      </c>
      <c r="P88">
        <v>5</v>
      </c>
      <c r="Q88">
        <v>51</v>
      </c>
      <c r="R88">
        <v>5</v>
      </c>
      <c r="S88">
        <v>51</v>
      </c>
    </row>
    <row r="89" spans="1:19" hidden="1" x14ac:dyDescent="0.25">
      <c r="A89">
        <v>22300676</v>
      </c>
      <c r="B89" t="s">
        <v>18</v>
      </c>
      <c r="C89" t="s">
        <v>87</v>
      </c>
      <c r="D89">
        <v>71</v>
      </c>
      <c r="E89">
        <v>60</v>
      </c>
      <c r="F89">
        <v>11</v>
      </c>
      <c r="G89">
        <v>3</v>
      </c>
      <c r="H89" s="1">
        <v>7.3032407407407404E-3</v>
      </c>
      <c r="I89">
        <v>2023</v>
      </c>
      <c r="J89" t="s">
        <v>83</v>
      </c>
      <c r="K89" s="2" t="str">
        <f>HYPERLINK("https://www.nba.com/stats/events?CFID=&amp;CFPARAMS=&amp;GameEventID=326&amp;GameID=0022300676&amp;Season=2023-24&amp;flag=1&amp;title=Leonard%20putback%20Layup%20(21%20PTS)", "Putback Layup (21 PTS)")</f>
        <v>Putback Layup (21 PTS)</v>
      </c>
      <c r="L89" s="2" t="str">
        <f>HYPERLINK("https://www.nba.com/game/...-vs-...-0022300676/play-by-play?watchFullGame=true", "LAC vs WAS - Q3 10:31.00")</f>
        <v>LAC vs WAS - Q3 10:31.00</v>
      </c>
      <c r="M89">
        <v>0.74</v>
      </c>
      <c r="N89">
        <v>5.6</v>
      </c>
      <c r="O89">
        <v>48.53</v>
      </c>
      <c r="P89">
        <v>7</v>
      </c>
      <c r="Q89">
        <v>48</v>
      </c>
      <c r="R89">
        <v>5</v>
      </c>
      <c r="S89">
        <v>48</v>
      </c>
    </row>
    <row r="90" spans="1:19" hidden="1" x14ac:dyDescent="0.25">
      <c r="A90">
        <v>22200701</v>
      </c>
      <c r="B90" t="s">
        <v>18</v>
      </c>
      <c r="C90" t="s">
        <v>87</v>
      </c>
      <c r="D90">
        <v>65</v>
      </c>
      <c r="E90">
        <v>60</v>
      </c>
      <c r="F90">
        <v>5</v>
      </c>
      <c r="G90">
        <v>3</v>
      </c>
      <c r="H90" s="1">
        <v>4.8263888888888887E-3</v>
      </c>
      <c r="I90">
        <v>2022</v>
      </c>
      <c r="J90" t="s">
        <v>83</v>
      </c>
      <c r="K90" s="2" t="str">
        <f>HYPERLINK("https://www.nba.com/stats/events?CFID=&amp;CFPARAMS=&amp;GameEventID=371&amp;GameID=0022200701&amp;Season=2022-23&amp;flag=1&amp;title=Leonard%20running%20finger%20roll%20Layup%20(17%20PTS)%20(P.%20George%204%20AST)", "Running finger roll Layup (17 PTS) (P. George 4 AST)")</f>
        <v>Running finger roll Layup (17 PTS) (P. George 4 AST)</v>
      </c>
      <c r="L90" s="2" t="str">
        <f>HYPERLINK("https://www.nba.com/game/...-vs-...-0022200701/play-by-play?watchFullGame=true", "LAC vs DAL - Q3 06:57.00")</f>
        <v>LAC vs DAL - Q3 06:57.00</v>
      </c>
      <c r="M90">
        <v>0.72</v>
      </c>
      <c r="N90">
        <v>6</v>
      </c>
      <c r="O90">
        <v>51.23</v>
      </c>
      <c r="P90">
        <v>-6</v>
      </c>
      <c r="Q90">
        <v>4</v>
      </c>
      <c r="R90">
        <v>5</v>
      </c>
      <c r="S90">
        <v>51</v>
      </c>
    </row>
    <row r="91" spans="1:19" hidden="1" x14ac:dyDescent="0.25">
      <c r="A91">
        <v>22000400</v>
      </c>
      <c r="B91" t="s">
        <v>18</v>
      </c>
      <c r="C91" t="s">
        <v>87</v>
      </c>
      <c r="D91">
        <v>120</v>
      </c>
      <c r="E91">
        <v>99</v>
      </c>
      <c r="F91">
        <v>21</v>
      </c>
      <c r="G91">
        <v>4</v>
      </c>
      <c r="H91" s="1">
        <v>2.2337962962962962E-3</v>
      </c>
      <c r="I91">
        <v>2020</v>
      </c>
      <c r="J91" t="s">
        <v>83</v>
      </c>
      <c r="K91" s="2" t="str">
        <f>HYPERLINK("https://www.nba.com/stats/events?CFID=&amp;CFPARAMS=&amp;GameEventID=546&amp;GameID=0022000400&amp;Season=2020-21&amp;flag=1&amp;title=Leonard%20driving%20Layup%20(33%20PTS)", "Driving Layup (33 PTS)")</f>
        <v>Driving Layup (33 PTS)</v>
      </c>
      <c r="L91" s="2" t="str">
        <f>HYPERLINK("https://www.nba.com/game/...-vs-...-0022000400/play-by-play?watchFullGame=true", "LAC vs CHI - Q4 03:13.00")</f>
        <v>LAC vs CHI - Q4 03:13.00</v>
      </c>
      <c r="M91">
        <v>0.71</v>
      </c>
      <c r="N91">
        <v>5.73</v>
      </c>
      <c r="O91">
        <v>48.6</v>
      </c>
      <c r="P91">
        <v>7</v>
      </c>
      <c r="Q91">
        <v>1</v>
      </c>
      <c r="R91">
        <v>5</v>
      </c>
      <c r="S91">
        <v>48</v>
      </c>
    </row>
    <row r="92" spans="1:19" hidden="1" x14ac:dyDescent="0.25">
      <c r="A92">
        <v>22300716</v>
      </c>
      <c r="B92" t="s">
        <v>18</v>
      </c>
      <c r="C92" t="s">
        <v>87</v>
      </c>
      <c r="D92">
        <v>94</v>
      </c>
      <c r="E92">
        <v>96</v>
      </c>
      <c r="F92">
        <v>2</v>
      </c>
      <c r="G92">
        <v>3</v>
      </c>
      <c r="H92" s="1">
        <v>1.1458333333333333E-3</v>
      </c>
      <c r="I92">
        <v>2023</v>
      </c>
      <c r="J92" t="s">
        <v>83</v>
      </c>
      <c r="K92" s="2" t="str">
        <f>HYPERLINK("https://www.nba.com/stats/events?CFID=&amp;CFPARAMS=&amp;GameEventID=435&amp;GameID=0022300716&amp;Season=2023-24&amp;flag=1&amp;title=Leonard%20reverse%20Layup%20(22%20PTS)", "Reverse Layup (22 PTS)")</f>
        <v>Reverse Layup (22 PTS)</v>
      </c>
      <c r="L92" s="2" t="str">
        <f>HYPERLINK("https://www.nba.com/game/...-vs-...-0022300716/play-by-play?watchFullGame=true", "LAC vs ATL - Q3 01:39.00")</f>
        <v>LAC vs ATL - Q3 01:39.00</v>
      </c>
      <c r="M92">
        <v>0.63</v>
      </c>
      <c r="N92">
        <v>6</v>
      </c>
      <c r="O92">
        <v>49.02</v>
      </c>
      <c r="P92">
        <v>5</v>
      </c>
      <c r="Q92">
        <v>4</v>
      </c>
      <c r="R92">
        <v>5</v>
      </c>
      <c r="S92">
        <v>49</v>
      </c>
    </row>
    <row r="93" spans="1:19" hidden="1" x14ac:dyDescent="0.25">
      <c r="A93">
        <v>22400679</v>
      </c>
      <c r="B93" t="s">
        <v>18</v>
      </c>
      <c r="C93" t="s">
        <v>87</v>
      </c>
      <c r="D93">
        <v>95</v>
      </c>
      <c r="E93">
        <v>90</v>
      </c>
      <c r="F93">
        <v>5</v>
      </c>
      <c r="G93">
        <v>4</v>
      </c>
      <c r="H93" s="1">
        <v>5.7754629629629631E-3</v>
      </c>
      <c r="I93">
        <v>2024</v>
      </c>
      <c r="J93" t="s">
        <v>83</v>
      </c>
      <c r="K93" s="2" t="str">
        <f>HYPERLINK("https://www.nba.com/stats/events?CFID=&amp;CFPARAMS=&amp;GameEventID=549&amp;GameID=0022400679&amp;Season=2024-25&amp;flag=1&amp;title=Leonard%20driving%20Layup%20(19%20PTS)", "Driving Layup (19 PTS)")</f>
        <v>Driving Layup (19 PTS)</v>
      </c>
      <c r="L93" s="2" t="str">
        <f>HYPERLINK("https://www.nba.com/game/...-vs-...-0022400679/play-by-play?watchFullGame=true", "LAC vs CHA - Q4 08:19.00")</f>
        <v>LAC vs CHA - Q4 08:19.00</v>
      </c>
      <c r="M93">
        <v>0.55000000000000004</v>
      </c>
      <c r="N93">
        <v>5.86</v>
      </c>
      <c r="O93">
        <v>49.02</v>
      </c>
      <c r="P93">
        <v>5</v>
      </c>
      <c r="Q93">
        <v>3</v>
      </c>
      <c r="R93">
        <v>5</v>
      </c>
      <c r="S93">
        <v>49</v>
      </c>
    </row>
    <row r="94" spans="1:19" hidden="1" x14ac:dyDescent="0.25">
      <c r="A94">
        <v>22201069</v>
      </c>
      <c r="B94" t="s">
        <v>18</v>
      </c>
      <c r="C94" t="s">
        <v>87</v>
      </c>
      <c r="D94">
        <v>93</v>
      </c>
      <c r="E94">
        <v>83</v>
      </c>
      <c r="F94">
        <v>10</v>
      </c>
      <c r="G94">
        <v>3</v>
      </c>
      <c r="H94" s="1">
        <v>4.212962962962963E-4</v>
      </c>
      <c r="I94">
        <v>2022</v>
      </c>
      <c r="J94" t="s">
        <v>83</v>
      </c>
      <c r="K94" s="2" t="str">
        <f>HYPERLINK("https://www.nba.com/stats/events?CFID=&amp;CFPARAMS=&amp;GameEventID=473&amp;GameID=0022201069&amp;Season=2022-23&amp;flag=1&amp;title=Leonard%20driving%20Layup%20(19%20PTS)", "Driving Layup (19 PTS)")</f>
        <v>Driving Layup (19 PTS)</v>
      </c>
      <c r="L94" s="2" t="str">
        <f>HYPERLINK("https://www.nba.com/game/...-vs-...-0022201069/play-by-play?watchFullGame=true", "LAC vs POR - Q3 00:36.40")</f>
        <v>LAC vs POR - Q3 00:36.40</v>
      </c>
      <c r="M94">
        <v>0.54</v>
      </c>
      <c r="N94">
        <v>5.34</v>
      </c>
      <c r="O94">
        <v>49.02</v>
      </c>
      <c r="P94">
        <v>5</v>
      </c>
      <c r="Q94">
        <v>-2</v>
      </c>
      <c r="R94">
        <v>5</v>
      </c>
      <c r="S94">
        <v>49</v>
      </c>
    </row>
    <row r="95" spans="1:19" hidden="1" x14ac:dyDescent="0.25">
      <c r="A95">
        <v>22301052</v>
      </c>
      <c r="B95" t="s">
        <v>18</v>
      </c>
      <c r="C95" t="s">
        <v>87</v>
      </c>
      <c r="D95">
        <v>62</v>
      </c>
      <c r="E95">
        <v>64</v>
      </c>
      <c r="F95">
        <v>2</v>
      </c>
      <c r="G95">
        <v>3</v>
      </c>
      <c r="H95" s="1">
        <v>3.6805555555555554E-3</v>
      </c>
      <c r="I95">
        <v>2023</v>
      </c>
      <c r="J95" t="s">
        <v>83</v>
      </c>
      <c r="K95" s="2" t="str">
        <f>HYPERLINK("https://www.nba.com/stats/events?CFID=&amp;CFPARAMS=&amp;GameEventID=407&amp;GameID=0022301052&amp;Season=2023-24&amp;flag=1&amp;title=Leonard%20running%20Layup%20(5%20PTS)%20(J.%20Harden%2010%20AST)", "Running Layup (5 PTS) (J. Harden 10 AST)")</f>
        <v>Running Layup (5 PTS) (J. Harden 10 AST)</v>
      </c>
      <c r="L95" s="2" t="str">
        <f>HYPERLINK("https://www.nba.com/game/...-vs-...-0022301052/play-by-play?watchFullGame=true", "LAC vs PHI - Q3 05:18.00")</f>
        <v>LAC vs PHI - Q3 05:18.00</v>
      </c>
      <c r="M95">
        <v>0.43</v>
      </c>
      <c r="N95">
        <v>5.96</v>
      </c>
      <c r="O95">
        <v>49.51</v>
      </c>
      <c r="P95">
        <v>2</v>
      </c>
      <c r="Q95">
        <v>4</v>
      </c>
      <c r="R95">
        <v>5</v>
      </c>
      <c r="S95">
        <v>49</v>
      </c>
    </row>
    <row r="96" spans="1:19" hidden="1" x14ac:dyDescent="0.25">
      <c r="A96">
        <v>21900251</v>
      </c>
      <c r="B96" t="s">
        <v>18</v>
      </c>
      <c r="C96" t="s">
        <v>90</v>
      </c>
      <c r="D96">
        <v>10</v>
      </c>
      <c r="E96">
        <v>5</v>
      </c>
      <c r="F96">
        <v>5</v>
      </c>
      <c r="G96">
        <v>1</v>
      </c>
      <c r="H96" s="1">
        <v>6.030092592592593E-3</v>
      </c>
      <c r="I96">
        <v>2019</v>
      </c>
      <c r="J96" t="s">
        <v>83</v>
      </c>
      <c r="K96" s="2" t="str">
        <f>HYPERLINK("https://www.nba.com/stats/events?CFID=&amp;CFPARAMS=&amp;GameEventID=35&amp;GameID=0021900251&amp;Season=2019-20&amp;flag=1&amp;title=Leonard%20layup%20(2%20PTS)%20(P.%20Beverley%201%20AST)", "Layup (2 PTS) (P. Beverley 1 AST)")</f>
        <v>Layup (2 PTS) (P. Beverley 1 AST)</v>
      </c>
      <c r="L96" s="2" t="str">
        <f>HYPERLINK("https://www.nba.com/game/...-vs-...-0021900251/play-by-play?watchFullGame=true", "LAC vs DAL - Q1 08:41.00")</f>
        <v>LAC vs DAL - Q1 08:41.00</v>
      </c>
      <c r="M96">
        <v>0.43</v>
      </c>
      <c r="N96">
        <v>5.34</v>
      </c>
      <c r="O96">
        <v>50.56</v>
      </c>
      <c r="P96">
        <v>-3</v>
      </c>
      <c r="Q96">
        <v>-2</v>
      </c>
      <c r="R96">
        <v>5</v>
      </c>
      <c r="S96">
        <v>50</v>
      </c>
    </row>
    <row r="97" spans="1:19" hidden="1" x14ac:dyDescent="0.25">
      <c r="A97">
        <v>22000601</v>
      </c>
      <c r="B97" t="s">
        <v>18</v>
      </c>
      <c r="C97" t="s">
        <v>87</v>
      </c>
      <c r="D97">
        <v>52</v>
      </c>
      <c r="E97">
        <v>60</v>
      </c>
      <c r="F97">
        <v>8</v>
      </c>
      <c r="G97">
        <v>2</v>
      </c>
      <c r="H97" s="1">
        <v>1.2268518518518518E-3</v>
      </c>
      <c r="I97">
        <v>2020</v>
      </c>
      <c r="J97" t="s">
        <v>83</v>
      </c>
      <c r="K97" s="2" t="str">
        <f>HYPERLINK("https://www.nba.com/stats/events?CFID=&amp;CFPARAMS=&amp;GameEventID=298&amp;GameID=0022000601&amp;Season=2020-21&amp;flag=1&amp;title=Leonard%20running%20Layup%20(14%20PTS)%20(P.%20George%202%20AST)", "Running Layup (14 PTS) (P. George 2 AST)")</f>
        <v>Running Layup (14 PTS) (P. George 2 AST)</v>
      </c>
      <c r="L97" s="2" t="str">
        <f>HYPERLINK("https://www.nba.com/game/...-vs-...-0022000601/play-by-play?watchFullGame=true", "LAC vs NOP - Q2 01:46.00")</f>
        <v>LAC vs NOP - Q2 01:46.00</v>
      </c>
      <c r="M97">
        <v>0.39</v>
      </c>
      <c r="N97">
        <v>5.21</v>
      </c>
      <c r="O97">
        <v>50.31</v>
      </c>
      <c r="P97">
        <v>-2</v>
      </c>
      <c r="Q97">
        <v>-4</v>
      </c>
      <c r="R97">
        <v>5</v>
      </c>
      <c r="S97">
        <v>50</v>
      </c>
    </row>
    <row r="98" spans="1:19" hidden="1" x14ac:dyDescent="0.25">
      <c r="A98">
        <v>22200766</v>
      </c>
      <c r="B98" t="s">
        <v>18</v>
      </c>
      <c r="C98" t="s">
        <v>88</v>
      </c>
      <c r="D98">
        <v>9</v>
      </c>
      <c r="E98">
        <v>18</v>
      </c>
      <c r="F98">
        <v>9</v>
      </c>
      <c r="G98">
        <v>1</v>
      </c>
      <c r="H98" s="1">
        <v>4.0277777777777777E-3</v>
      </c>
      <c r="I98">
        <v>2022</v>
      </c>
      <c r="J98" t="s">
        <v>83</v>
      </c>
      <c r="K98" s="2" t="str">
        <f>HYPERLINK("https://www.nba.com/stats/events?CFID=&amp;CFPARAMS=&amp;GameEventID=64&amp;GameID=0022200766&amp;Season=2022-23&amp;flag=1&amp;title=Leonard%20DUNK%20(5%20PTS)%20(L.%20Kennard%201%20AST)", "DUNK (5 PTS) (L. Kennard 1 AST)")</f>
        <v>DUNK (5 PTS) (L. Kennard 1 AST)</v>
      </c>
      <c r="L98" s="2" t="str">
        <f>HYPERLINK("https://www.nba.com/game/...-vs-...-0022200766/play-by-play?watchFullGame=true", "LAC vs CHI - Q1 05:48.00")</f>
        <v>LAC vs CHI - Q1 05:48.00</v>
      </c>
      <c r="M98">
        <v>0.28999999999999998</v>
      </c>
      <c r="N98">
        <v>5.86</v>
      </c>
      <c r="O98">
        <v>49.75</v>
      </c>
      <c r="P98">
        <v>1</v>
      </c>
      <c r="Q98">
        <v>3</v>
      </c>
      <c r="R98">
        <v>5</v>
      </c>
      <c r="S98">
        <v>49</v>
      </c>
    </row>
    <row r="99" spans="1:19" hidden="1" x14ac:dyDescent="0.25">
      <c r="A99">
        <v>22000605</v>
      </c>
      <c r="B99" t="s">
        <v>18</v>
      </c>
      <c r="C99" t="s">
        <v>88</v>
      </c>
      <c r="D99">
        <v>96</v>
      </c>
      <c r="E99">
        <v>87</v>
      </c>
      <c r="F99">
        <v>9</v>
      </c>
      <c r="G99">
        <v>4</v>
      </c>
      <c r="H99" s="1">
        <v>5.0694444444444441E-3</v>
      </c>
      <c r="I99">
        <v>2020</v>
      </c>
      <c r="J99" t="s">
        <v>83</v>
      </c>
      <c r="K99" s="2" t="str">
        <f>HYPERLINK("https://www.nba.com/stats/events?CFID=&amp;CFPARAMS=&amp;GameEventID=462&amp;GameID=0022000605&amp;Season=2020-21&amp;flag=1&amp;title=Leonard%20driving%20DUNK%20(15%20PTS)", "Driving DUNK (15 PTS)")</f>
        <v>Driving DUNK (15 PTS)</v>
      </c>
      <c r="L99" s="2" t="str">
        <f>HYPERLINK("https://www.nba.com/game/...-vs-...-0022000605/play-by-play?watchFullGame=true", "LAC vs DAL - Q4 07:18.00")</f>
        <v>LAC vs DAL - Q4 07:18.00</v>
      </c>
      <c r="M99">
        <v>0.17</v>
      </c>
      <c r="N99">
        <v>5.73</v>
      </c>
      <c r="O99">
        <v>49.82</v>
      </c>
      <c r="P99">
        <v>1</v>
      </c>
      <c r="Q99">
        <v>1</v>
      </c>
      <c r="R99">
        <v>5</v>
      </c>
      <c r="S99">
        <v>49</v>
      </c>
    </row>
    <row r="100" spans="1:19" hidden="1" x14ac:dyDescent="0.25">
      <c r="A100">
        <v>22300716</v>
      </c>
      <c r="B100" t="s">
        <v>18</v>
      </c>
      <c r="C100" t="s">
        <v>87</v>
      </c>
      <c r="D100">
        <v>133</v>
      </c>
      <c r="E100">
        <v>128</v>
      </c>
      <c r="F100">
        <v>5</v>
      </c>
      <c r="G100">
        <v>4</v>
      </c>
      <c r="H100" s="1">
        <v>1.6550925925925926E-3</v>
      </c>
      <c r="I100">
        <v>2023</v>
      </c>
      <c r="J100" t="s">
        <v>83</v>
      </c>
      <c r="K100" s="2" t="str">
        <f>HYPERLINK("https://www.nba.com/stats/events?CFID=&amp;CFPARAMS=&amp;GameEventID=610&amp;GameID=0022300716&amp;Season=2023-24&amp;flag=1&amp;title=Leonard%20cutting%20Layup%20(30%20PTS)%20(R.%20Westbrook%203%20AST)", "Cutting Layup (30 PTS) (R. Westbrook 3 AST)")</f>
        <v>Cutting Layup (30 PTS) (R. Westbrook 3 AST)</v>
      </c>
      <c r="L100" s="2" t="str">
        <f>HYPERLINK("https://www.nba.com/game/...-vs-...-0022300716/play-by-play?watchFullGame=true", "LAC vs ATL - Q4 02:23.00")</f>
        <v>LAC vs ATL - Q4 02:23.00</v>
      </c>
      <c r="M100">
        <v>0.28999999999999998</v>
      </c>
      <c r="N100">
        <v>5.86</v>
      </c>
      <c r="O100">
        <v>49.75</v>
      </c>
      <c r="P100">
        <v>1</v>
      </c>
      <c r="Q100">
        <v>3</v>
      </c>
      <c r="R100">
        <v>5</v>
      </c>
      <c r="S100">
        <v>49</v>
      </c>
    </row>
    <row r="101" spans="1:19" hidden="1" x14ac:dyDescent="0.25">
      <c r="A101">
        <v>22300151</v>
      </c>
      <c r="B101" t="s">
        <v>18</v>
      </c>
      <c r="C101" t="s">
        <v>87</v>
      </c>
      <c r="D101">
        <v>59</v>
      </c>
      <c r="E101">
        <v>56</v>
      </c>
      <c r="F101">
        <v>3</v>
      </c>
      <c r="G101">
        <v>3</v>
      </c>
      <c r="H101" s="1">
        <v>5.3009259259259259E-3</v>
      </c>
      <c r="I101">
        <v>2023</v>
      </c>
      <c r="J101" t="s">
        <v>83</v>
      </c>
      <c r="K101" s="2" t="str">
        <f>HYPERLINK("https://www.nba.com/stats/events?CFID=&amp;CFPARAMS=&amp;GameEventID=333&amp;GameID=0022300151&amp;Season=2023-24&amp;flag=1&amp;title=Leonard%20running%20Layup%20(11%20PTS)%20(J.%20Harden%205%20AST)", "Running Layup (11 PTS) (J. Harden 5 AST)")</f>
        <v>Running Layup (11 PTS) (J. Harden 5 AST)</v>
      </c>
      <c r="L101" s="2" t="str">
        <f>HYPERLINK("https://www.nba.com/game/...-vs-...-0022300151/play-by-play?watchFullGame=true", "LAC vs NYK - Q3 07:38.00")</f>
        <v>LAC vs NYK - Q3 07:38.00</v>
      </c>
      <c r="M101">
        <v>0.26</v>
      </c>
      <c r="N101">
        <v>5.86</v>
      </c>
      <c r="O101">
        <v>50</v>
      </c>
      <c r="P101">
        <v>5</v>
      </c>
      <c r="Q101">
        <v>3</v>
      </c>
      <c r="R101">
        <v>5</v>
      </c>
      <c r="S101">
        <v>50</v>
      </c>
    </row>
    <row r="102" spans="1:19" hidden="1" x14ac:dyDescent="0.25">
      <c r="A102">
        <v>22400697</v>
      </c>
      <c r="B102" t="s">
        <v>18</v>
      </c>
      <c r="C102" t="s">
        <v>87</v>
      </c>
      <c r="D102">
        <v>69</v>
      </c>
      <c r="E102">
        <v>72</v>
      </c>
      <c r="F102">
        <v>3</v>
      </c>
      <c r="G102">
        <v>3</v>
      </c>
      <c r="H102" s="1">
        <v>4.0277777777777777E-3</v>
      </c>
      <c r="I102">
        <v>2024</v>
      </c>
      <c r="J102" t="s">
        <v>83</v>
      </c>
      <c r="K102" s="2" t="str">
        <f>HYPERLINK("https://www.nba.com/stats/events?CFID=&amp;CFPARAMS=&amp;GameEventID=391&amp;GameID=0022400697&amp;Season=2024-25&amp;flag=1&amp;title=Leonard%20cutting%20Layup%20(11%20PTS)%20(J.%20Harden%205%20AST)", "Cutting Layup (11 PTS) (J. Harden 5 AST)")</f>
        <v>Cutting Layup (11 PTS) (J. Harden 5 AST)</v>
      </c>
      <c r="L102" s="2" t="str">
        <f>HYPERLINK("https://www.nba.com/game/...-vs-...-0022400697/play-by-play?watchFullGame=true", "LAC vs TOR - Q3 05:48.00")</f>
        <v>LAC vs TOR - Q3 05:48.00</v>
      </c>
      <c r="M102">
        <v>0.23</v>
      </c>
      <c r="N102">
        <v>5.34</v>
      </c>
      <c r="O102">
        <v>50</v>
      </c>
      <c r="P102">
        <v>5</v>
      </c>
      <c r="Q102">
        <v>-2</v>
      </c>
      <c r="R102">
        <v>5</v>
      </c>
      <c r="S102">
        <v>50</v>
      </c>
    </row>
    <row r="103" spans="1:19" hidden="1" x14ac:dyDescent="0.25">
      <c r="A103">
        <v>22000867</v>
      </c>
      <c r="B103" t="s">
        <v>18</v>
      </c>
      <c r="C103" t="s">
        <v>87</v>
      </c>
      <c r="D103">
        <v>81</v>
      </c>
      <c r="E103">
        <v>56</v>
      </c>
      <c r="F103">
        <v>25</v>
      </c>
      <c r="G103">
        <v>3</v>
      </c>
      <c r="H103" s="1">
        <v>6.4930555555555557E-3</v>
      </c>
      <c r="I103">
        <v>2020</v>
      </c>
      <c r="J103" t="s">
        <v>83</v>
      </c>
      <c r="K103" s="2" t="str">
        <f>HYPERLINK("https://www.nba.com/stats/events?CFID=&amp;CFPARAMS=&amp;GameEventID=378&amp;GameID=0022000867&amp;Season=2020-21&amp;flag=1&amp;title=Leonard%20running%20alley-oop%20Layup%20(12%20PTS)%20(R.%20Jackson%204%20AST)", "Running alley-oop Layup (12 PTS) (R. Jackson 4 AST)")</f>
        <v>Running alley-oop Layup (12 PTS) (R. Jackson 4 AST)</v>
      </c>
      <c r="L103" s="2" t="str">
        <f>HYPERLINK("https://www.nba.com/game/...-vs-...-0022000867/play-by-play?watchFullGame=true", "LAC vs MIN - Q3 09:21.00")</f>
        <v>LAC vs MIN - Q3 09:21.00</v>
      </c>
      <c r="M103">
        <v>0.21</v>
      </c>
      <c r="N103">
        <v>5.73</v>
      </c>
      <c r="O103">
        <v>50.31</v>
      </c>
      <c r="P103">
        <v>-2</v>
      </c>
      <c r="Q103">
        <v>1</v>
      </c>
      <c r="R103">
        <v>5</v>
      </c>
      <c r="S103">
        <v>50</v>
      </c>
    </row>
    <row r="104" spans="1:19" hidden="1" x14ac:dyDescent="0.25">
      <c r="A104">
        <v>22000625</v>
      </c>
      <c r="B104" t="s">
        <v>18</v>
      </c>
      <c r="C104" t="s">
        <v>88</v>
      </c>
      <c r="D104">
        <v>81</v>
      </c>
      <c r="E104">
        <v>91</v>
      </c>
      <c r="F104">
        <v>10</v>
      </c>
      <c r="G104">
        <v>4</v>
      </c>
      <c r="H104" s="1">
        <v>3.6342592592592594E-3</v>
      </c>
      <c r="I104">
        <v>2020</v>
      </c>
      <c r="J104" t="s">
        <v>83</v>
      </c>
      <c r="K104" s="2" t="str">
        <f>HYPERLINK("https://www.nba.com/stats/events?CFID=&amp;CFPARAMS=&amp;GameEventID=562&amp;GameID=0022000625&amp;Season=2020-21&amp;flag=1&amp;title=Leonard%20running%20DUNK%20(20%20PTS)", "Running DUNK (20 PTS)")</f>
        <v>Running DUNK (20 PTS)</v>
      </c>
      <c r="L104" s="2" t="str">
        <f>HYPERLINK("https://www.nba.com/game/...-vs-...-0022000625/play-by-play?watchFullGame=true", "LAC vs DAL - Q4 05:14.00")</f>
        <v>LAC vs DAL - Q4 05:14.00</v>
      </c>
      <c r="M104">
        <v>0.42</v>
      </c>
      <c r="N104">
        <v>5.86</v>
      </c>
      <c r="O104">
        <v>49.33</v>
      </c>
      <c r="P104">
        <v>3</v>
      </c>
      <c r="Q104">
        <v>3</v>
      </c>
      <c r="R104">
        <v>5</v>
      </c>
      <c r="S104">
        <v>49</v>
      </c>
    </row>
    <row r="105" spans="1:19" hidden="1" x14ac:dyDescent="0.25">
      <c r="A105">
        <v>21900436</v>
      </c>
      <c r="B105" t="s">
        <v>18</v>
      </c>
      <c r="C105" t="s">
        <v>92</v>
      </c>
      <c r="D105">
        <v>70</v>
      </c>
      <c r="E105">
        <v>59</v>
      </c>
      <c r="F105">
        <v>11</v>
      </c>
      <c r="G105">
        <v>2</v>
      </c>
      <c r="H105" s="1">
        <v>5.2777777777777784E-4</v>
      </c>
      <c r="I105">
        <v>2019</v>
      </c>
      <c r="J105" t="s">
        <v>83</v>
      </c>
      <c r="K105" s="2" t="str">
        <f>HYPERLINK("https://www.nba.com/stats/events?CFID=&amp;CFPARAMS=&amp;GameEventID=312&amp;GameID=0021900436&amp;Season=2019-20&amp;flag=1&amp;title=Leonard%20dunk%20(18%20PTS)", "Dunk (18 PTS)")</f>
        <v>Dunk (18 PTS)</v>
      </c>
      <c r="L105" s="2" t="str">
        <f>HYPERLINK("https://www.nba.com/game/...-vs-...-0021900436/play-by-play?watchFullGame=true", "LAC vs SAS - Q2 00:45.60")</f>
        <v>LAC vs SAS - Q2 00:45.60</v>
      </c>
      <c r="M105" t="s">
        <v>21</v>
      </c>
      <c r="N105">
        <v>5</v>
      </c>
      <c r="O105">
        <v>50</v>
      </c>
      <c r="P105">
        <v>5</v>
      </c>
      <c r="Q105">
        <v>-6</v>
      </c>
      <c r="R105">
        <v>5</v>
      </c>
      <c r="S105">
        <v>50</v>
      </c>
    </row>
    <row r="106" spans="1:19" hidden="1" x14ac:dyDescent="0.25">
      <c r="A106">
        <v>22300865</v>
      </c>
      <c r="B106" t="s">
        <v>18</v>
      </c>
      <c r="C106" t="s">
        <v>88</v>
      </c>
      <c r="D106">
        <v>94</v>
      </c>
      <c r="E106">
        <v>69</v>
      </c>
      <c r="F106">
        <v>25</v>
      </c>
      <c r="G106">
        <v>3</v>
      </c>
      <c r="H106" s="1">
        <v>4.0393518518518521E-3</v>
      </c>
      <c r="I106">
        <v>2023</v>
      </c>
      <c r="J106" t="s">
        <v>83</v>
      </c>
      <c r="K106" s="2" t="str">
        <f>HYPERLINK("https://www.nba.com/stats/events?CFID=&amp;CFPARAMS=&amp;GameEventID=398&amp;GameID=0022300865&amp;Season=2023-24&amp;flag=1&amp;title=Leonard%20tip%20DUNK%20(15%20PTS)", "Tip DUNK (15 PTS)")</f>
        <v>Tip DUNK (15 PTS)</v>
      </c>
      <c r="L106" s="2" t="str">
        <f>HYPERLINK("https://www.nba.com/game/...-vs-...-0022300865/play-by-play?watchFullGame=true", "LAC vs WAS - Q3 05:49.00")</f>
        <v>LAC vs WAS - Q3 05:49.00</v>
      </c>
      <c r="M106" t="s">
        <v>21</v>
      </c>
      <c r="N106">
        <v>5.59</v>
      </c>
      <c r="O106">
        <v>50</v>
      </c>
      <c r="P106">
        <v>5</v>
      </c>
      <c r="Q106">
        <v>50</v>
      </c>
      <c r="R106">
        <v>5</v>
      </c>
      <c r="S106">
        <v>50</v>
      </c>
    </row>
    <row r="107" spans="1:19" hidden="1" x14ac:dyDescent="0.25">
      <c r="A107">
        <v>22300956</v>
      </c>
      <c r="B107" t="s">
        <v>18</v>
      </c>
      <c r="C107" t="s">
        <v>88</v>
      </c>
      <c r="D107">
        <v>11</v>
      </c>
      <c r="E107">
        <v>5</v>
      </c>
      <c r="F107">
        <v>6</v>
      </c>
      <c r="G107">
        <v>1</v>
      </c>
      <c r="H107" s="1">
        <v>4.8958333333333336E-3</v>
      </c>
      <c r="I107">
        <v>2023</v>
      </c>
      <c r="J107" t="s">
        <v>83</v>
      </c>
      <c r="K107" s="2" t="str">
        <f>HYPERLINK("https://www.nba.com/stats/events?CFID=&amp;CFPARAMS=&amp;GameEventID=51&amp;GameID=0022300956&amp;Season=2023-24&amp;flag=1&amp;title=Leonard%20tip%20DUNK%20(4%20PTS)", "Tip DUNK (4 PTS)")</f>
        <v>Tip DUNK (4 PTS)</v>
      </c>
      <c r="L107" s="2" t="str">
        <f>HYPERLINK("https://www.nba.com/game/...-vs-...-0022300956/play-by-play?watchFullGame=true", "LAC vs CHI - Q1 07:03.00")</f>
        <v>LAC vs CHI - Q1 07:03.00</v>
      </c>
      <c r="M107" t="s">
        <v>21</v>
      </c>
      <c r="N107">
        <v>5.59</v>
      </c>
      <c r="O107">
        <v>50</v>
      </c>
      <c r="P107">
        <v>5</v>
      </c>
      <c r="Q107">
        <v>50</v>
      </c>
      <c r="R107">
        <v>5</v>
      </c>
      <c r="S107">
        <v>50</v>
      </c>
    </row>
    <row r="108" spans="1:19" hidden="1" x14ac:dyDescent="0.25">
      <c r="A108">
        <v>21900485</v>
      </c>
      <c r="B108" t="s">
        <v>18</v>
      </c>
      <c r="C108" t="s">
        <v>92</v>
      </c>
      <c r="D108">
        <v>56</v>
      </c>
      <c r="E108">
        <v>52</v>
      </c>
      <c r="F108">
        <v>4</v>
      </c>
      <c r="G108">
        <v>2</v>
      </c>
      <c r="H108" s="1">
        <v>2.0717592592592593E-3</v>
      </c>
      <c r="I108">
        <v>2019</v>
      </c>
      <c r="J108" t="s">
        <v>83</v>
      </c>
      <c r="K108" s="2" t="str">
        <f>HYPERLINK("https://www.nba.com/stats/events?CFID=&amp;CFPARAMS=&amp;GameEventID=276&amp;GameID=0021900485&amp;Season=2019-20&amp;flag=1&amp;title=Leonard%20dunk%20(9%20PTS)%20(M.%20Harkless%201%20AST)", "Dunk (9 PTS) (M. Harkless 1 AST)")</f>
        <v>Dunk (9 PTS) (M. Harkless 1 AST)</v>
      </c>
      <c r="L108" s="2" t="str">
        <f>HYPERLINK("https://www.nba.com/game/...-vs-...-0021900485/play-by-play?watchFullGame=true", "LAC vs UTA - Q2 02:59.00")</f>
        <v>LAC vs UTA - Q2 02:59.00</v>
      </c>
      <c r="M108">
        <v>0.84</v>
      </c>
      <c r="N108">
        <v>5.7</v>
      </c>
      <c r="O108">
        <v>48.95</v>
      </c>
      <c r="P108">
        <v>5</v>
      </c>
      <c r="Q108">
        <v>1</v>
      </c>
      <c r="R108">
        <v>5</v>
      </c>
      <c r="S108">
        <v>48</v>
      </c>
    </row>
    <row r="109" spans="1:19" hidden="1" x14ac:dyDescent="0.25">
      <c r="A109">
        <v>42000176</v>
      </c>
      <c r="B109" t="s">
        <v>18</v>
      </c>
      <c r="C109" t="s">
        <v>88</v>
      </c>
      <c r="D109">
        <v>60</v>
      </c>
      <c r="E109">
        <v>62</v>
      </c>
      <c r="F109">
        <v>2</v>
      </c>
      <c r="G109">
        <v>3</v>
      </c>
      <c r="H109" s="1">
        <v>4.9305555555555552E-3</v>
      </c>
      <c r="I109" t="s">
        <v>91</v>
      </c>
      <c r="J109" t="s">
        <v>83</v>
      </c>
      <c r="K109" s="2" t="str">
        <f>HYPERLINK("https://www.nba.com/stats/events?CFID=&amp;CFPARAMS=&amp;GameEventID=374&amp;GameID=0042000176&amp;Season=2020-21&amp;flag=1&amp;title=Leonard%20reverse%20DUNK%20(20%20PTS)%20(N.%20Batum%203%20AST)", "Reverse DUNK (20 PTS) (N. Batum 3 AST)")</f>
        <v>Reverse DUNK (20 PTS) (N. Batum 3 AST)</v>
      </c>
      <c r="L109" s="2" t="str">
        <f>HYPERLINK("https://www.nba.com/game/...-vs-...-0042000176/play-by-play?watchFullGame=true", "LAC vs DAL - Q3 07:06.00")</f>
        <v>LAC vs DAL - Q3 07:06.00</v>
      </c>
      <c r="M109">
        <v>0.69</v>
      </c>
      <c r="N109">
        <v>5.34</v>
      </c>
      <c r="O109">
        <v>51.29</v>
      </c>
      <c r="P109">
        <v>5</v>
      </c>
      <c r="Q109">
        <v>51</v>
      </c>
      <c r="R109">
        <v>5</v>
      </c>
      <c r="S109">
        <v>51</v>
      </c>
    </row>
    <row r="110" spans="1:19" hidden="1" x14ac:dyDescent="0.25">
      <c r="A110">
        <v>42000172</v>
      </c>
      <c r="B110" t="s">
        <v>18</v>
      </c>
      <c r="C110" t="s">
        <v>88</v>
      </c>
      <c r="D110">
        <v>111</v>
      </c>
      <c r="E110">
        <v>118</v>
      </c>
      <c r="F110">
        <v>7</v>
      </c>
      <c r="G110">
        <v>4</v>
      </c>
      <c r="H110" s="1">
        <v>1.6666666666666668E-3</v>
      </c>
      <c r="I110" t="s">
        <v>91</v>
      </c>
      <c r="J110" t="s">
        <v>83</v>
      </c>
      <c r="K110" s="2" t="str">
        <f>HYPERLINK("https://www.nba.com/stats/events?CFID=&amp;CFPARAMS=&amp;GameEventID=589&amp;GameID=0042000172&amp;Season=2020-21&amp;flag=1&amp;title=Leonard%20driving%20DUNK%20(38%20PTS)", "Driving DUNK (38 PTS)")</f>
        <v>Driving DUNK (38 PTS)</v>
      </c>
      <c r="L110" s="2" t="str">
        <f>HYPERLINK("https://www.nba.com/game/...-vs-...-0042000172/play-by-play?watchFullGame=true", "LAC vs DAL - Q4 02:24.00")</f>
        <v>LAC vs DAL - Q4 02:24.00</v>
      </c>
      <c r="M110">
        <v>0.57999999999999996</v>
      </c>
      <c r="N110">
        <v>5.6</v>
      </c>
      <c r="O110">
        <v>48.84</v>
      </c>
      <c r="P110">
        <v>5</v>
      </c>
      <c r="Q110">
        <v>48</v>
      </c>
      <c r="R110">
        <v>5</v>
      </c>
      <c r="S110">
        <v>48</v>
      </c>
    </row>
    <row r="111" spans="1:19" hidden="1" x14ac:dyDescent="0.25">
      <c r="A111">
        <v>42300173</v>
      </c>
      <c r="B111" t="s">
        <v>18</v>
      </c>
      <c r="C111" t="s">
        <v>88</v>
      </c>
      <c r="D111">
        <v>51</v>
      </c>
      <c r="E111">
        <v>63</v>
      </c>
      <c r="F111">
        <v>12</v>
      </c>
      <c r="G111">
        <v>3</v>
      </c>
      <c r="H111" s="1">
        <v>4.6527777777777774E-3</v>
      </c>
      <c r="I111" t="s">
        <v>93</v>
      </c>
      <c r="J111" t="s">
        <v>83</v>
      </c>
      <c r="K111" s="2" t="str">
        <f>HYPERLINK("https://www.nba.com/stats/events?CFID=&amp;CFPARAMS=&amp;GameEventID=389&amp;GameID=0042300173&amp;Season=2023-24&amp;flag=1&amp;title=Leonard%20running%20alley-oop%20DUNK%20(7%20PTS)%20(P.%20George%203%20AST)", "Running alley-oop DUNK (7 PTS) (P. George 3 AST)")</f>
        <v>Running alley-oop DUNK (7 PTS) (P. George 3 AST)</v>
      </c>
      <c r="L111" s="2" t="str">
        <f>HYPERLINK("https://www.nba.com/game/...-vs-...-0042300173/play-by-play?watchFullGame=true", "LAC vs DAL - Q3 06:42.00")</f>
        <v>LAC vs DAL - Q3 06:42.00</v>
      </c>
      <c r="M111">
        <v>0.41</v>
      </c>
      <c r="N111">
        <v>6</v>
      </c>
      <c r="O111">
        <v>50.25</v>
      </c>
      <c r="P111">
        <v>5</v>
      </c>
      <c r="Q111">
        <v>50</v>
      </c>
      <c r="R111">
        <v>5</v>
      </c>
      <c r="S111">
        <v>50</v>
      </c>
    </row>
    <row r="112" spans="1:19" hidden="1" x14ac:dyDescent="0.25">
      <c r="A112">
        <v>22200438</v>
      </c>
      <c r="B112" t="s">
        <v>18</v>
      </c>
      <c r="C112" t="s">
        <v>88</v>
      </c>
      <c r="D112">
        <v>47</v>
      </c>
      <c r="E112">
        <v>53</v>
      </c>
      <c r="F112">
        <v>6</v>
      </c>
      <c r="G112">
        <v>2</v>
      </c>
      <c r="H112" s="1">
        <v>1.0763888888888889E-3</v>
      </c>
      <c r="I112">
        <v>2022</v>
      </c>
      <c r="J112" t="s">
        <v>83</v>
      </c>
      <c r="K112" s="2" t="str">
        <f>HYPERLINK("https://www.nba.com/stats/events?CFID=&amp;CFPARAMS=&amp;GameEventID=286&amp;GameID=0022200438&amp;Season=2022-23&amp;flag=1&amp;title=Leonard%20running%20DUNK%20(15%20PTS)", "Running DUNK (15 PTS)")</f>
        <v>Running DUNK (15 PTS)</v>
      </c>
      <c r="L112" s="2" t="str">
        <f>HYPERLINK("https://www.nba.com/game/...-vs-...-0022200438/play-by-play?watchFullGame=true", "LAC vs WAS - Q2 01:33.00")</f>
        <v>LAC vs WAS - Q2 01:33.00</v>
      </c>
      <c r="M112">
        <v>0.35</v>
      </c>
      <c r="N112">
        <v>5.96</v>
      </c>
      <c r="O112">
        <v>50</v>
      </c>
      <c r="P112">
        <v>5</v>
      </c>
      <c r="Q112">
        <v>4</v>
      </c>
      <c r="R112">
        <v>5</v>
      </c>
      <c r="S112">
        <v>50</v>
      </c>
    </row>
    <row r="113" spans="1:19" hidden="1" x14ac:dyDescent="0.25">
      <c r="A113">
        <v>22300807</v>
      </c>
      <c r="B113" t="s">
        <v>18</v>
      </c>
      <c r="C113" t="s">
        <v>88</v>
      </c>
      <c r="D113">
        <v>48</v>
      </c>
      <c r="E113">
        <v>50</v>
      </c>
      <c r="F113">
        <v>2</v>
      </c>
      <c r="G113">
        <v>2</v>
      </c>
      <c r="H113" s="1">
        <v>2.2337962962962962E-3</v>
      </c>
      <c r="I113">
        <v>2023</v>
      </c>
      <c r="J113" t="s">
        <v>83</v>
      </c>
      <c r="K113" s="2" t="str">
        <f>HYPERLINK("https://www.nba.com/stats/events?CFID=&amp;CFPARAMS=&amp;GameEventID=285&amp;GameID=0022300807&amp;Season=2023-24&amp;flag=1&amp;title=Leonard%20driving%20DUNK%20(10%20PTS)%20(J.%20Harden%205%20AST)", "Driving DUNK (10 PTS) (J. Harden 5 AST)")</f>
        <v>Driving DUNK (10 PTS) (J. Harden 5 AST)</v>
      </c>
      <c r="L113" s="2" t="str">
        <f>HYPERLINK("https://www.nba.com/game/...-vs-...-0022300807/play-by-play?watchFullGame=true", "LAC vs MEM - Q2 03:13.00")</f>
        <v>LAC vs MEM - Q2 03:13.00</v>
      </c>
      <c r="M113">
        <v>0.26</v>
      </c>
      <c r="N113">
        <v>5.86</v>
      </c>
      <c r="O113">
        <v>50</v>
      </c>
      <c r="P113">
        <v>5</v>
      </c>
      <c r="Q113">
        <v>3</v>
      </c>
      <c r="R113">
        <v>5</v>
      </c>
      <c r="S113">
        <v>50</v>
      </c>
    </row>
    <row r="114" spans="1:19" hidden="1" x14ac:dyDescent="0.25">
      <c r="A114">
        <v>22000701</v>
      </c>
      <c r="B114" t="s">
        <v>18</v>
      </c>
      <c r="C114" t="s">
        <v>88</v>
      </c>
      <c r="D114">
        <v>64</v>
      </c>
      <c r="E114">
        <v>59</v>
      </c>
      <c r="F114">
        <v>5</v>
      </c>
      <c r="G114">
        <v>2</v>
      </c>
      <c r="H114" s="1">
        <v>7.291666666666667E-4</v>
      </c>
      <c r="I114">
        <v>2020</v>
      </c>
      <c r="J114" t="s">
        <v>83</v>
      </c>
      <c r="K114" s="2" t="str">
        <f>HYPERLINK("https://www.nba.com/stats/events?CFID=&amp;CFPARAMS=&amp;GameEventID=291&amp;GameID=0022000701&amp;Season=2020-21&amp;flag=1&amp;title=Leonard%20driving%20DUNK%20(19%20PTS)%20(P.%20George%205%20AST)", "Driving DUNK (19 PTS) (P. George 5 AST)")</f>
        <v>Driving DUNK (19 PTS) (P. George 5 AST)</v>
      </c>
      <c r="L114" s="2" t="str">
        <f>HYPERLINK("https://www.nba.com/game/...-vs-...-0022000701/play-by-play?watchFullGame=true", "LAC vs PHI - Q2 01:03.00")</f>
        <v>LAC vs PHI - Q2 01:03.00</v>
      </c>
      <c r="M114">
        <v>0.04</v>
      </c>
      <c r="N114">
        <v>5.57</v>
      </c>
      <c r="O114">
        <v>49.93</v>
      </c>
      <c r="P114">
        <v>5</v>
      </c>
      <c r="Q114">
        <v>49</v>
      </c>
      <c r="R114">
        <v>5</v>
      </c>
      <c r="S114">
        <v>49</v>
      </c>
    </row>
    <row r="115" spans="1:19" hidden="1" x14ac:dyDescent="0.25">
      <c r="A115">
        <v>22000625</v>
      </c>
      <c r="B115" t="s">
        <v>18</v>
      </c>
      <c r="C115" t="s">
        <v>88</v>
      </c>
      <c r="D115">
        <v>73</v>
      </c>
      <c r="E115">
        <v>82</v>
      </c>
      <c r="F115">
        <v>9</v>
      </c>
      <c r="G115">
        <v>4</v>
      </c>
      <c r="H115" s="1">
        <v>6.1574074074074074E-3</v>
      </c>
      <c r="I115">
        <v>2020</v>
      </c>
      <c r="J115" t="s">
        <v>83</v>
      </c>
      <c r="K115" s="2" t="str">
        <f>HYPERLINK("https://www.nba.com/stats/events?CFID=&amp;CFPARAMS=&amp;GameEventID=525&amp;GameID=0022000625&amp;Season=2020-21&amp;flag=1&amp;title=Leonard%20driving%20DUNK%20(16%20PTS)%20(P.%20George%205%20AST)", "Driving DUNK (16 PTS) (P. George 5 AST)")</f>
        <v>Driving DUNK (16 PTS) (P. George 5 AST)</v>
      </c>
      <c r="L115" s="2" t="str">
        <f>HYPERLINK("https://www.nba.com/game/...-vs-...-0022000625/play-by-play?watchFullGame=true", "LAC vs DAL - Q4 08:52.00")</f>
        <v>LAC vs DAL - Q4 08:52.00</v>
      </c>
      <c r="M115">
        <v>0.04</v>
      </c>
      <c r="N115">
        <v>5.6</v>
      </c>
      <c r="O115">
        <v>50.07</v>
      </c>
      <c r="P115">
        <v>5</v>
      </c>
      <c r="Q115">
        <v>50</v>
      </c>
      <c r="R115">
        <v>5</v>
      </c>
      <c r="S115">
        <v>50</v>
      </c>
    </row>
    <row r="116" spans="1:19" hidden="1" x14ac:dyDescent="0.25">
      <c r="A116">
        <v>22200885</v>
      </c>
      <c r="B116" t="s">
        <v>18</v>
      </c>
      <c r="C116" t="s">
        <v>88</v>
      </c>
      <c r="D116">
        <v>111</v>
      </c>
      <c r="E116">
        <v>103</v>
      </c>
      <c r="F116">
        <v>8</v>
      </c>
      <c r="G116">
        <v>4</v>
      </c>
      <c r="H116" s="1">
        <v>1.3773148148148147E-3</v>
      </c>
      <c r="I116">
        <v>2022</v>
      </c>
      <c r="J116" t="s">
        <v>83</v>
      </c>
      <c r="K116" s="2" t="str">
        <f>HYPERLINK("https://www.nba.com/stats/events?CFID=&amp;CFPARAMS=&amp;GameEventID=642&amp;GameID=0022200885&amp;Season=2022-23&amp;flag=1&amp;title=Leonard%20driving%20DUNK%20(13%20PTS)%20(E.%20Gordon%207%20AST)", "Driving DUNK (13 PTS) (E. Gordon 7 AST)")</f>
        <v>Driving DUNK (13 PTS) (E. Gordon 7 AST)</v>
      </c>
      <c r="L116" s="2" t="str">
        <f>HYPERLINK("https://www.nba.com/game/...-vs-...-0022200885/play-by-play?watchFullGame=true", "LAC vs PHX - Q4 01:59.00")</f>
        <v>LAC vs PHX - Q4 01:59.00</v>
      </c>
      <c r="M116">
        <v>0.75</v>
      </c>
      <c r="N116">
        <v>5.73</v>
      </c>
      <c r="O116">
        <v>48.53</v>
      </c>
      <c r="P116">
        <v>7</v>
      </c>
      <c r="Q116">
        <v>1</v>
      </c>
      <c r="R116">
        <v>5</v>
      </c>
      <c r="S116">
        <v>48</v>
      </c>
    </row>
    <row r="117" spans="1:19" hidden="1" x14ac:dyDescent="0.25">
      <c r="A117">
        <v>41900154</v>
      </c>
      <c r="B117" t="s">
        <v>18</v>
      </c>
      <c r="C117" t="s">
        <v>92</v>
      </c>
      <c r="D117">
        <v>4</v>
      </c>
      <c r="E117">
        <v>2</v>
      </c>
      <c r="F117">
        <v>2</v>
      </c>
      <c r="G117">
        <v>1</v>
      </c>
      <c r="H117" s="1">
        <v>7.060185185185185E-3</v>
      </c>
      <c r="I117" t="s">
        <v>86</v>
      </c>
      <c r="J117" t="s">
        <v>83</v>
      </c>
      <c r="K117" s="2" t="str">
        <f>HYPERLINK("https://www.nba.com/stats/events?CFID=&amp;CFPARAMS=&amp;GameEventID=26&amp;GameID=0041900154&amp;Season=2019-20&amp;flag=1&amp;title=Leonard%20dunk%20(2%20PTS)%20(M.%20Morris%20Sr.%201%20AST)", "Dunk (2 PTS) (M. Morris Sr. 1 AST)")</f>
        <v>Dunk (2 PTS) (M. Morris Sr. 1 AST)</v>
      </c>
      <c r="L117" s="2" t="str">
        <f>HYPERLINK("https://www.nba.com/game/...-vs-...-0041900154/play-by-play?watchFullGame=true", "LAC vs DAL - Q1 10:10.00")</f>
        <v>LAC vs DAL - Q1 10:10.00</v>
      </c>
      <c r="M117">
        <v>1.1100000000000001</v>
      </c>
      <c r="N117">
        <v>5.6</v>
      </c>
      <c r="O117">
        <v>48.11</v>
      </c>
      <c r="P117">
        <v>9</v>
      </c>
      <c r="Q117">
        <v>48</v>
      </c>
      <c r="R117">
        <v>5</v>
      </c>
      <c r="S117">
        <v>48</v>
      </c>
    </row>
    <row r="118" spans="1:19" hidden="1" x14ac:dyDescent="0.25">
      <c r="A118">
        <v>22300716</v>
      </c>
      <c r="B118" t="s">
        <v>18</v>
      </c>
      <c r="C118" t="s">
        <v>88</v>
      </c>
      <c r="D118">
        <v>118</v>
      </c>
      <c r="E118">
        <v>115</v>
      </c>
      <c r="F118">
        <v>3</v>
      </c>
      <c r="G118">
        <v>4</v>
      </c>
      <c r="H118" s="1">
        <v>4.7222222222222223E-3</v>
      </c>
      <c r="I118">
        <v>2023</v>
      </c>
      <c r="J118" t="s">
        <v>83</v>
      </c>
      <c r="K118" s="2" t="str">
        <f>HYPERLINK("https://www.nba.com/stats/events?CFID=&amp;CFPARAMS=&amp;GameEventID=556&amp;GameID=0022300716&amp;Season=2023-24&amp;flag=1&amp;title=Leonard%20driving%20DUNK%20(25%20PTS)", "Driving DUNK (25 PTS)")</f>
        <v>Driving DUNK (25 PTS)</v>
      </c>
      <c r="L118" s="2" t="str">
        <f>HYPERLINK("https://www.nba.com/game/...-vs-...-0022300716/play-by-play?watchFullGame=true", "LAC vs ATL - Q4 06:48.00")</f>
        <v>LAC vs ATL - Q4 06:48.00</v>
      </c>
      <c r="M118">
        <v>0.89</v>
      </c>
      <c r="N118">
        <v>5.34</v>
      </c>
      <c r="O118">
        <v>48.28</v>
      </c>
      <c r="P118">
        <v>9</v>
      </c>
      <c r="Q118">
        <v>-2</v>
      </c>
      <c r="R118">
        <v>5</v>
      </c>
      <c r="S118">
        <v>48</v>
      </c>
    </row>
    <row r="119" spans="1:19" hidden="1" x14ac:dyDescent="0.25">
      <c r="A119">
        <v>22200687</v>
      </c>
      <c r="B119" t="s">
        <v>18</v>
      </c>
      <c r="C119" t="s">
        <v>88</v>
      </c>
      <c r="D119">
        <v>88</v>
      </c>
      <c r="E119">
        <v>90</v>
      </c>
      <c r="F119">
        <v>2</v>
      </c>
      <c r="G119">
        <v>3</v>
      </c>
      <c r="H119" s="1">
        <v>3.1018518518518517E-3</v>
      </c>
      <c r="I119">
        <v>2022</v>
      </c>
      <c r="J119" t="s">
        <v>83</v>
      </c>
      <c r="K119" s="2" t="str">
        <f>HYPERLINK("https://www.nba.com/stats/events?CFID=&amp;CFPARAMS=&amp;GameEventID=367&amp;GameID=0022200687&amp;Season=2022-23&amp;flag=1&amp;title=Leonard%20driving%20DUNK%20(27%20PTS)%20(M.%20Morris%20Sr.%203%20AST)", "Driving DUNK (27 PTS) (M. Morris Sr. 3 AST)")</f>
        <v>Driving DUNK (27 PTS) (M. Morris Sr. 3 AST)</v>
      </c>
      <c r="L119" s="2" t="str">
        <f>HYPERLINK("https://www.nba.com/game/...-vs-...-0022200687/play-by-play?watchFullGame=true", "LAC vs SAS - Q3 04:28.00")</f>
        <v>LAC vs SAS - Q3 04:28.00</v>
      </c>
      <c r="M119">
        <v>1.48</v>
      </c>
      <c r="N119">
        <v>5.73</v>
      </c>
      <c r="O119">
        <v>47.06</v>
      </c>
      <c r="P119">
        <v>15</v>
      </c>
      <c r="Q119">
        <v>1</v>
      </c>
      <c r="R119">
        <v>5</v>
      </c>
      <c r="S119">
        <v>47</v>
      </c>
    </row>
    <row r="120" spans="1:19" hidden="1" x14ac:dyDescent="0.25">
      <c r="A120">
        <v>22000077</v>
      </c>
      <c r="B120" t="s">
        <v>26</v>
      </c>
      <c r="C120" t="s">
        <v>19</v>
      </c>
      <c r="D120">
        <v>5</v>
      </c>
      <c r="E120">
        <v>5</v>
      </c>
      <c r="F120">
        <v>0</v>
      </c>
      <c r="G120">
        <v>1</v>
      </c>
      <c r="H120" s="1">
        <v>6.5046296296296293E-3</v>
      </c>
      <c r="I120">
        <v>2020</v>
      </c>
      <c r="J120" t="s">
        <v>83</v>
      </c>
      <c r="K120" s="2" t="str">
        <f>HYPERLINK("https://www.nba.com/stats/events?CFID=&amp;CFPARAMS=&amp;GameEventID=25&amp;GameID=0022000077&amp;Season=2020-21&amp;flag=1&amp;title=Leonard%203PT%20%20(5%20PTS)%20(P.%20George%201%20AST)", "3PT  (5 PTS) (P. George 1 AST)")</f>
        <v>3PT  (5 PTS) (P. George 1 AST)</v>
      </c>
      <c r="L120" s="2" t="str">
        <f>HYPERLINK("https://www.nba.com/game/...-vs-...-0022000077/play-by-play?watchFullGame=true", "LAC vs UTA - Q1 09:22.00")</f>
        <v>LAC vs UTA - Q1 09:22.00</v>
      </c>
      <c r="M120">
        <v>23.51</v>
      </c>
      <c r="N120">
        <v>6.52</v>
      </c>
      <c r="O120">
        <v>3.01</v>
      </c>
      <c r="P120">
        <v>235</v>
      </c>
      <c r="Q120">
        <v>9</v>
      </c>
      <c r="R120">
        <v>6</v>
      </c>
      <c r="S120">
        <v>3</v>
      </c>
    </row>
    <row r="121" spans="1:19" hidden="1" x14ac:dyDescent="0.25">
      <c r="A121">
        <v>22001047</v>
      </c>
      <c r="B121" t="s">
        <v>26</v>
      </c>
      <c r="C121" t="s">
        <v>19</v>
      </c>
      <c r="D121">
        <v>39</v>
      </c>
      <c r="E121">
        <v>36</v>
      </c>
      <c r="F121">
        <v>3</v>
      </c>
      <c r="G121">
        <v>2</v>
      </c>
      <c r="H121" s="1">
        <v>4.7685185185185183E-3</v>
      </c>
      <c r="I121">
        <v>2020</v>
      </c>
      <c r="J121" t="s">
        <v>83</v>
      </c>
      <c r="K121" s="2" t="str">
        <f>HYPERLINK("https://www.nba.com/stats/events?CFID=&amp;CFPARAMS=&amp;GameEventID=211&amp;GameID=0022001047&amp;Season=2020-21&amp;flag=1&amp;title=Leonard%203PT%20%20(5%20PTS)%20(P.%20George%202%20AST)", "3PT  (5 PTS) (P. George 2 AST)")</f>
        <v>3PT  (5 PTS) (P. George 2 AST)</v>
      </c>
      <c r="L121" s="2" t="str">
        <f>HYPERLINK("https://www.nba.com/game/...-vs-...-0022001047/play-by-play?watchFullGame=true", "LAC vs CHA - Q2 06:52.00")</f>
        <v>LAC vs CHA - Q2 06:52.00</v>
      </c>
      <c r="M121">
        <v>23.14</v>
      </c>
      <c r="N121">
        <v>6.13</v>
      </c>
      <c r="O121">
        <v>3.75</v>
      </c>
      <c r="P121">
        <v>231</v>
      </c>
      <c r="Q121">
        <v>5</v>
      </c>
      <c r="R121">
        <v>6</v>
      </c>
      <c r="S121">
        <v>3</v>
      </c>
    </row>
    <row r="122" spans="1:19" hidden="1" x14ac:dyDescent="0.25">
      <c r="A122">
        <v>42000173</v>
      </c>
      <c r="B122" t="s">
        <v>18</v>
      </c>
      <c r="C122" t="s">
        <v>19</v>
      </c>
      <c r="D122">
        <v>65</v>
      </c>
      <c r="E122">
        <v>61</v>
      </c>
      <c r="F122">
        <v>4</v>
      </c>
      <c r="G122">
        <v>3</v>
      </c>
      <c r="H122" s="1">
        <v>8.1365740740740738E-3</v>
      </c>
      <c r="I122" t="s">
        <v>91</v>
      </c>
      <c r="J122" t="s">
        <v>83</v>
      </c>
      <c r="K122" s="2" t="str">
        <f>HYPERLINK("https://www.nba.com/stats/events?CFID=&amp;CFPARAMS=&amp;GameEventID=298&amp;GameID=0042000173&amp;Season=2020-21&amp;flag=1&amp;title=Leonard%2015'%20Jump%20Shot%20(20%20PTS)%20(N.%20Batum%202%20AST)", "15' Jump Shot (20 PTS) (N. Batum 2 AST)")</f>
        <v>15' Jump Shot (20 PTS) (N. Batum 2 AST)</v>
      </c>
      <c r="L122" s="2" t="str">
        <f>HYPERLINK("https://www.nba.com/game/...-vs-...-0042000173/play-by-play?watchFullGame=true", "LAC vs DAL - Q3 11:43.00")</f>
        <v>LAC vs DAL - Q3 11:43.00</v>
      </c>
      <c r="M122">
        <v>15.62</v>
      </c>
      <c r="N122">
        <v>6.39</v>
      </c>
      <c r="O122">
        <v>81.2</v>
      </c>
      <c r="P122">
        <v>6</v>
      </c>
      <c r="Q122">
        <v>81</v>
      </c>
      <c r="R122">
        <v>6</v>
      </c>
      <c r="S122">
        <v>81</v>
      </c>
    </row>
    <row r="123" spans="1:19" hidden="1" x14ac:dyDescent="0.25">
      <c r="A123">
        <v>22000009</v>
      </c>
      <c r="B123" t="s">
        <v>18</v>
      </c>
      <c r="C123" t="s">
        <v>19</v>
      </c>
      <c r="D123">
        <v>63</v>
      </c>
      <c r="E123">
        <v>46</v>
      </c>
      <c r="F123">
        <v>17</v>
      </c>
      <c r="G123">
        <v>2</v>
      </c>
      <c r="H123" s="1">
        <v>1.9791666666666668E-3</v>
      </c>
      <c r="I123">
        <v>2020</v>
      </c>
      <c r="J123" t="s">
        <v>83</v>
      </c>
      <c r="K123" s="2" t="str">
        <f>HYPERLINK("https://www.nba.com/stats/events?CFID=&amp;CFPARAMS=&amp;GameEventID=338&amp;GameID=0022000009&amp;Season=2020-21&amp;flag=1&amp;title=Leonard%2016'%20step%20back%20Jump%20Shot%20(10%20PTS)", "16' step back Jump Shot (10 PTS)")</f>
        <v>16' step back Jump Shot (10 PTS)</v>
      </c>
      <c r="L123" s="2" t="str">
        <f>HYPERLINK("https://www.nba.com/game/...-vs-...-0022000009/play-by-play?watchFullGame=true", "LAC vs DEN - Q2 02:51.00")</f>
        <v>LAC vs DEN - Q2 02:51.00</v>
      </c>
      <c r="M123">
        <v>16.73</v>
      </c>
      <c r="N123">
        <v>6.65</v>
      </c>
      <c r="O123">
        <v>83.4</v>
      </c>
      <c r="P123">
        <v>-167</v>
      </c>
      <c r="Q123">
        <v>10</v>
      </c>
      <c r="R123">
        <v>6</v>
      </c>
      <c r="S123">
        <v>83</v>
      </c>
    </row>
    <row r="124" spans="1:19" hidden="1" x14ac:dyDescent="0.25">
      <c r="A124">
        <v>22000387</v>
      </c>
      <c r="B124" t="s">
        <v>18</v>
      </c>
      <c r="C124" t="s">
        <v>19</v>
      </c>
      <c r="D124">
        <v>102</v>
      </c>
      <c r="E124">
        <v>92</v>
      </c>
      <c r="F124">
        <v>10</v>
      </c>
      <c r="G124">
        <v>4</v>
      </c>
      <c r="H124" s="1">
        <v>3.5879629629629629E-3</v>
      </c>
      <c r="I124">
        <v>2020</v>
      </c>
      <c r="J124" t="s">
        <v>83</v>
      </c>
      <c r="K124" s="2" t="str">
        <f>HYPERLINK("https://www.nba.com/stats/events?CFID=&amp;CFPARAMS=&amp;GameEventID=591&amp;GameID=0022000387&amp;Season=2020-21&amp;flag=1&amp;title=Leonard%2014'%20Jump%20Shot%20(30%20PTS)%20(R.%20Jackson%204%20AST)", "14' Jump Shot (30 PTS) (R. Jackson 4 AST)")</f>
        <v>14' Jump Shot (30 PTS) (R. Jackson 4 AST)</v>
      </c>
      <c r="L124" s="2" t="str">
        <f>HYPERLINK("https://www.nba.com/game/...-vs-...-0022000387/play-by-play?watchFullGame=true", "LAC vs MIN - Q4 05:10.00")</f>
        <v>LAC vs MIN - Q4 05:10.00</v>
      </c>
      <c r="M124">
        <v>14.07</v>
      </c>
      <c r="N124">
        <v>6.92</v>
      </c>
      <c r="O124">
        <v>78.010000000000005</v>
      </c>
      <c r="P124">
        <v>-140</v>
      </c>
      <c r="Q124">
        <v>13</v>
      </c>
      <c r="R124">
        <v>6</v>
      </c>
      <c r="S124">
        <v>78</v>
      </c>
    </row>
    <row r="125" spans="1:19" hidden="1" x14ac:dyDescent="0.25">
      <c r="A125">
        <v>22201082</v>
      </c>
      <c r="B125" t="s">
        <v>18</v>
      </c>
      <c r="C125" t="s">
        <v>19</v>
      </c>
      <c r="D125">
        <v>93</v>
      </c>
      <c r="E125">
        <v>91</v>
      </c>
      <c r="F125">
        <v>2</v>
      </c>
      <c r="G125">
        <v>4</v>
      </c>
      <c r="H125" s="1">
        <v>3.0324074074074073E-3</v>
      </c>
      <c r="I125">
        <v>2022</v>
      </c>
      <c r="J125" t="s">
        <v>83</v>
      </c>
      <c r="K125" s="2" t="str">
        <f>HYPERLINK("https://www.nba.com/stats/events?CFID=&amp;CFPARAMS=&amp;GameEventID=605&amp;GameID=0022201082&amp;Season=2022-23&amp;flag=1&amp;title=Leonard%2013'%20fadeaway%20Jump%20Shot%20(21%20PTS)", "13' fadeaway Jump Shot (21 PTS)")</f>
        <v>13' fadeaway Jump Shot (21 PTS)</v>
      </c>
      <c r="L125" s="2" t="str">
        <f>HYPERLINK("https://www.nba.com/game/...-vs-...-0022201082/play-by-play?watchFullGame=true", "LAC vs OKC - Q4 04:22.00")</f>
        <v>LAC vs OKC - Q4 04:22.00</v>
      </c>
      <c r="M125">
        <v>13.3</v>
      </c>
      <c r="N125">
        <v>6.88</v>
      </c>
      <c r="O125">
        <v>23.53</v>
      </c>
      <c r="P125">
        <v>132</v>
      </c>
      <c r="Q125">
        <v>12</v>
      </c>
      <c r="R125">
        <v>6</v>
      </c>
      <c r="S125">
        <v>23</v>
      </c>
    </row>
    <row r="126" spans="1:19" hidden="1" x14ac:dyDescent="0.25">
      <c r="A126">
        <v>21901232</v>
      </c>
      <c r="B126" t="s">
        <v>18</v>
      </c>
      <c r="C126" t="s">
        <v>84</v>
      </c>
      <c r="D126">
        <v>50</v>
      </c>
      <c r="E126">
        <v>51</v>
      </c>
      <c r="F126">
        <v>1</v>
      </c>
      <c r="G126">
        <v>2</v>
      </c>
      <c r="H126" s="1">
        <v>1.8171296296296297E-3</v>
      </c>
      <c r="I126">
        <v>2019</v>
      </c>
      <c r="J126" t="s">
        <v>83</v>
      </c>
      <c r="K126" s="2" t="str">
        <f>HYPERLINK("https://www.nba.com/stats/events?CFID=&amp;CFPARAMS=&amp;GameEventID=355&amp;GameID=0021901232&amp;Season=2019-20&amp;flag=1&amp;title=Leonard%2013'%20jumpshot%20(19%20PTS)", "13' jumpshot (19 PTS)")</f>
        <v>13' jumpshot (19 PTS)</v>
      </c>
      <c r="L126" s="2" t="str">
        <f>HYPERLINK("https://www.nba.com/game/...-vs-...-0021901232/play-by-play?watchFullGame=true", "LAC vs LAL - Q2 02:37.00")</f>
        <v>LAC vs LAL - Q2 02:37.00</v>
      </c>
      <c r="M126">
        <v>13.19</v>
      </c>
      <c r="N126">
        <v>6.13</v>
      </c>
      <c r="O126">
        <v>76.290000000000006</v>
      </c>
      <c r="P126">
        <v>-131</v>
      </c>
      <c r="Q126">
        <v>5</v>
      </c>
      <c r="R126">
        <v>6</v>
      </c>
      <c r="S126">
        <v>76</v>
      </c>
    </row>
    <row r="127" spans="1:19" hidden="1" x14ac:dyDescent="0.25">
      <c r="A127">
        <v>42000222</v>
      </c>
      <c r="B127" t="s">
        <v>18</v>
      </c>
      <c r="C127" t="s">
        <v>19</v>
      </c>
      <c r="D127">
        <v>2</v>
      </c>
      <c r="E127">
        <v>2</v>
      </c>
      <c r="F127">
        <v>0</v>
      </c>
      <c r="G127">
        <v>1</v>
      </c>
      <c r="H127" s="1">
        <v>8.0092592592592594E-3</v>
      </c>
      <c r="I127" t="s">
        <v>94</v>
      </c>
      <c r="J127" t="s">
        <v>83</v>
      </c>
      <c r="K127" s="2" t="str">
        <f>HYPERLINK("https://www.nba.com/stats/events?CFID=&amp;CFPARAMS=&amp;GameEventID=8&amp;GameID=0042000222&amp;Season=2020-21&amp;flag=1&amp;title=Leonard%2012'%20fadeaway%20Jump%20Shot%20(2%20PTS)%20(P.%20George%201%20AST)", "12' fadeaway Jump Shot (2 PTS) (P. George 1 AST)")</f>
        <v>12' fadeaway Jump Shot (2 PTS) (P. George 1 AST)</v>
      </c>
      <c r="L127" s="2" t="str">
        <f>HYPERLINK("https://www.nba.com/game/...-vs-...-0042000222/play-by-play?watchFullGame=true", "LAC vs UTA - Q1 11:32.00")</f>
        <v>LAC vs UTA - Q1 11:32.00</v>
      </c>
      <c r="M127">
        <v>12.55</v>
      </c>
      <c r="N127">
        <v>6.26</v>
      </c>
      <c r="O127">
        <v>75.069999999999993</v>
      </c>
      <c r="P127">
        <v>6</v>
      </c>
      <c r="Q127">
        <v>75</v>
      </c>
      <c r="R127">
        <v>6</v>
      </c>
      <c r="S127">
        <v>75</v>
      </c>
    </row>
    <row r="128" spans="1:19" hidden="1" x14ac:dyDescent="0.25">
      <c r="A128">
        <v>41900235</v>
      </c>
      <c r="B128" t="s">
        <v>18</v>
      </c>
      <c r="C128" t="s">
        <v>84</v>
      </c>
      <c r="D128">
        <v>67</v>
      </c>
      <c r="E128">
        <v>53</v>
      </c>
      <c r="F128">
        <v>14</v>
      </c>
      <c r="G128">
        <v>3</v>
      </c>
      <c r="H128" s="1">
        <v>4.8958333333333336E-3</v>
      </c>
      <c r="I128" t="s">
        <v>85</v>
      </c>
      <c r="J128" t="s">
        <v>83</v>
      </c>
      <c r="K128" s="2" t="str">
        <f>HYPERLINK("https://www.nba.com/stats/events?CFID=&amp;CFPARAMS=&amp;GameEventID=376&amp;GameID=0041900235&amp;Season=2019-20&amp;flag=1&amp;title=Leonard%2012'%20jumpshot%20(20%20PTS)%20(I.%20Zubac%201%20AST)", "12' jumpshot (20 PTS) (I. Zubac 1 AST)")</f>
        <v>12' jumpshot (20 PTS) (I. Zubac 1 AST)</v>
      </c>
      <c r="L128" s="2" t="str">
        <f>HYPERLINK("https://www.nba.com/game/...-vs-...-0041900235/play-by-play?watchFullGame=true", "LAC vs DEN - Q3 07:03.00")</f>
        <v>LAC vs DEN - Q3 07:03.00</v>
      </c>
      <c r="M128">
        <v>11.69</v>
      </c>
      <c r="N128">
        <v>6.92</v>
      </c>
      <c r="O128">
        <v>73.11</v>
      </c>
      <c r="P128">
        <v>-116</v>
      </c>
      <c r="Q128">
        <v>13</v>
      </c>
      <c r="R128">
        <v>6</v>
      </c>
      <c r="S128">
        <v>73</v>
      </c>
    </row>
    <row r="129" spans="1:19" hidden="1" x14ac:dyDescent="0.25">
      <c r="A129">
        <v>22300343</v>
      </c>
      <c r="B129" t="s">
        <v>18</v>
      </c>
      <c r="C129" t="s">
        <v>19</v>
      </c>
      <c r="D129">
        <v>109</v>
      </c>
      <c r="E129">
        <v>94</v>
      </c>
      <c r="F129">
        <v>15</v>
      </c>
      <c r="G129">
        <v>3</v>
      </c>
      <c r="H129" s="1">
        <v>8.7962962962962962E-4</v>
      </c>
      <c r="I129">
        <v>2023</v>
      </c>
      <c r="J129" t="s">
        <v>83</v>
      </c>
      <c r="K129" s="2" t="str">
        <f>HYPERLINK("https://www.nba.com/stats/events?CFID=&amp;CFPARAMS=&amp;GameEventID=496&amp;GameID=0022300343&amp;Season=2023-24&amp;flag=1&amp;title=Leonard%2011'%20turnaround%20fadeaway%20Jump%20Shot%20(36%20PTS)", "11' turnaround fadeaway Jump Shot (36 PTS)")</f>
        <v>11' turnaround fadeaway Jump Shot (36 PTS)</v>
      </c>
      <c r="L129" s="2" t="str">
        <f>HYPERLINK("https://www.nba.com/game/...-vs-...-0022300343/play-by-play?watchFullGame=true", "LAC vs NYK - Q3 01:16.00")</f>
        <v>LAC vs NYK - Q3 01:16.00</v>
      </c>
      <c r="M129">
        <v>11.42</v>
      </c>
      <c r="N129">
        <v>6.36</v>
      </c>
      <c r="O129">
        <v>27.21</v>
      </c>
      <c r="P129">
        <v>114</v>
      </c>
      <c r="Q129">
        <v>7</v>
      </c>
      <c r="R129">
        <v>6</v>
      </c>
      <c r="S129">
        <v>27</v>
      </c>
    </row>
    <row r="130" spans="1:19" hidden="1" x14ac:dyDescent="0.25">
      <c r="A130">
        <v>22000625</v>
      </c>
      <c r="B130" t="s">
        <v>18</v>
      </c>
      <c r="C130" t="s">
        <v>19</v>
      </c>
      <c r="D130">
        <v>75</v>
      </c>
      <c r="E130">
        <v>84</v>
      </c>
      <c r="F130">
        <v>9</v>
      </c>
      <c r="G130">
        <v>4</v>
      </c>
      <c r="H130" s="1">
        <v>5.8101851851851856E-3</v>
      </c>
      <c r="I130">
        <v>2020</v>
      </c>
      <c r="J130" t="s">
        <v>83</v>
      </c>
      <c r="K130" s="2" t="str">
        <f>HYPERLINK("https://www.nba.com/stats/events?CFID=&amp;CFPARAMS=&amp;GameEventID=529&amp;GameID=0022000625&amp;Season=2020-21&amp;flag=1&amp;title=Leonard%2010'%20turnaround%20fadeaway%20Jump%20Shot%20(18%20PTS)", "10' turnaround fadeaway Jump Shot (18 PTS)")</f>
        <v>10' turnaround fadeaway Jump Shot (18 PTS)</v>
      </c>
      <c r="L130" s="2" t="str">
        <f>HYPERLINK("https://www.nba.com/game/...-vs-...-0022000625/play-by-play?watchFullGame=true", "LAC vs DAL - Q4 08:22.00")</f>
        <v>LAC vs DAL - Q4 08:22.00</v>
      </c>
      <c r="M130">
        <v>10.02</v>
      </c>
      <c r="N130">
        <v>6.78</v>
      </c>
      <c r="O130">
        <v>69.92</v>
      </c>
      <c r="P130">
        <v>-100</v>
      </c>
      <c r="Q130">
        <v>11</v>
      </c>
      <c r="R130">
        <v>6</v>
      </c>
      <c r="S130">
        <v>69</v>
      </c>
    </row>
    <row r="131" spans="1:19" hidden="1" x14ac:dyDescent="0.25">
      <c r="A131">
        <v>22300537</v>
      </c>
      <c r="B131" t="s">
        <v>18</v>
      </c>
      <c r="C131" t="s">
        <v>19</v>
      </c>
      <c r="D131">
        <v>21</v>
      </c>
      <c r="E131">
        <v>24</v>
      </c>
      <c r="F131">
        <v>3</v>
      </c>
      <c r="G131">
        <v>1</v>
      </c>
      <c r="H131" s="1">
        <v>4.9305555555555561E-4</v>
      </c>
      <c r="I131">
        <v>2023</v>
      </c>
      <c r="J131" t="s">
        <v>83</v>
      </c>
      <c r="K131" s="2" t="str">
        <f>HYPERLINK("https://www.nba.com/stats/events?CFID=&amp;CFPARAMS=&amp;GameEventID=150&amp;GameID=0022300537&amp;Season=2023-24&amp;flag=1&amp;title=Leonard%209'%20turnaround%20fadeaway%20Jump%20Shot%20(6%20PTS)", "9' turnaround fadeaway Jump Shot (6 PTS)")</f>
        <v>9' turnaround fadeaway Jump Shot (6 PTS)</v>
      </c>
      <c r="L131" s="2" t="str">
        <f>HYPERLINK("https://www.nba.com/game/...-vs-...-0022300537/play-by-play?watchFullGame=true", "LAC vs MEM - Q1 00:42.60")</f>
        <v>LAC vs MEM - Q1 00:42.60</v>
      </c>
      <c r="M131">
        <v>9.86</v>
      </c>
      <c r="N131">
        <v>6.78</v>
      </c>
      <c r="O131">
        <v>30.39</v>
      </c>
      <c r="P131">
        <v>98</v>
      </c>
      <c r="Q131">
        <v>11</v>
      </c>
      <c r="R131">
        <v>6</v>
      </c>
      <c r="S131">
        <v>30</v>
      </c>
    </row>
    <row r="132" spans="1:19" hidden="1" x14ac:dyDescent="0.25">
      <c r="A132">
        <v>22300865</v>
      </c>
      <c r="B132" t="s">
        <v>18</v>
      </c>
      <c r="C132" t="s">
        <v>19</v>
      </c>
      <c r="D132">
        <v>98</v>
      </c>
      <c r="E132">
        <v>75</v>
      </c>
      <c r="F132">
        <v>23</v>
      </c>
      <c r="G132">
        <v>3</v>
      </c>
      <c r="H132" s="1">
        <v>2.8703703703703703E-3</v>
      </c>
      <c r="I132">
        <v>2023</v>
      </c>
      <c r="J132" t="s">
        <v>83</v>
      </c>
      <c r="K132" s="2" t="str">
        <f>HYPERLINK("https://www.nba.com/stats/events?CFID=&amp;CFPARAMS=&amp;GameEventID=424&amp;GameID=0022300865&amp;Season=2023-24&amp;flag=1&amp;title=Leonard%209'%20turnaround%20fadeaway%20Jump%20Shot%20(19%20PTS)", "9' turnaround fadeaway Jump Shot (19 PTS)")</f>
        <v>9' turnaround fadeaway Jump Shot (19 PTS)</v>
      </c>
      <c r="L132" s="2" t="str">
        <f>HYPERLINK("https://www.nba.com/game/...-vs-...-0022300865/play-by-play?watchFullGame=true", "LAC vs WAS - Q3 04:08.00")</f>
        <v>LAC vs WAS - Q3 04:08.00</v>
      </c>
      <c r="M132">
        <v>9.58</v>
      </c>
      <c r="N132">
        <v>6.23</v>
      </c>
      <c r="O132">
        <v>69.12</v>
      </c>
      <c r="P132">
        <v>-96</v>
      </c>
      <c r="Q132">
        <v>6</v>
      </c>
      <c r="R132">
        <v>6</v>
      </c>
      <c r="S132">
        <v>69</v>
      </c>
    </row>
    <row r="133" spans="1:19" hidden="1" x14ac:dyDescent="0.25">
      <c r="A133">
        <v>41900233</v>
      </c>
      <c r="B133" t="s">
        <v>18</v>
      </c>
      <c r="C133" t="s">
        <v>84</v>
      </c>
      <c r="D133">
        <v>14</v>
      </c>
      <c r="E133">
        <v>14</v>
      </c>
      <c r="F133">
        <v>0</v>
      </c>
      <c r="G133">
        <v>1</v>
      </c>
      <c r="H133" s="1">
        <v>4.7106481481481478E-3</v>
      </c>
      <c r="I133" t="s">
        <v>85</v>
      </c>
      <c r="J133" t="s">
        <v>83</v>
      </c>
      <c r="K133" s="2" t="str">
        <f>HYPERLINK("https://www.nba.com/stats/events?CFID=&amp;CFPARAMS=&amp;GameEventID=52&amp;GameID=0041900233&amp;Season=2019-20&amp;flag=1&amp;title=Leonard%209'%20jumpshot%20(2%20PTS)%20(J.%20Green%201%20AST)", "9' jumpshot (2 PTS) (J. Green 1 AST)")</f>
        <v>9' jumpshot (2 PTS) (J. Green 1 AST)</v>
      </c>
      <c r="L133" s="2" t="str">
        <f>HYPERLINK("https://www.nba.com/game/...-vs-...-0041900233/play-by-play?watchFullGame=true", "LAC vs DEN - Q1 06:47.00")</f>
        <v>LAC vs DEN - Q1 06:47.00</v>
      </c>
      <c r="M133">
        <v>9.39</v>
      </c>
      <c r="N133">
        <v>6.52</v>
      </c>
      <c r="O133">
        <v>31.44</v>
      </c>
      <c r="P133">
        <v>93</v>
      </c>
      <c r="Q133">
        <v>9</v>
      </c>
      <c r="R133">
        <v>6</v>
      </c>
      <c r="S133">
        <v>31</v>
      </c>
    </row>
    <row r="134" spans="1:19" hidden="1" x14ac:dyDescent="0.25">
      <c r="A134">
        <v>22300537</v>
      </c>
      <c r="B134" t="s">
        <v>18</v>
      </c>
      <c r="C134" t="s">
        <v>19</v>
      </c>
      <c r="D134">
        <v>7</v>
      </c>
      <c r="E134">
        <v>9</v>
      </c>
      <c r="F134">
        <v>2</v>
      </c>
      <c r="G134">
        <v>1</v>
      </c>
      <c r="H134" s="1">
        <v>4.7685185185185183E-3</v>
      </c>
      <c r="I134">
        <v>2023</v>
      </c>
      <c r="J134" t="s">
        <v>83</v>
      </c>
      <c r="K134" s="2" t="str">
        <f>HYPERLINK("https://www.nba.com/stats/events?CFID=&amp;CFPARAMS=&amp;GameEventID=67&amp;GameID=0022300537&amp;Season=2023-24&amp;flag=1&amp;title=Leonard%209'%20pullup%20Jump%20Shot%20(2%20PTS)", "9' pullup Jump Shot (2 PTS)")</f>
        <v>9' pullup Jump Shot (2 PTS)</v>
      </c>
      <c r="L134" s="2" t="str">
        <f>HYPERLINK("https://www.nba.com/game/...-vs-...-0022300537/play-by-play?watchFullGame=true", "LAC vs MEM - Q1 06:52.00")</f>
        <v>LAC vs MEM - Q1 06:52.00</v>
      </c>
      <c r="M134">
        <v>9.27</v>
      </c>
      <c r="N134">
        <v>6.92</v>
      </c>
      <c r="O134">
        <v>68.38</v>
      </c>
      <c r="P134">
        <v>-92</v>
      </c>
      <c r="Q134">
        <v>13</v>
      </c>
      <c r="R134">
        <v>6</v>
      </c>
      <c r="S134">
        <v>68</v>
      </c>
    </row>
    <row r="135" spans="1:19" hidden="1" x14ac:dyDescent="0.25">
      <c r="A135">
        <v>21900068</v>
      </c>
      <c r="B135" t="s">
        <v>18</v>
      </c>
      <c r="C135" t="s">
        <v>84</v>
      </c>
      <c r="D135">
        <v>8</v>
      </c>
      <c r="E135">
        <v>5</v>
      </c>
      <c r="F135">
        <v>3</v>
      </c>
      <c r="G135">
        <v>1</v>
      </c>
      <c r="H135" s="1">
        <v>4.6874999999999998E-3</v>
      </c>
      <c r="I135">
        <v>2019</v>
      </c>
      <c r="J135" t="s">
        <v>83</v>
      </c>
      <c r="K135" s="2" t="str">
        <f>HYPERLINK("https://www.nba.com/stats/events?CFID=&amp;CFPARAMS=&amp;GameEventID=57&amp;GameID=0021900068&amp;Season=2019-20&amp;flag=1&amp;title=[LAC]%20Leonard%20jumpshot:%20Made%20(6%20PTS)%20assist:%20Patterson%20(1%20AST)", "[LAC] Leonard jumpshot: Made (6 PTS) assist: Patterson (1 AST)")</f>
        <v>[LAC] Leonard jumpshot: Made (6 PTS) assist: Patterson (1 AST)</v>
      </c>
      <c r="L135" s="2" t="str">
        <f>HYPERLINK("https://www.nba.com/game/...-vs-...-0021900068/play-by-play?watchFullGame=true", "LAC vs SAS - Q1 06:45.00")</f>
        <v>LAC vs SAS - Q1 06:45.00</v>
      </c>
      <c r="M135">
        <v>8.85</v>
      </c>
      <c r="N135">
        <v>6.88</v>
      </c>
      <c r="O135">
        <v>67.33</v>
      </c>
      <c r="P135">
        <v>-87</v>
      </c>
      <c r="Q135">
        <v>12</v>
      </c>
      <c r="R135">
        <v>6</v>
      </c>
      <c r="S135">
        <v>67</v>
      </c>
    </row>
    <row r="136" spans="1:19" hidden="1" x14ac:dyDescent="0.25">
      <c r="A136">
        <v>21900115</v>
      </c>
      <c r="B136" t="s">
        <v>18</v>
      </c>
      <c r="C136" t="s">
        <v>84</v>
      </c>
      <c r="D136">
        <v>6</v>
      </c>
      <c r="E136">
        <v>7</v>
      </c>
      <c r="F136">
        <v>1</v>
      </c>
      <c r="G136">
        <v>1</v>
      </c>
      <c r="H136" s="1">
        <v>6.1574074074074074E-3</v>
      </c>
      <c r="I136">
        <v>2019</v>
      </c>
      <c r="J136" t="s">
        <v>83</v>
      </c>
      <c r="K136" s="2" t="str">
        <f>HYPERLINK("https://www.nba.com/stats/events?CFID=&amp;CFPARAMS=&amp;GameEventID=36&amp;GameID=0021900115&amp;Season=2019-20&amp;flag=1&amp;title=[LAC]%20Leonard%20jumpshot:%20Made%20(4%20PTS)", "[LAC] Leonard jumpshot: Made (4 PTS)")</f>
        <v>[LAC] Leonard jumpshot: Made (4 PTS)</v>
      </c>
      <c r="L136" s="2" t="str">
        <f>HYPERLINK("https://www.nba.com/game/...-vs-...-0021900115/play-by-play?watchFullGame=true", "LAC vs POR - Q1 08:52.00")</f>
        <v>LAC vs POR - Q1 08:52.00</v>
      </c>
      <c r="M136">
        <v>8.49</v>
      </c>
      <c r="N136">
        <v>6.88</v>
      </c>
      <c r="O136">
        <v>66.599999999999994</v>
      </c>
      <c r="P136">
        <v>-83</v>
      </c>
      <c r="Q136">
        <v>12</v>
      </c>
      <c r="R136">
        <v>6</v>
      </c>
      <c r="S136">
        <v>66</v>
      </c>
    </row>
    <row r="137" spans="1:19" hidden="1" x14ac:dyDescent="0.25">
      <c r="A137">
        <v>22000520</v>
      </c>
      <c r="B137" t="s">
        <v>18</v>
      </c>
      <c r="C137" t="s">
        <v>19</v>
      </c>
      <c r="D137">
        <v>95</v>
      </c>
      <c r="E137">
        <v>91</v>
      </c>
      <c r="F137">
        <v>4</v>
      </c>
      <c r="G137">
        <v>4</v>
      </c>
      <c r="H137" s="1">
        <v>3.5069444444444445E-3</v>
      </c>
      <c r="I137">
        <v>2020</v>
      </c>
      <c r="J137" t="s">
        <v>83</v>
      </c>
      <c r="K137" s="2" t="str">
        <f>HYPERLINK("https://www.nba.com/stats/events?CFID=&amp;CFPARAMS=&amp;GameEventID=571&amp;GameID=0022000520&amp;Season=2020-21&amp;flag=1&amp;title=Leonard%206'%20turnaround%20fadeaway%20Jump%20Shot%20(23%20PTS)", "6' turnaround fadeaway Jump Shot (23 PTS)")</f>
        <v>6' turnaround fadeaway Jump Shot (23 PTS)</v>
      </c>
      <c r="L137" s="2" t="str">
        <f>HYPERLINK("https://www.nba.com/game/...-vs-...-0022000520/play-by-play?watchFullGame=true", "LAC vs MIL - Q4 05:03.00")</f>
        <v>LAC vs MIL - Q4 05:03.00</v>
      </c>
      <c r="M137">
        <v>6.89</v>
      </c>
      <c r="N137">
        <v>6.52</v>
      </c>
      <c r="O137">
        <v>36.340000000000003</v>
      </c>
      <c r="P137">
        <v>68</v>
      </c>
      <c r="Q137">
        <v>9</v>
      </c>
      <c r="R137">
        <v>6</v>
      </c>
      <c r="S137">
        <v>36</v>
      </c>
    </row>
    <row r="138" spans="1:19" hidden="1" x14ac:dyDescent="0.25">
      <c r="A138">
        <v>22200408</v>
      </c>
      <c r="B138" t="s">
        <v>18</v>
      </c>
      <c r="C138" t="s">
        <v>19</v>
      </c>
      <c r="D138">
        <v>73</v>
      </c>
      <c r="E138">
        <v>57</v>
      </c>
      <c r="F138">
        <v>16</v>
      </c>
      <c r="G138">
        <v>3</v>
      </c>
      <c r="H138" s="1">
        <v>3.9236111111111112E-3</v>
      </c>
      <c r="I138">
        <v>2022</v>
      </c>
      <c r="J138" t="s">
        <v>83</v>
      </c>
      <c r="K138" s="2" t="str">
        <f>HYPERLINK("https://www.nba.com/stats/events?CFID=&amp;CFPARAMS=&amp;GameEventID=414&amp;GameID=0022200408&amp;Season=2022-23&amp;flag=1&amp;title=Leonard%206'%20fadeaway%20Jump%20Shot%20(20%20PTS)%20(P.%20George%202%20AST)", "6' fadeaway Jump Shot (20 PTS) (P. George 2 AST)")</f>
        <v>6' fadeaway Jump Shot (20 PTS) (P. George 2 AST)</v>
      </c>
      <c r="L138" s="2" t="str">
        <f>HYPERLINK("https://www.nba.com/game/...-vs-...-0022200408/play-by-play?watchFullGame=true", "LAC vs BOS - Q3 05:39.00")</f>
        <v>LAC vs BOS - Q3 05:39.00</v>
      </c>
      <c r="M138">
        <v>6.23</v>
      </c>
      <c r="N138">
        <v>6.75</v>
      </c>
      <c r="O138">
        <v>37.75</v>
      </c>
      <c r="P138">
        <v>61</v>
      </c>
      <c r="Q138">
        <v>11</v>
      </c>
      <c r="R138">
        <v>6</v>
      </c>
      <c r="S138">
        <v>37</v>
      </c>
    </row>
    <row r="139" spans="1:19" hidden="1" x14ac:dyDescent="0.25">
      <c r="A139">
        <v>41900155</v>
      </c>
      <c r="B139" t="s">
        <v>18</v>
      </c>
      <c r="C139" t="s">
        <v>90</v>
      </c>
      <c r="D139">
        <v>41</v>
      </c>
      <c r="E139">
        <v>22</v>
      </c>
      <c r="F139">
        <v>19</v>
      </c>
      <c r="G139">
        <v>1</v>
      </c>
      <c r="H139" s="1">
        <v>1.076388888888889E-4</v>
      </c>
      <c r="I139" t="s">
        <v>86</v>
      </c>
      <c r="J139" t="s">
        <v>83</v>
      </c>
      <c r="K139" s="2" t="str">
        <f>HYPERLINK("https://www.nba.com/stats/events?CFID=&amp;CFPARAMS=&amp;GameEventID=155&amp;GameID=0041900155&amp;Season=2019-20&amp;flag=1&amp;title=Leonard%20layup%20(15%20PTS)", "Layup (15 PTS)")</f>
        <v>Layup (15 PTS)</v>
      </c>
      <c r="L139" s="2" t="str">
        <f>HYPERLINK("https://www.nba.com/game/...-vs-...-0041900155/play-by-play?watchFullGame=true", "LAC vs DAL - Q1 00:09.30")</f>
        <v>LAC vs DAL - Q1 00:09.30</v>
      </c>
      <c r="M139">
        <v>4.46</v>
      </c>
      <c r="N139">
        <v>6.78</v>
      </c>
      <c r="O139">
        <v>41.74</v>
      </c>
      <c r="P139">
        <v>41</v>
      </c>
      <c r="Q139">
        <v>11</v>
      </c>
      <c r="R139">
        <v>6</v>
      </c>
      <c r="S139">
        <v>41</v>
      </c>
    </row>
    <row r="140" spans="1:19" hidden="1" x14ac:dyDescent="0.25">
      <c r="A140">
        <v>22000644</v>
      </c>
      <c r="B140" t="s">
        <v>18</v>
      </c>
      <c r="C140" t="s">
        <v>88</v>
      </c>
      <c r="D140">
        <v>85</v>
      </c>
      <c r="E140">
        <v>57</v>
      </c>
      <c r="F140">
        <v>28</v>
      </c>
      <c r="G140">
        <v>3</v>
      </c>
      <c r="H140" s="1">
        <v>3.6342592592592594E-3</v>
      </c>
      <c r="I140">
        <v>2020</v>
      </c>
      <c r="J140" t="s">
        <v>83</v>
      </c>
      <c r="K140" s="2" t="str">
        <f>HYPERLINK("https://www.nba.com/stats/events?CFID=&amp;CFPARAMS=&amp;GameEventID=423&amp;GameID=0022000644&amp;Season=2020-21&amp;flag=1&amp;title=Leonard%20cutting%20DUNK%20(14%20PTS)%20(I.%20Zubac%203%20AST)", "Cutting DUNK (14 PTS) (I. Zubac 3 AST)")</f>
        <v>Cutting DUNK (14 PTS) (I. Zubac 3 AST)</v>
      </c>
      <c r="L140" s="2" t="str">
        <f>HYPERLINK("https://www.nba.com/game/...-vs-...-0022000644/play-by-play?watchFullGame=true", "LAC vs CHA - Q3 05:14.00")</f>
        <v>LAC vs CHA - Q3 05:14.00</v>
      </c>
      <c r="M140">
        <v>1.86</v>
      </c>
      <c r="N140">
        <v>6.92</v>
      </c>
      <c r="O140">
        <v>52.77</v>
      </c>
      <c r="P140">
        <v>-14</v>
      </c>
      <c r="Q140">
        <v>13</v>
      </c>
      <c r="R140">
        <v>6</v>
      </c>
      <c r="S140">
        <v>52</v>
      </c>
    </row>
    <row r="141" spans="1:19" hidden="1" x14ac:dyDescent="0.25">
      <c r="A141">
        <v>22400859</v>
      </c>
      <c r="B141" t="s">
        <v>18</v>
      </c>
      <c r="C141" t="s">
        <v>87</v>
      </c>
      <c r="D141">
        <v>102</v>
      </c>
      <c r="E141">
        <v>106</v>
      </c>
      <c r="F141">
        <v>4</v>
      </c>
      <c r="G141">
        <v>4</v>
      </c>
      <c r="H141" s="1">
        <v>4.3634259259259261E-4</v>
      </c>
      <c r="I141">
        <v>2024</v>
      </c>
      <c r="J141" t="s">
        <v>83</v>
      </c>
      <c r="K141" s="2" t="str">
        <f>HYPERLINK("https://www.nba.com/stats/events?CFID=&amp;CFPARAMS=&amp;GameEventID=614&amp;GameID=0022400859&amp;Season=2024-25&amp;flag=1&amp;title=Leonard%20driving%20Layup%20(21%20PTS)", "Driving Layup (21 PTS)")</f>
        <v>Driving Layup (21 PTS)</v>
      </c>
      <c r="L141" s="2" t="str">
        <f>HYPERLINK("https://www.nba.com/game/...-vs-...-0022400859/play-by-play?watchFullGame=true", "LAC vs LAL - Q4 00:37.70")</f>
        <v>LAC vs LAL - Q4 00:37.70</v>
      </c>
      <c r="M141">
        <v>3.29</v>
      </c>
      <c r="N141">
        <v>6.88</v>
      </c>
      <c r="O141">
        <v>43.87</v>
      </c>
      <c r="P141">
        <v>31</v>
      </c>
      <c r="Q141">
        <v>12</v>
      </c>
      <c r="R141">
        <v>6</v>
      </c>
      <c r="S141">
        <v>43</v>
      </c>
    </row>
    <row r="142" spans="1:19" hidden="1" x14ac:dyDescent="0.25">
      <c r="A142">
        <v>22000130</v>
      </c>
      <c r="B142" t="s">
        <v>18</v>
      </c>
      <c r="C142" t="s">
        <v>87</v>
      </c>
      <c r="D142">
        <v>26</v>
      </c>
      <c r="E142">
        <v>14</v>
      </c>
      <c r="F142">
        <v>12</v>
      </c>
      <c r="G142">
        <v>1</v>
      </c>
      <c r="H142" s="1">
        <v>2.1412037037037038E-3</v>
      </c>
      <c r="I142">
        <v>2020</v>
      </c>
      <c r="J142" t="s">
        <v>83</v>
      </c>
      <c r="K142" s="2" t="str">
        <f>HYPERLINK("https://www.nba.com/stats/events?CFID=&amp;CFPARAMS=&amp;GameEventID=115&amp;GameID=0022000130&amp;Season=2020-21&amp;flag=1&amp;title=Leonard%20driving%20reverse%20Layup%20(4%20PTS)", "Driving reverse Layup (4 PTS)")</f>
        <v>Driving reverse Layup (4 PTS)</v>
      </c>
      <c r="L142" s="2" t="str">
        <f>HYPERLINK("https://www.nba.com/game/...-vs-...-0022000130/play-by-play?watchFullGame=true", "LAC vs GSW - Q1 03:05.00")</f>
        <v>LAC vs GSW - Q1 03:05.00</v>
      </c>
      <c r="M142">
        <v>3.26</v>
      </c>
      <c r="N142">
        <v>6.65</v>
      </c>
      <c r="O142">
        <v>56.2</v>
      </c>
      <c r="P142">
        <v>-31</v>
      </c>
      <c r="Q142">
        <v>10</v>
      </c>
      <c r="R142">
        <v>6</v>
      </c>
      <c r="S142">
        <v>56</v>
      </c>
    </row>
    <row r="143" spans="1:19" hidden="1" x14ac:dyDescent="0.25">
      <c r="A143">
        <v>22300676</v>
      </c>
      <c r="B143" t="s">
        <v>18</v>
      </c>
      <c r="C143" t="s">
        <v>87</v>
      </c>
      <c r="D143">
        <v>89</v>
      </c>
      <c r="E143">
        <v>68</v>
      </c>
      <c r="F143">
        <v>21</v>
      </c>
      <c r="G143">
        <v>3</v>
      </c>
      <c r="H143" s="1">
        <v>3.0324074074074073E-3</v>
      </c>
      <c r="I143">
        <v>2023</v>
      </c>
      <c r="J143" t="s">
        <v>83</v>
      </c>
      <c r="K143" s="2" t="str">
        <f>HYPERLINK("https://www.nba.com/stats/events?CFID=&amp;CFPARAMS=&amp;GameEventID=409&amp;GameID=0022300676&amp;Season=2023-24&amp;flag=1&amp;title=Leonard%20driving%20reverse%20Layup%20(25%20PTS)", "Driving reverse Layup (25 PTS)")</f>
        <v>Driving reverse Layup (25 PTS)</v>
      </c>
      <c r="L143" s="2" t="str">
        <f>HYPERLINK("https://www.nba.com/game/...-vs-...-0022300676/play-by-play?watchFullGame=true", "LAC vs WAS - Q3 04:22.00")</f>
        <v>LAC vs WAS - Q3 04:22.00</v>
      </c>
      <c r="M143">
        <v>3.19</v>
      </c>
      <c r="N143">
        <v>6.92</v>
      </c>
      <c r="O143">
        <v>55.88</v>
      </c>
      <c r="P143">
        <v>-29</v>
      </c>
      <c r="Q143">
        <v>13</v>
      </c>
      <c r="R143">
        <v>6</v>
      </c>
      <c r="S143">
        <v>55</v>
      </c>
    </row>
    <row r="144" spans="1:19" hidden="1" x14ac:dyDescent="0.25">
      <c r="A144">
        <v>22000202</v>
      </c>
      <c r="B144" t="s">
        <v>18</v>
      </c>
      <c r="C144" t="s">
        <v>88</v>
      </c>
      <c r="D144">
        <v>75</v>
      </c>
      <c r="E144">
        <v>65</v>
      </c>
      <c r="F144">
        <v>10</v>
      </c>
      <c r="G144">
        <v>3</v>
      </c>
      <c r="H144" s="1">
        <v>5.4050925925925924E-3</v>
      </c>
      <c r="I144">
        <v>2020</v>
      </c>
      <c r="J144" t="s">
        <v>83</v>
      </c>
      <c r="K144" s="2" t="str">
        <f>HYPERLINK("https://www.nba.com/stats/events?CFID=&amp;CFPARAMS=&amp;GameEventID=356&amp;GameID=0022000202&amp;Season=2020-21&amp;flag=1&amp;title=Leonard%20driving%20DUNK%20(10%20PTS)", "Driving DUNK (10 PTS)")</f>
        <v>Driving DUNK (10 PTS)</v>
      </c>
      <c r="L144" s="2" t="str">
        <f>HYPERLINK("https://www.nba.com/game/...-vs-...-0022000202/play-by-play?watchFullGame=true", "LAC vs IND - Q3 07:47.00")</f>
        <v>LAC vs IND - Q3 07:47.00</v>
      </c>
      <c r="M144">
        <v>1.3</v>
      </c>
      <c r="N144">
        <v>6.26</v>
      </c>
      <c r="O144">
        <v>52.27</v>
      </c>
      <c r="P144">
        <v>-11</v>
      </c>
      <c r="Q144">
        <v>6</v>
      </c>
      <c r="R144">
        <v>6</v>
      </c>
      <c r="S144">
        <v>52</v>
      </c>
    </row>
    <row r="145" spans="1:19" hidden="1" x14ac:dyDescent="0.25">
      <c r="A145">
        <v>22301003</v>
      </c>
      <c r="B145" t="s">
        <v>18</v>
      </c>
      <c r="C145" t="s">
        <v>87</v>
      </c>
      <c r="D145">
        <v>68</v>
      </c>
      <c r="E145">
        <v>58</v>
      </c>
      <c r="F145">
        <v>10</v>
      </c>
      <c r="G145">
        <v>3</v>
      </c>
      <c r="H145" s="1">
        <v>4.8611111111111112E-3</v>
      </c>
      <c r="I145">
        <v>2023</v>
      </c>
      <c r="J145" t="s">
        <v>83</v>
      </c>
      <c r="K145" s="2" t="str">
        <f>HYPERLINK("https://www.nba.com/stats/events?CFID=&amp;CFPARAMS=&amp;GameEventID=311&amp;GameID=0022301003&amp;Season=2023-24&amp;flag=1&amp;title=Leonard%20driving%20finger%20roll%20Layup%20(11%20PTS)%20(P.%20George%204%20AST)", "Driving finger roll Layup (11 PTS) (P. George 4 AST)")</f>
        <v>Driving finger roll Layup (11 PTS) (P. George 4 AST)</v>
      </c>
      <c r="L145" s="2" t="str">
        <f>HYPERLINK("https://www.nba.com/game/...-vs-...-0022301003/play-by-play?watchFullGame=true", "LAC vs POR - Q3 07:00.00")</f>
        <v>LAC vs POR - Q3 07:00.00</v>
      </c>
      <c r="M145">
        <v>3.11</v>
      </c>
      <c r="N145">
        <v>6.65</v>
      </c>
      <c r="O145">
        <v>44.12</v>
      </c>
      <c r="P145">
        <v>29</v>
      </c>
      <c r="Q145">
        <v>10</v>
      </c>
      <c r="R145">
        <v>6</v>
      </c>
      <c r="S145">
        <v>44</v>
      </c>
    </row>
    <row r="146" spans="1:19" hidden="1" x14ac:dyDescent="0.25">
      <c r="A146">
        <v>22300473</v>
      </c>
      <c r="B146" t="s">
        <v>18</v>
      </c>
      <c r="C146" t="s">
        <v>87</v>
      </c>
      <c r="D146">
        <v>95</v>
      </c>
      <c r="E146">
        <v>76</v>
      </c>
      <c r="F146">
        <v>19</v>
      </c>
      <c r="G146">
        <v>3</v>
      </c>
      <c r="H146" s="1">
        <v>3.0324074074074073E-3</v>
      </c>
      <c r="I146">
        <v>2023</v>
      </c>
      <c r="J146" t="s">
        <v>83</v>
      </c>
      <c r="K146" s="2" t="str">
        <f>HYPERLINK("https://www.nba.com/stats/events?CFID=&amp;CFPARAMS=&amp;GameEventID=428&amp;GameID=0022300473&amp;Season=2023-24&amp;flag=1&amp;title=Leonard%20driving%20Layup%20(22%20PTS)", "Driving Layup (22 PTS)")</f>
        <v>Driving Layup (22 PTS)</v>
      </c>
      <c r="L146" s="2" t="str">
        <f>HYPERLINK("https://www.nba.com/game/...-vs-...-0022300473/play-by-play?watchFullGame=true", "LAC vs PHX - Q3 04:22.00")</f>
        <v>LAC vs PHX - Q3 04:22.00</v>
      </c>
      <c r="M146">
        <v>3.1</v>
      </c>
      <c r="N146">
        <v>6.13</v>
      </c>
      <c r="O146">
        <v>43.87</v>
      </c>
      <c r="P146">
        <v>31</v>
      </c>
      <c r="Q146">
        <v>5</v>
      </c>
      <c r="R146">
        <v>6</v>
      </c>
      <c r="S146">
        <v>43</v>
      </c>
    </row>
    <row r="147" spans="1:19" hidden="1" x14ac:dyDescent="0.25">
      <c r="A147">
        <v>22300676</v>
      </c>
      <c r="B147" t="s">
        <v>18</v>
      </c>
      <c r="C147" t="s">
        <v>88</v>
      </c>
      <c r="D147">
        <v>104</v>
      </c>
      <c r="E147">
        <v>79</v>
      </c>
      <c r="F147">
        <v>25</v>
      </c>
      <c r="G147">
        <v>3</v>
      </c>
      <c r="H147" s="1">
        <v>5.3703703703703704E-4</v>
      </c>
      <c r="I147">
        <v>2023</v>
      </c>
      <c r="J147" t="s">
        <v>83</v>
      </c>
      <c r="K147" s="2" t="str">
        <f>HYPERLINK("https://www.nba.com/stats/events?CFID=&amp;CFPARAMS=&amp;GameEventID=455&amp;GameID=0022300676&amp;Season=2023-24&amp;flag=1&amp;title=Leonard%20running%20DUNK%20(31%20PTS)%20(R.%20Westbrook%207%20AST)", "Running DUNK (31 PTS) (R. Westbrook 7 AST)")</f>
        <v>Running DUNK (31 PTS) (R. Westbrook 7 AST)</v>
      </c>
      <c r="L147" s="2" t="str">
        <f>HYPERLINK("https://www.nba.com/game/...-vs-...-0022300676/play-by-play?watchFullGame=true", "LAC vs WAS - Q3 00:46.40")</f>
        <v>LAC vs WAS - Q3 00:46.40</v>
      </c>
      <c r="M147">
        <v>1.24</v>
      </c>
      <c r="N147">
        <v>6.39</v>
      </c>
      <c r="O147">
        <v>51.96</v>
      </c>
      <c r="P147">
        <v>-10</v>
      </c>
      <c r="Q147">
        <v>8</v>
      </c>
      <c r="R147">
        <v>6</v>
      </c>
      <c r="S147">
        <v>51</v>
      </c>
    </row>
    <row r="148" spans="1:19" hidden="1" x14ac:dyDescent="0.25">
      <c r="A148">
        <v>41900153</v>
      </c>
      <c r="B148" t="s">
        <v>18</v>
      </c>
      <c r="C148" t="s">
        <v>84</v>
      </c>
      <c r="D148">
        <v>6</v>
      </c>
      <c r="E148">
        <v>4</v>
      </c>
      <c r="F148">
        <v>2</v>
      </c>
      <c r="G148">
        <v>1</v>
      </c>
      <c r="H148" s="1">
        <v>6.4930555555555557E-3</v>
      </c>
      <c r="I148" t="s">
        <v>86</v>
      </c>
      <c r="J148" t="s">
        <v>83</v>
      </c>
      <c r="K148" s="2" t="str">
        <f>HYPERLINK("https://www.nba.com/stats/events?CFID=&amp;CFPARAMS=&amp;GameEventID=30&amp;GameID=0041900153&amp;Season=2019-20&amp;flag=1&amp;title=Leonard%20jumpshot%20(2%20PTS)", "Jumpshot (2 PTS)")</f>
        <v>Jumpshot (2 PTS)</v>
      </c>
      <c r="L148" s="2" t="str">
        <f>HYPERLINK("https://www.nba.com/game/...-vs-...-0041900153/play-by-play?watchFullGame=true", "LAC vs DAL - Q1 09:21.00")</f>
        <v>LAC vs DAL - Q1 09:21.00</v>
      </c>
      <c r="M148">
        <v>2.91</v>
      </c>
      <c r="N148">
        <v>6.26</v>
      </c>
      <c r="O148">
        <v>44.68</v>
      </c>
      <c r="P148">
        <v>27</v>
      </c>
      <c r="Q148">
        <v>6</v>
      </c>
      <c r="R148">
        <v>6</v>
      </c>
      <c r="S148">
        <v>44</v>
      </c>
    </row>
    <row r="149" spans="1:19" hidden="1" x14ac:dyDescent="0.25">
      <c r="A149">
        <v>22000009</v>
      </c>
      <c r="B149" t="s">
        <v>18</v>
      </c>
      <c r="C149" t="s">
        <v>87</v>
      </c>
      <c r="D149">
        <v>8</v>
      </c>
      <c r="E149">
        <v>7</v>
      </c>
      <c r="F149">
        <v>1</v>
      </c>
      <c r="G149">
        <v>1</v>
      </c>
      <c r="H149" s="1">
        <v>5.2199074074074075E-3</v>
      </c>
      <c r="I149">
        <v>2020</v>
      </c>
      <c r="J149" t="s">
        <v>83</v>
      </c>
      <c r="K149" s="2" t="str">
        <f>HYPERLINK("https://www.nba.com/stats/events?CFID=&amp;CFPARAMS=&amp;GameEventID=59&amp;GameID=0022000009&amp;Season=2020-21&amp;flag=1&amp;title=Leonard%20alley-oop%20Layup%20(2%20PTS)%20(N.%20Batum%201%20AST)", "Alley-oop Layup (2 PTS) (N. Batum 1 AST)")</f>
        <v>Alley-oop Layup (2 PTS) (N. Batum 1 AST)</v>
      </c>
      <c r="L149" s="2" t="str">
        <f>HYPERLINK("https://www.nba.com/game/...-vs-...-0022000009/play-by-play?watchFullGame=true", "LAC vs DEN - Q1 07:31.00")</f>
        <v>LAC vs DEN - Q1 07:31.00</v>
      </c>
      <c r="M149">
        <v>2.72</v>
      </c>
      <c r="N149">
        <v>6.39</v>
      </c>
      <c r="O149">
        <v>55.22</v>
      </c>
      <c r="P149">
        <v>-26</v>
      </c>
      <c r="Q149">
        <v>8</v>
      </c>
      <c r="R149">
        <v>6</v>
      </c>
      <c r="S149">
        <v>55</v>
      </c>
    </row>
    <row r="150" spans="1:19" hidden="1" x14ac:dyDescent="0.25">
      <c r="A150">
        <v>21900436</v>
      </c>
      <c r="B150" t="s">
        <v>18</v>
      </c>
      <c r="C150" t="s">
        <v>90</v>
      </c>
      <c r="D150">
        <v>7</v>
      </c>
      <c r="E150">
        <v>5</v>
      </c>
      <c r="F150">
        <v>2</v>
      </c>
      <c r="G150">
        <v>1</v>
      </c>
      <c r="H150" s="1">
        <v>6.6666666666666671E-3</v>
      </c>
      <c r="I150">
        <v>2019</v>
      </c>
      <c r="J150" t="s">
        <v>83</v>
      </c>
      <c r="K150" s="2" t="str">
        <f>HYPERLINK("https://www.nba.com/stats/events?CFID=&amp;CFPARAMS=&amp;GameEventID=33&amp;GameID=0021900436&amp;Season=2019-20&amp;flag=1&amp;title=Leonard%20layup%20(4%20PTS)%20(I.%20Zubac%201%20AST)", "Layup (4 PTS) (I. Zubac 1 AST)")</f>
        <v>Layup (4 PTS) (I. Zubac 1 AST)</v>
      </c>
      <c r="L150" s="2" t="str">
        <f>HYPERLINK("https://www.nba.com/game/...-vs-...-0021900436/play-by-play?watchFullGame=true", "LAC vs SAS - Q1 09:36.00")</f>
        <v>LAC vs SAS - Q1 09:36.00</v>
      </c>
      <c r="M150">
        <v>2.65</v>
      </c>
      <c r="N150">
        <v>6.78</v>
      </c>
      <c r="O150">
        <v>45.9</v>
      </c>
      <c r="P150">
        <v>20</v>
      </c>
      <c r="Q150">
        <v>11</v>
      </c>
      <c r="R150">
        <v>6</v>
      </c>
      <c r="S150">
        <v>45</v>
      </c>
    </row>
    <row r="151" spans="1:19" hidden="1" x14ac:dyDescent="0.25">
      <c r="A151">
        <v>22400889</v>
      </c>
      <c r="B151" t="s">
        <v>18</v>
      </c>
      <c r="C151" t="s">
        <v>87</v>
      </c>
      <c r="D151">
        <v>80</v>
      </c>
      <c r="E151">
        <v>61</v>
      </c>
      <c r="F151">
        <v>19</v>
      </c>
      <c r="G151">
        <v>3</v>
      </c>
      <c r="H151" s="1">
        <v>4.5717592592592589E-3</v>
      </c>
      <c r="I151">
        <v>2024</v>
      </c>
      <c r="J151" t="s">
        <v>83</v>
      </c>
      <c r="K151" s="2" t="str">
        <f>HYPERLINK("https://www.nba.com/stats/events?CFID=&amp;CFPARAMS=&amp;GameEventID=354&amp;GameID=0022400889&amp;Season=2024-25&amp;flag=1&amp;title=Leonard%20cutting%20Layup%20(17%20PTS)%20(J.%20Harden%2010%20AST)", "Cutting Layup (17 PTS) (J. Harden 10 AST)")</f>
        <v>Cutting Layup (17 PTS) (J. Harden 10 AST)</v>
      </c>
      <c r="L151" s="2" t="str">
        <f>HYPERLINK("https://www.nba.com/game/...-vs-...-0022400889/play-by-play?watchFullGame=true", "LAC vs PHX - Q3 06:35.00")</f>
        <v>LAC vs PHX - Q3 06:35.00</v>
      </c>
      <c r="M151">
        <v>2.63</v>
      </c>
      <c r="N151">
        <v>6.57</v>
      </c>
      <c r="O151">
        <v>45.08</v>
      </c>
      <c r="P151">
        <v>25</v>
      </c>
      <c r="Q151">
        <v>9</v>
      </c>
      <c r="R151">
        <v>6</v>
      </c>
      <c r="S151">
        <v>45</v>
      </c>
    </row>
    <row r="152" spans="1:19" hidden="1" x14ac:dyDescent="0.25">
      <c r="A152">
        <v>22300372</v>
      </c>
      <c r="B152" t="s">
        <v>18</v>
      </c>
      <c r="C152" t="s">
        <v>88</v>
      </c>
      <c r="D152">
        <v>106</v>
      </c>
      <c r="E152">
        <v>105</v>
      </c>
      <c r="F152">
        <v>1</v>
      </c>
      <c r="G152">
        <v>4</v>
      </c>
      <c r="H152" s="1">
        <v>2.7662037037037039E-3</v>
      </c>
      <c r="I152">
        <v>2023</v>
      </c>
      <c r="J152" t="s">
        <v>83</v>
      </c>
      <c r="K152" s="2" t="str">
        <f>HYPERLINK("https://www.nba.com/stats/events?CFID=&amp;CFPARAMS=&amp;GameEventID=568&amp;GameID=0022300372&amp;Season=2023-24&amp;flag=1&amp;title=Leonard%20alley-oop%20DUNK%20(22%20PTS)%20(T.%20Mann%201%20AST)", "Alley-oop DUNK (22 PTS) (T. Mann 1 AST)")</f>
        <v>Alley-oop DUNK (22 PTS) (T. Mann 1 AST)</v>
      </c>
      <c r="L152" s="2" t="str">
        <f>HYPERLINK("https://www.nba.com/game/...-vs-...-0022300372/play-by-play?watchFullGame=true", "LAC vs DAL - Q4 03:59.00")</f>
        <v>LAC vs DAL - Q4 03:59.00</v>
      </c>
      <c r="M152">
        <v>1.23</v>
      </c>
      <c r="N152">
        <v>6.52</v>
      </c>
      <c r="O152">
        <v>51.72</v>
      </c>
      <c r="P152">
        <v>-9</v>
      </c>
      <c r="Q152">
        <v>9</v>
      </c>
      <c r="R152">
        <v>6</v>
      </c>
      <c r="S152">
        <v>51</v>
      </c>
    </row>
    <row r="153" spans="1:19" hidden="1" x14ac:dyDescent="0.25">
      <c r="A153">
        <v>22301225</v>
      </c>
      <c r="B153" t="s">
        <v>18</v>
      </c>
      <c r="C153" t="s">
        <v>87</v>
      </c>
      <c r="D153">
        <v>105</v>
      </c>
      <c r="E153">
        <v>93</v>
      </c>
      <c r="F153">
        <v>12</v>
      </c>
      <c r="G153">
        <v>4</v>
      </c>
      <c r="H153" s="1">
        <v>4.1550925925925922E-3</v>
      </c>
      <c r="I153">
        <v>2023</v>
      </c>
      <c r="J153" t="s">
        <v>83</v>
      </c>
      <c r="K153" s="2" t="str">
        <f>HYPERLINK("https://www.nba.com/stats/events?CFID=&amp;CFPARAMS=&amp;GameEventID=594&amp;GameID=0022301225&amp;Season=2023-24&amp;flag=1&amp;title=Leonard%20driving%20Layup%20(36%20PTS)", "Driving Layup (36 PTS)")</f>
        <v>Driving Layup (36 PTS)</v>
      </c>
      <c r="L153" s="2" t="str">
        <f>HYPERLINK("https://www.nba.com/game/...-vs-...-0022301225/play-by-play?watchFullGame=true", "LAC vs UTA - Q4 05:59.00")</f>
        <v>LAC vs UTA - Q4 05:59.00</v>
      </c>
      <c r="M153">
        <v>2.41</v>
      </c>
      <c r="N153">
        <v>6.26</v>
      </c>
      <c r="O153">
        <v>45.34</v>
      </c>
      <c r="P153">
        <v>23</v>
      </c>
      <c r="Q153">
        <v>6</v>
      </c>
      <c r="R153">
        <v>6</v>
      </c>
      <c r="S153">
        <v>45</v>
      </c>
    </row>
    <row r="154" spans="1:19" hidden="1" x14ac:dyDescent="0.25">
      <c r="A154">
        <v>21900626</v>
      </c>
      <c r="B154" t="s">
        <v>18</v>
      </c>
      <c r="C154" t="s">
        <v>92</v>
      </c>
      <c r="D154">
        <v>14</v>
      </c>
      <c r="E154">
        <v>10</v>
      </c>
      <c r="F154">
        <v>4</v>
      </c>
      <c r="G154">
        <v>1</v>
      </c>
      <c r="H154" s="1">
        <v>5.2314814814814811E-3</v>
      </c>
      <c r="I154">
        <v>2019</v>
      </c>
      <c r="J154" t="s">
        <v>83</v>
      </c>
      <c r="K154" s="2" t="str">
        <f>HYPERLINK("https://www.nba.com/stats/events?CFID=&amp;CFPARAMS=&amp;GameEventID=60&amp;GameID=0021900626&amp;Season=2019-20&amp;flag=1&amp;title=Leonard%20dunk%20(7%20PTS)%20(L.%20Shamet%201%20AST)", "Dunk (7 PTS) (L. Shamet 1 AST)")</f>
        <v>Dunk (7 PTS) (L. Shamet 1 AST)</v>
      </c>
      <c r="L154" s="2" t="str">
        <f>HYPERLINK("https://www.nba.com/game/...-vs-...-0021900626/play-by-play?watchFullGame=true", "LAC vs NOP - Q1 07:32.00")</f>
        <v>LAC vs NOP - Q1 07:32.00</v>
      </c>
      <c r="M154">
        <v>1.96</v>
      </c>
      <c r="N154">
        <v>6.92</v>
      </c>
      <c r="O154">
        <v>51.54</v>
      </c>
      <c r="P154">
        <v>-8</v>
      </c>
      <c r="Q154">
        <v>13</v>
      </c>
      <c r="R154">
        <v>6</v>
      </c>
      <c r="S154">
        <v>51</v>
      </c>
    </row>
    <row r="155" spans="1:19" hidden="1" x14ac:dyDescent="0.25">
      <c r="A155">
        <v>22200538</v>
      </c>
      <c r="B155" t="s">
        <v>18</v>
      </c>
      <c r="C155" t="s">
        <v>88</v>
      </c>
      <c r="D155">
        <v>90</v>
      </c>
      <c r="E155">
        <v>91</v>
      </c>
      <c r="F155">
        <v>1</v>
      </c>
      <c r="G155">
        <v>3</v>
      </c>
      <c r="H155" s="1">
        <v>5.4513888888888895E-4</v>
      </c>
      <c r="I155">
        <v>2022</v>
      </c>
      <c r="J155" t="s">
        <v>83</v>
      </c>
      <c r="K155" s="2" t="str">
        <f>HYPERLINK("https://www.nba.com/stats/events?CFID=&amp;CFPARAMS=&amp;GameEventID=445&amp;GameID=0022200538&amp;Season=2022-23&amp;flag=1&amp;title=Leonard%20running%20DUNK%20(21%20PTS)%20(N.%20Powell%202%20AST)", "Running DUNK (21 PTS) (N. Powell 2 AST)")</f>
        <v>Running DUNK (21 PTS) (N. Powell 2 AST)</v>
      </c>
      <c r="L155" s="2" t="str">
        <f>HYPERLINK("https://www.nba.com/game/...-vs-...-0022200538/play-by-play?watchFullGame=true", "LAC vs IND - Q3 00:47.10")</f>
        <v>LAC vs IND - Q3 00:47.10</v>
      </c>
      <c r="M155">
        <v>1.35</v>
      </c>
      <c r="N155">
        <v>6.78</v>
      </c>
      <c r="O155">
        <v>51.47</v>
      </c>
      <c r="P155">
        <v>-7</v>
      </c>
      <c r="Q155">
        <v>11</v>
      </c>
      <c r="R155">
        <v>6</v>
      </c>
      <c r="S155">
        <v>51</v>
      </c>
    </row>
    <row r="156" spans="1:19" hidden="1" x14ac:dyDescent="0.25">
      <c r="A156">
        <v>22300658</v>
      </c>
      <c r="B156" t="s">
        <v>18</v>
      </c>
      <c r="C156" t="s">
        <v>87</v>
      </c>
      <c r="D156">
        <v>92</v>
      </c>
      <c r="E156">
        <v>102</v>
      </c>
      <c r="F156">
        <v>10</v>
      </c>
      <c r="G156">
        <v>4</v>
      </c>
      <c r="H156" s="1">
        <v>5.5208333333333333E-3</v>
      </c>
      <c r="I156">
        <v>2023</v>
      </c>
      <c r="J156" t="s">
        <v>83</v>
      </c>
      <c r="K156" s="2" t="str">
        <f>HYPERLINK("https://www.nba.com/stats/events?CFID=&amp;CFPARAMS=&amp;GameEventID=552&amp;GameID=0022300658&amp;Season=2023-24&amp;flag=1&amp;title=Leonard%20driving%20reverse%20Layup%20(26%20PTS)%20(J.%20Harden%209%20AST)", "Driving reverse Layup (26 PTS) (J. Harden 9 AST)")</f>
        <v>Driving reverse Layup (26 PTS) (J. Harden 9 AST)</v>
      </c>
      <c r="L156" s="2" t="str">
        <f>HYPERLINK("https://www.nba.com/game/...-vs-...-0022300658/play-by-play?watchFullGame=true", "LAC vs CLE - Q4 07:57.00")</f>
        <v>LAC vs CLE - Q4 07:57.00</v>
      </c>
      <c r="M156">
        <v>2.15</v>
      </c>
      <c r="N156">
        <v>6.52</v>
      </c>
      <c r="O156">
        <v>46.08</v>
      </c>
      <c r="P156">
        <v>20</v>
      </c>
      <c r="Q156">
        <v>9</v>
      </c>
      <c r="R156">
        <v>6</v>
      </c>
      <c r="S156">
        <v>46</v>
      </c>
    </row>
    <row r="157" spans="1:19" hidden="1" x14ac:dyDescent="0.25">
      <c r="A157">
        <v>22000077</v>
      </c>
      <c r="B157" t="s">
        <v>18</v>
      </c>
      <c r="C157" t="s">
        <v>87</v>
      </c>
      <c r="D157">
        <v>42</v>
      </c>
      <c r="E157">
        <v>43</v>
      </c>
      <c r="F157">
        <v>1</v>
      </c>
      <c r="G157">
        <v>2</v>
      </c>
      <c r="H157" s="1">
        <v>1.3194444444444445E-3</v>
      </c>
      <c r="I157">
        <v>2020</v>
      </c>
      <c r="J157" t="s">
        <v>83</v>
      </c>
      <c r="K157" s="2" t="str">
        <f>HYPERLINK("https://www.nba.com/stats/events?CFID=&amp;CFPARAMS=&amp;GameEventID=313&amp;GameID=0022000077&amp;Season=2020-21&amp;flag=1&amp;title=Leonard%20driving%20Layup%20(11%20PTS)", "Driving Layup (11 PTS)")</f>
        <v>Driving Layup (11 PTS)</v>
      </c>
      <c r="L157" s="2" t="str">
        <f>HYPERLINK("https://www.nba.com/game/...-vs-...-0022000077/play-by-play?watchFullGame=true", "LAC vs UTA - Q2 01:54.00")</f>
        <v>LAC vs UTA - Q2 01:54.00</v>
      </c>
      <c r="M157">
        <v>2.14</v>
      </c>
      <c r="N157">
        <v>6.26</v>
      </c>
      <c r="O157">
        <v>45.9</v>
      </c>
      <c r="P157">
        <v>20</v>
      </c>
      <c r="Q157">
        <v>6</v>
      </c>
      <c r="R157">
        <v>6</v>
      </c>
      <c r="S157">
        <v>45</v>
      </c>
    </row>
    <row r="158" spans="1:19" hidden="1" x14ac:dyDescent="0.25">
      <c r="A158">
        <v>22200509</v>
      </c>
      <c r="B158" t="s">
        <v>18</v>
      </c>
      <c r="C158" t="s">
        <v>87</v>
      </c>
      <c r="D158">
        <v>85</v>
      </c>
      <c r="E158">
        <v>71</v>
      </c>
      <c r="F158">
        <v>14</v>
      </c>
      <c r="G158">
        <v>3</v>
      </c>
      <c r="H158" s="1">
        <v>2.1180555555555558E-3</v>
      </c>
      <c r="I158">
        <v>2022</v>
      </c>
      <c r="J158" t="s">
        <v>83</v>
      </c>
      <c r="K158" s="2" t="str">
        <f>HYPERLINK("https://www.nba.com/stats/events?CFID=&amp;CFPARAMS=&amp;GameEventID=430&amp;GameID=0022200509&amp;Season=2022-23&amp;flag=1&amp;title=Leonard%20running%20Layup%20(10%20PTS)", "Running Layup (10 PTS)")</f>
        <v>Running Layup (10 PTS)</v>
      </c>
      <c r="L158" s="2" t="str">
        <f>HYPERLINK("https://www.nba.com/game/...-vs-...-0022200509/play-by-play?watchFullGame=true", "LAC vs TOR - Q3 03:03.00")</f>
        <v>LAC vs TOR - Q3 03:03.00</v>
      </c>
      <c r="M158">
        <v>2.13</v>
      </c>
      <c r="N158">
        <v>6.92</v>
      </c>
      <c r="O158">
        <v>46.57</v>
      </c>
      <c r="P158">
        <v>17</v>
      </c>
      <c r="Q158">
        <v>13</v>
      </c>
      <c r="R158">
        <v>6</v>
      </c>
      <c r="S158">
        <v>46</v>
      </c>
    </row>
    <row r="159" spans="1:19" hidden="1" x14ac:dyDescent="0.25">
      <c r="A159">
        <v>21900224</v>
      </c>
      <c r="B159" t="s">
        <v>18</v>
      </c>
      <c r="C159" t="s">
        <v>90</v>
      </c>
      <c r="D159">
        <v>86</v>
      </c>
      <c r="E159">
        <v>86</v>
      </c>
      <c r="F159">
        <v>0</v>
      </c>
      <c r="G159">
        <v>4</v>
      </c>
      <c r="H159" s="1">
        <v>7.3611111111111108E-3</v>
      </c>
      <c r="I159">
        <v>2019</v>
      </c>
      <c r="J159" t="s">
        <v>83</v>
      </c>
      <c r="K159" s="2" t="str">
        <f>HYPERLINK("https://www.nba.com/stats/events?CFID=&amp;CFPARAMS=&amp;GameEventID=552&amp;GameID=0021900224&amp;Season=2019-20&amp;flag=1&amp;title=Leonard%20layup%20(19%20PTS)", "Layup (19 PTS)")</f>
        <v>Layup (19 PTS)</v>
      </c>
      <c r="L159" s="2" t="str">
        <f>HYPERLINK("https://www.nba.com/game/...-vs-...-0021900224/play-by-play?watchFullGame=true", "LAC vs HOU - Q4 10:36.00")</f>
        <v>LAC vs HOU - Q4 10:36.00</v>
      </c>
      <c r="M159">
        <v>2.13</v>
      </c>
      <c r="N159">
        <v>6.88</v>
      </c>
      <c r="O159">
        <v>52.38</v>
      </c>
      <c r="P159">
        <v>-12</v>
      </c>
      <c r="Q159">
        <v>12</v>
      </c>
      <c r="R159">
        <v>6</v>
      </c>
      <c r="S159">
        <v>52</v>
      </c>
    </row>
    <row r="160" spans="1:19" hidden="1" x14ac:dyDescent="0.25">
      <c r="A160">
        <v>21900115</v>
      </c>
      <c r="B160" t="s">
        <v>18</v>
      </c>
      <c r="C160" t="s">
        <v>90</v>
      </c>
      <c r="D160">
        <v>4</v>
      </c>
      <c r="E160">
        <v>4</v>
      </c>
      <c r="F160">
        <v>0</v>
      </c>
      <c r="G160">
        <v>1</v>
      </c>
      <c r="H160" s="1">
        <v>7.1759259259259259E-3</v>
      </c>
      <c r="I160">
        <v>2019</v>
      </c>
      <c r="J160" t="s">
        <v>83</v>
      </c>
      <c r="K160" s="2" t="str">
        <f>HYPERLINK("https://www.nba.com/stats/events?CFID=&amp;CFPARAMS=&amp;GameEventID=24&amp;GameID=0021900115&amp;Season=2019-20&amp;flag=1&amp;title=[LAC]%20Leonard%20layup:%20Made%20(2%20PTS)", "[LAC] Leonard layup: Made (2 PTS)")</f>
        <v>[LAC] Leonard layup: Made (2 PTS)</v>
      </c>
      <c r="L160" s="2" t="str">
        <f>HYPERLINK("https://www.nba.com/game/...-vs-...-0021900115/play-by-play?watchFullGame=true", "LAC vs POR - Q1 10:20.00")</f>
        <v>LAC vs POR - Q1 10:20.00</v>
      </c>
      <c r="M160">
        <v>2.09</v>
      </c>
      <c r="N160">
        <v>6.23</v>
      </c>
      <c r="O160">
        <v>46.5</v>
      </c>
      <c r="P160">
        <v>18</v>
      </c>
      <c r="Q160">
        <v>6</v>
      </c>
      <c r="R160">
        <v>6</v>
      </c>
      <c r="S160">
        <v>46</v>
      </c>
    </row>
    <row r="161" spans="1:19" hidden="1" x14ac:dyDescent="0.25">
      <c r="A161">
        <v>21901258</v>
      </c>
      <c r="B161" t="s">
        <v>18</v>
      </c>
      <c r="C161" t="s">
        <v>90</v>
      </c>
      <c r="D161">
        <v>45</v>
      </c>
      <c r="E161">
        <v>43</v>
      </c>
      <c r="F161">
        <v>2</v>
      </c>
      <c r="G161">
        <v>2</v>
      </c>
      <c r="H161" s="1">
        <v>3.2060185185185186E-3</v>
      </c>
      <c r="I161">
        <v>2019</v>
      </c>
      <c r="J161" t="s">
        <v>83</v>
      </c>
      <c r="K161" s="2" t="str">
        <f>HYPERLINK("https://www.nba.com/stats/events?CFID=&amp;CFPARAMS=&amp;GameEventID=242&amp;GameID=0021901258&amp;Season=2019-20&amp;flag=1&amp;title=Leonard%20layup%20(6%20PTS)", "Layup (6 PTS)")</f>
        <v>Layup (6 PTS)</v>
      </c>
      <c r="L161" s="2" t="str">
        <f>HYPERLINK("https://www.nba.com/game/...-vs-...-0021901258/play-by-play?watchFullGame=true", "LAC vs PHX - Q2 04:37.00")</f>
        <v>LAC vs PHX - Q2 04:37.00</v>
      </c>
      <c r="M161">
        <v>2.04</v>
      </c>
      <c r="N161">
        <v>6.39</v>
      </c>
      <c r="O161">
        <v>46.88</v>
      </c>
      <c r="P161">
        <v>16</v>
      </c>
      <c r="Q161">
        <v>8</v>
      </c>
      <c r="R161">
        <v>6</v>
      </c>
      <c r="S161">
        <v>46</v>
      </c>
    </row>
    <row r="162" spans="1:19" hidden="1" x14ac:dyDescent="0.25">
      <c r="A162">
        <v>21900576</v>
      </c>
      <c r="B162" t="s">
        <v>18</v>
      </c>
      <c r="C162" t="s">
        <v>92</v>
      </c>
      <c r="D162">
        <v>62</v>
      </c>
      <c r="E162">
        <v>65</v>
      </c>
      <c r="F162">
        <v>3</v>
      </c>
      <c r="G162">
        <v>3</v>
      </c>
      <c r="H162" s="1">
        <v>4.8263888888888887E-3</v>
      </c>
      <c r="I162">
        <v>2019</v>
      </c>
      <c r="J162" t="s">
        <v>83</v>
      </c>
      <c r="K162" s="2" t="str">
        <f>HYPERLINK("https://www.nba.com/stats/events?CFID=&amp;CFPARAMS=&amp;GameEventID=417&amp;GameID=0021900576&amp;Season=2019-20&amp;flag=1&amp;title=Leonard%20dunk%20(24%20PTS)%20(M.%20Harrell%201%20AST)", "Dunk (24 PTS) (M. Harrell 1 AST)")</f>
        <v>Dunk (24 PTS) (M. Harrell 1 AST)</v>
      </c>
      <c r="L162" s="2" t="str">
        <f>HYPERLINK("https://www.nba.com/game/...-vs-...-0021900576/play-by-play?watchFullGame=true", "LAC vs GSW - Q3 06:57.00")</f>
        <v>LAC vs GSW - Q3 06:57.00</v>
      </c>
      <c r="M162">
        <v>1.75</v>
      </c>
      <c r="N162">
        <v>6.75</v>
      </c>
      <c r="O162">
        <v>51.16</v>
      </c>
      <c r="P162">
        <v>-6</v>
      </c>
      <c r="Q162">
        <v>11</v>
      </c>
      <c r="R162">
        <v>6</v>
      </c>
      <c r="S162">
        <v>51</v>
      </c>
    </row>
    <row r="163" spans="1:19" hidden="1" x14ac:dyDescent="0.25">
      <c r="A163">
        <v>21900603</v>
      </c>
      <c r="B163" t="s">
        <v>18</v>
      </c>
      <c r="C163" t="s">
        <v>92</v>
      </c>
      <c r="D163">
        <v>7</v>
      </c>
      <c r="E163">
        <v>5</v>
      </c>
      <c r="F163">
        <v>2</v>
      </c>
      <c r="G163">
        <v>1</v>
      </c>
      <c r="H163" s="1">
        <v>6.4930555555555557E-3</v>
      </c>
      <c r="I163">
        <v>2019</v>
      </c>
      <c r="J163" t="s">
        <v>83</v>
      </c>
      <c r="K163" s="2" t="str">
        <f>HYPERLINK("https://www.nba.com/stats/events?CFID=&amp;CFPARAMS=&amp;GameEventID=27&amp;GameID=0021900603&amp;Season=2019-20&amp;flag=1&amp;title=Leonard%20dunk%20(2%20PTS)%20(P.%20Beverley%202%20AST)", "Dunk (2 PTS) (P. Beverley 2 AST)")</f>
        <v>Dunk (2 PTS) (P. Beverley 2 AST)</v>
      </c>
      <c r="L163" s="2" t="str">
        <f>HYPERLINK("https://www.nba.com/game/...-vs-...-0021900603/play-by-play?watchFullGame=true", "LAC vs CLE - Q1 09:21.00")</f>
        <v>LAC vs CLE - Q1 09:21.00</v>
      </c>
      <c r="M163">
        <v>1.52</v>
      </c>
      <c r="N163">
        <v>6.49</v>
      </c>
      <c r="O163">
        <v>51.16</v>
      </c>
      <c r="P163">
        <v>-6</v>
      </c>
      <c r="Q163">
        <v>8</v>
      </c>
      <c r="R163">
        <v>6</v>
      </c>
      <c r="S163">
        <v>51</v>
      </c>
    </row>
    <row r="164" spans="1:19" hidden="1" x14ac:dyDescent="0.25">
      <c r="A164">
        <v>22000251</v>
      </c>
      <c r="B164" t="s">
        <v>18</v>
      </c>
      <c r="C164" t="s">
        <v>88</v>
      </c>
      <c r="D164">
        <v>104</v>
      </c>
      <c r="E164">
        <v>96</v>
      </c>
      <c r="F164">
        <v>8</v>
      </c>
      <c r="G164">
        <v>4</v>
      </c>
      <c r="H164" s="1">
        <v>4.918981481481481E-4</v>
      </c>
      <c r="I164">
        <v>2020</v>
      </c>
      <c r="J164" t="s">
        <v>83</v>
      </c>
      <c r="K164" s="2" t="str">
        <f>HYPERLINK("https://www.nba.com/stats/events?CFID=&amp;CFPARAMS=&amp;GameEventID=596&amp;GameID=0022000251&amp;Season=2020-21&amp;flag=1&amp;title=Leonard%20driving%20DUNK%20(34%20PTS)%20(L.%20Kennard%204%20AST)", "Driving DUNK (34 PTS) (L. Kennard 4 AST)")</f>
        <v>Driving DUNK (34 PTS) (L. Kennard 4 AST)</v>
      </c>
      <c r="L164" s="2" t="str">
        <f>HYPERLINK("https://www.nba.com/game/...-vs-...-0022000251/play-by-play?watchFullGame=true", "LAC vs OKC - Q4 00:42.50")</f>
        <v>LAC vs OKC - Q4 00:42.50</v>
      </c>
      <c r="M164">
        <v>1.41</v>
      </c>
      <c r="N164">
        <v>6.92</v>
      </c>
      <c r="O164">
        <v>51.29</v>
      </c>
      <c r="P164">
        <v>-6</v>
      </c>
      <c r="Q164">
        <v>13</v>
      </c>
      <c r="R164">
        <v>6</v>
      </c>
      <c r="S164">
        <v>51</v>
      </c>
    </row>
    <row r="165" spans="1:19" hidden="1" x14ac:dyDescent="0.25">
      <c r="A165">
        <v>22000202</v>
      </c>
      <c r="B165" t="s">
        <v>18</v>
      </c>
      <c r="C165" t="s">
        <v>88</v>
      </c>
      <c r="D165">
        <v>73</v>
      </c>
      <c r="E165">
        <v>62</v>
      </c>
      <c r="F165">
        <v>11</v>
      </c>
      <c r="G165">
        <v>3</v>
      </c>
      <c r="H165" s="1">
        <v>5.7523148148148151E-3</v>
      </c>
      <c r="I165">
        <v>2020</v>
      </c>
      <c r="J165" t="s">
        <v>83</v>
      </c>
      <c r="K165" s="2" t="str">
        <f>HYPERLINK("https://www.nba.com/stats/events?CFID=&amp;CFPARAMS=&amp;GameEventID=353&amp;GameID=0022000202&amp;Season=2020-21&amp;flag=1&amp;title=Leonard%20driving%20DUNK%20(8%20PTS)", "Driving DUNK (8 PTS)")</f>
        <v>Driving DUNK (8 PTS)</v>
      </c>
      <c r="L165" s="2" t="str">
        <f>HYPERLINK("https://www.nba.com/game/...-vs-...-0022000202/play-by-play?watchFullGame=true", "LAC vs IND - Q3 08:17.00")</f>
        <v>LAC vs IND - Q3 08:17.00</v>
      </c>
      <c r="M165">
        <v>1.19</v>
      </c>
      <c r="N165">
        <v>6.65</v>
      </c>
      <c r="O165">
        <v>51.29</v>
      </c>
      <c r="P165">
        <v>-6</v>
      </c>
      <c r="Q165">
        <v>10</v>
      </c>
      <c r="R165">
        <v>6</v>
      </c>
      <c r="S165">
        <v>51</v>
      </c>
    </row>
    <row r="166" spans="1:19" hidden="1" x14ac:dyDescent="0.25">
      <c r="A166">
        <v>21900603</v>
      </c>
      <c r="B166" t="s">
        <v>18</v>
      </c>
      <c r="C166" t="s">
        <v>92</v>
      </c>
      <c r="D166">
        <v>65</v>
      </c>
      <c r="E166">
        <v>50</v>
      </c>
      <c r="F166">
        <v>15</v>
      </c>
      <c r="G166">
        <v>2</v>
      </c>
      <c r="H166" s="1">
        <v>2.4305555555555558E-5</v>
      </c>
      <c r="I166">
        <v>2019</v>
      </c>
      <c r="J166" t="s">
        <v>83</v>
      </c>
      <c r="K166" s="2" t="str">
        <f>HYPERLINK("https://www.nba.com/stats/events?CFID=&amp;CFPARAMS=&amp;GameEventID=300&amp;GameID=0021900603&amp;Season=2019-20&amp;flag=1&amp;title=Leonard%20dunk%20(25%20PTS)", "Dunk (25 PTS)")</f>
        <v>Dunk (25 PTS)</v>
      </c>
      <c r="L166" s="2" t="str">
        <f>HYPERLINK("https://www.nba.com/game/...-vs-...-0021900603/play-by-play?watchFullGame=true", "LAC vs CLE - Q2 00:02.10")</f>
        <v>LAC vs CLE - Q2 00:02.10</v>
      </c>
      <c r="M166">
        <v>1.18</v>
      </c>
      <c r="N166">
        <v>6.09</v>
      </c>
      <c r="O166">
        <v>51.16</v>
      </c>
      <c r="P166">
        <v>-6</v>
      </c>
      <c r="Q166">
        <v>5</v>
      </c>
      <c r="R166">
        <v>6</v>
      </c>
      <c r="S166">
        <v>51</v>
      </c>
    </row>
    <row r="167" spans="1:19" hidden="1" x14ac:dyDescent="0.25">
      <c r="A167">
        <v>22000720</v>
      </c>
      <c r="B167" t="s">
        <v>18</v>
      </c>
      <c r="C167" t="s">
        <v>88</v>
      </c>
      <c r="D167">
        <v>5</v>
      </c>
      <c r="E167">
        <v>0</v>
      </c>
      <c r="F167">
        <v>5</v>
      </c>
      <c r="G167">
        <v>1</v>
      </c>
      <c r="H167" s="1">
        <v>7.7314814814814815E-3</v>
      </c>
      <c r="I167">
        <v>2020</v>
      </c>
      <c r="J167" t="s">
        <v>83</v>
      </c>
      <c r="K167" s="2" t="str">
        <f>HYPERLINK("https://www.nba.com/stats/events?CFID=&amp;CFPARAMS=&amp;GameEventID=10&amp;GameID=0022000720&amp;Season=2020-21&amp;flag=1&amp;title=Leonard%20driving%20DUNK%20(2%20PTS)%20(N.%20Batum%201%20AST)", "Driving DUNK (2 PTS) (N. Batum 1 AST)")</f>
        <v>Driving DUNK (2 PTS) (N. Batum 1 AST)</v>
      </c>
      <c r="L167" s="2" t="str">
        <f>HYPERLINK("https://www.nba.com/game/...-vs-...-0022000720/play-by-play?watchFullGame=true", "LAC vs ORL - Q1 11:08.00")</f>
        <v>LAC vs ORL - Q1 11:08.00</v>
      </c>
      <c r="M167">
        <v>1.0900000000000001</v>
      </c>
      <c r="N167">
        <v>6.52</v>
      </c>
      <c r="O167">
        <v>51.29</v>
      </c>
      <c r="P167">
        <v>-6</v>
      </c>
      <c r="Q167">
        <v>9</v>
      </c>
      <c r="R167">
        <v>6</v>
      </c>
      <c r="S167">
        <v>51</v>
      </c>
    </row>
    <row r="168" spans="1:19" hidden="1" x14ac:dyDescent="0.25">
      <c r="A168">
        <v>22201004</v>
      </c>
      <c r="B168" t="s">
        <v>18</v>
      </c>
      <c r="C168" t="s">
        <v>88</v>
      </c>
      <c r="D168">
        <v>73</v>
      </c>
      <c r="E168">
        <v>70</v>
      </c>
      <c r="F168">
        <v>3</v>
      </c>
      <c r="G168">
        <v>3</v>
      </c>
      <c r="H168" s="1">
        <v>1.9328703703703704E-3</v>
      </c>
      <c r="I168">
        <v>2022</v>
      </c>
      <c r="J168" t="s">
        <v>83</v>
      </c>
      <c r="K168" s="2" t="str">
        <f>HYPERLINK("https://www.nba.com/stats/events?CFID=&amp;CFPARAMS=&amp;GameEventID=411&amp;GameID=0022201004&amp;Season=2022-23&amp;flag=1&amp;title=Leonard%20running%20alley-oop%20DUNK%20(28%20PTS)%20(P.%20George%206%20AST)", "Running alley-oop DUNK (28 PTS) (P. George 6 AST)")</f>
        <v>Running alley-oop DUNK (28 PTS) (P. George 6 AST)</v>
      </c>
      <c r="L168" s="2" t="str">
        <f>HYPERLINK("https://www.nba.com/game/...-vs-...-0022201004/play-by-play?watchFullGame=true", "LAC vs NYK - Q3 02:47.00")</f>
        <v>LAC vs NYK - Q3 02:47.00</v>
      </c>
      <c r="M168">
        <v>0.78</v>
      </c>
      <c r="N168">
        <v>6.09</v>
      </c>
      <c r="O168">
        <v>51.23</v>
      </c>
      <c r="P168">
        <v>-6</v>
      </c>
      <c r="Q168">
        <v>5</v>
      </c>
      <c r="R168">
        <v>6</v>
      </c>
      <c r="S168">
        <v>51</v>
      </c>
    </row>
    <row r="169" spans="1:19" hidden="1" x14ac:dyDescent="0.25">
      <c r="A169">
        <v>21900292</v>
      </c>
      <c r="B169" t="s">
        <v>18</v>
      </c>
      <c r="C169" t="s">
        <v>92</v>
      </c>
      <c r="D169">
        <v>133</v>
      </c>
      <c r="E169">
        <v>107</v>
      </c>
      <c r="F169">
        <v>26</v>
      </c>
      <c r="G169">
        <v>4</v>
      </c>
      <c r="H169" s="1">
        <v>4.9421296296296297E-3</v>
      </c>
      <c r="I169">
        <v>2019</v>
      </c>
      <c r="J169" t="s">
        <v>83</v>
      </c>
      <c r="K169" s="2" t="str">
        <f>HYPERLINK("https://www.nba.com/stats/events?CFID=&amp;CFPARAMS=&amp;GameEventID=642&amp;GameID=0021900292&amp;Season=2019-20&amp;flag=1&amp;title=Leonard%20dunk%20(31%20PTS)", "Dunk (31 PTS)")</f>
        <v>Dunk (31 PTS)</v>
      </c>
      <c r="L169" s="2" t="str">
        <f>HYPERLINK("https://www.nba.com/game/...-vs-...-0021900292/play-by-play?watchFullGame=true", "LAC vs WAS - Q4 07:07.00")</f>
        <v>LAC vs WAS - Q4 07:07.00</v>
      </c>
      <c r="M169">
        <v>1.47</v>
      </c>
      <c r="N169">
        <v>6.49</v>
      </c>
      <c r="O169">
        <v>50.91</v>
      </c>
      <c r="P169">
        <v>-5</v>
      </c>
      <c r="Q169">
        <v>8</v>
      </c>
      <c r="R169">
        <v>6</v>
      </c>
      <c r="S169">
        <v>50</v>
      </c>
    </row>
    <row r="170" spans="1:19" hidden="1" x14ac:dyDescent="0.25">
      <c r="A170">
        <v>22400679</v>
      </c>
      <c r="B170" t="s">
        <v>18</v>
      </c>
      <c r="C170" t="s">
        <v>88</v>
      </c>
      <c r="D170">
        <v>110</v>
      </c>
      <c r="E170">
        <v>99</v>
      </c>
      <c r="F170">
        <v>11</v>
      </c>
      <c r="G170">
        <v>4</v>
      </c>
      <c r="H170" s="1">
        <v>1.2152777777777778E-3</v>
      </c>
      <c r="I170">
        <v>2024</v>
      </c>
      <c r="J170" t="s">
        <v>83</v>
      </c>
      <c r="K170" s="2" t="str">
        <f>HYPERLINK("https://www.nba.com/stats/events?CFID=&amp;CFPARAMS=&amp;GameEventID=621&amp;GameID=0022400679&amp;Season=2024-25&amp;flag=1&amp;title=Leonard%20running%20DUNK%20(21%20PTS)", "Running DUNK (21 PTS)")</f>
        <v>Running DUNK (21 PTS)</v>
      </c>
      <c r="L170" s="2" t="str">
        <f>HYPERLINK("https://www.nba.com/game/...-vs-...-0022400679/play-by-play?watchFullGame=true", "LAC vs CHA - Q4 01:45.00")</f>
        <v>LAC vs CHA - Q4 01:45.00</v>
      </c>
      <c r="M170">
        <v>0.9</v>
      </c>
      <c r="N170">
        <v>6.39</v>
      </c>
      <c r="O170">
        <v>50.98</v>
      </c>
      <c r="P170">
        <v>-5</v>
      </c>
      <c r="Q170">
        <v>8</v>
      </c>
      <c r="R170">
        <v>6</v>
      </c>
      <c r="S170">
        <v>50</v>
      </c>
    </row>
    <row r="171" spans="1:19" hidden="1" x14ac:dyDescent="0.25">
      <c r="A171">
        <v>22300151</v>
      </c>
      <c r="B171" t="s">
        <v>18</v>
      </c>
      <c r="C171" t="s">
        <v>88</v>
      </c>
      <c r="D171">
        <v>66</v>
      </c>
      <c r="E171">
        <v>62</v>
      </c>
      <c r="F171">
        <v>4</v>
      </c>
      <c r="G171">
        <v>3</v>
      </c>
      <c r="H171" s="1">
        <v>3.0092592592592593E-3</v>
      </c>
      <c r="I171">
        <v>2023</v>
      </c>
      <c r="J171" t="s">
        <v>83</v>
      </c>
      <c r="K171" s="2" t="str">
        <f>HYPERLINK("https://www.nba.com/stats/events?CFID=&amp;CFPARAMS=&amp;GameEventID=374&amp;GameID=0022300151&amp;Season=2023-24&amp;flag=1&amp;title=Leonard%20running%20DUNK%20(15%20PTS)%20(R.%20Westbrook%204%20AST)", "Running DUNK (15 PTS) (R. Westbrook 4 AST)")</f>
        <v>Running DUNK (15 PTS) (R. Westbrook 4 AST)</v>
      </c>
      <c r="L171" s="2" t="str">
        <f>HYPERLINK("https://www.nba.com/game/...-vs-...-0022300151/play-by-play?watchFullGame=true", "LAC vs NYK - Q3 04:20.00")</f>
        <v>LAC vs NYK - Q3 04:20.00</v>
      </c>
      <c r="M171">
        <v>0.71</v>
      </c>
      <c r="N171">
        <v>6.13</v>
      </c>
      <c r="O171">
        <v>50.98</v>
      </c>
      <c r="P171">
        <v>-5</v>
      </c>
      <c r="Q171">
        <v>5</v>
      </c>
      <c r="R171">
        <v>6</v>
      </c>
      <c r="S171">
        <v>50</v>
      </c>
    </row>
    <row r="172" spans="1:19" hidden="1" x14ac:dyDescent="0.25">
      <c r="A172">
        <v>22400874</v>
      </c>
      <c r="B172" t="s">
        <v>18</v>
      </c>
      <c r="C172" t="s">
        <v>87</v>
      </c>
      <c r="D172">
        <v>86</v>
      </c>
      <c r="E172">
        <v>93</v>
      </c>
      <c r="F172">
        <v>7</v>
      </c>
      <c r="G172">
        <v>4</v>
      </c>
      <c r="H172" s="1">
        <v>5.9837962962962961E-3</v>
      </c>
      <c r="I172">
        <v>2024</v>
      </c>
      <c r="J172" t="s">
        <v>83</v>
      </c>
      <c r="K172" s="2" t="str">
        <f>HYPERLINK("https://www.nba.com/stats/events?CFID=&amp;CFPARAMS=&amp;GameEventID=513&amp;GameID=0022400874&amp;Season=2024-25&amp;flag=1&amp;title=Leonard%20driving%20finger%20roll%20Layup%20(28%20PTS)", "Driving finger roll Layup (28 PTS)")</f>
        <v>Driving finger roll Layup (28 PTS)</v>
      </c>
      <c r="L172" s="2" t="str">
        <f>HYPERLINK("https://www.nba.com/game/...-vs-...-0022400874/play-by-play?watchFullGame=true", "LAC vs LAL - Q4 08:37.00")</f>
        <v>LAC vs LAL - Q4 08:37.00</v>
      </c>
      <c r="M172">
        <v>1.98</v>
      </c>
      <c r="N172">
        <v>6.36</v>
      </c>
      <c r="O172">
        <v>46.32</v>
      </c>
      <c r="P172">
        <v>18</v>
      </c>
      <c r="Q172">
        <v>7</v>
      </c>
      <c r="R172">
        <v>6</v>
      </c>
      <c r="S172">
        <v>46</v>
      </c>
    </row>
    <row r="173" spans="1:19" hidden="1" x14ac:dyDescent="0.25">
      <c r="A173">
        <v>22300880</v>
      </c>
      <c r="B173" t="s">
        <v>18</v>
      </c>
      <c r="C173" t="s">
        <v>88</v>
      </c>
      <c r="D173">
        <v>54</v>
      </c>
      <c r="E173">
        <v>48</v>
      </c>
      <c r="F173">
        <v>6</v>
      </c>
      <c r="G173">
        <v>2</v>
      </c>
      <c r="H173" s="1">
        <v>3.7384259259259255E-4</v>
      </c>
      <c r="I173">
        <v>2023</v>
      </c>
      <c r="J173" t="s">
        <v>83</v>
      </c>
      <c r="K173" s="2" t="str">
        <f>HYPERLINK("https://www.nba.com/stats/events?CFID=&amp;CFPARAMS=&amp;GameEventID=261&amp;GameID=0022300880&amp;Season=2023-24&amp;flag=1&amp;title=Leonard%20running%20DUNK%20(6%20PTS)%20(J.%20Harden%205%20AST)", "Running DUNK (6 PTS) (J. Harden 5 AST)")</f>
        <v>Running DUNK (6 PTS) (J. Harden 5 AST)</v>
      </c>
      <c r="L173" s="2" t="str">
        <f>HYPERLINK("https://www.nba.com/game/...-vs-...-0022300880/play-by-play?watchFullGame=true", "LAC vs MIL - Q2 00:32.30")</f>
        <v>LAC vs MIL - Q2 00:32.30</v>
      </c>
      <c r="M173">
        <v>1.3</v>
      </c>
      <c r="N173">
        <v>6.92</v>
      </c>
      <c r="O173">
        <v>50.74</v>
      </c>
      <c r="P173">
        <v>-4</v>
      </c>
      <c r="Q173">
        <v>13</v>
      </c>
      <c r="R173">
        <v>6</v>
      </c>
      <c r="S173">
        <v>50</v>
      </c>
    </row>
    <row r="174" spans="1:19" hidden="1" x14ac:dyDescent="0.25">
      <c r="A174">
        <v>22300235</v>
      </c>
      <c r="B174" t="s">
        <v>18</v>
      </c>
      <c r="C174" t="s">
        <v>87</v>
      </c>
      <c r="D174">
        <v>70</v>
      </c>
      <c r="E174">
        <v>64</v>
      </c>
      <c r="F174">
        <v>6</v>
      </c>
      <c r="G174">
        <v>3</v>
      </c>
      <c r="H174" s="1">
        <v>4.0740740740740737E-3</v>
      </c>
      <c r="I174">
        <v>2023</v>
      </c>
      <c r="J174" t="s">
        <v>83</v>
      </c>
      <c r="K174" s="2" t="str">
        <f>HYPERLINK("https://www.nba.com/stats/events?CFID=&amp;CFPARAMS=&amp;GameEventID=430&amp;GameID=0022300235&amp;Season=2023-24&amp;flag=1&amp;title=Leonard%20finger%20roll%20Layup%20(20%20PTS)%20(J.%20Harden%207%20AST)", "Finger roll Layup (20 PTS) (J. Harden 7 AST)")</f>
        <v>Finger roll Layup (20 PTS) (J. Harden 7 AST)</v>
      </c>
      <c r="L174" s="2" t="str">
        <f>HYPERLINK("https://www.nba.com/game/...-vs-...-0022300235/play-by-play?watchFullGame=true", "LAC vs SAS - Q3 05:52.00")</f>
        <v>LAC vs SAS - Q3 05:52.00</v>
      </c>
      <c r="M174">
        <v>1.93</v>
      </c>
      <c r="N174">
        <v>6.92</v>
      </c>
      <c r="O174">
        <v>47.06</v>
      </c>
      <c r="P174">
        <v>15</v>
      </c>
      <c r="Q174">
        <v>13</v>
      </c>
      <c r="R174">
        <v>6</v>
      </c>
      <c r="S174">
        <v>47</v>
      </c>
    </row>
    <row r="175" spans="1:19" hidden="1" x14ac:dyDescent="0.25">
      <c r="A175">
        <v>22200604</v>
      </c>
      <c r="B175" t="s">
        <v>18</v>
      </c>
      <c r="C175" t="s">
        <v>87</v>
      </c>
      <c r="D175">
        <v>108</v>
      </c>
      <c r="E175">
        <v>108</v>
      </c>
      <c r="F175">
        <v>0</v>
      </c>
      <c r="G175">
        <v>4</v>
      </c>
      <c r="H175" s="1">
        <v>5.0810185185185181E-4</v>
      </c>
      <c r="I175">
        <v>2022</v>
      </c>
      <c r="J175" t="s">
        <v>83</v>
      </c>
      <c r="K175" s="2" t="str">
        <f>HYPERLINK("https://www.nba.com/stats/events?CFID=&amp;CFPARAMS=&amp;GameEventID=651&amp;GameID=0022200604&amp;Season=2022-23&amp;flag=1&amp;title=Leonard%20driving%20Layup%20(29%20PTS)%20(M.%20Morris%20Sr.%202%20AST)", "Driving Layup (29 PTS) (M. Morris Sr. 2 AST)")</f>
        <v>Driving Layup (29 PTS) (M. Morris Sr. 2 AST)</v>
      </c>
      <c r="L175" s="2" t="str">
        <f>HYPERLINK("https://www.nba.com/game/...-vs-...-0022200604/play-by-play?watchFullGame=true", "LAC vs ATL - Q4 00:43.90")</f>
        <v>LAC vs ATL - Q4 00:43.90</v>
      </c>
      <c r="M175">
        <v>1.92</v>
      </c>
      <c r="N175">
        <v>6.49</v>
      </c>
      <c r="O175">
        <v>46.57</v>
      </c>
      <c r="P175">
        <v>17</v>
      </c>
      <c r="Q175">
        <v>8</v>
      </c>
      <c r="R175">
        <v>6</v>
      </c>
      <c r="S175">
        <v>46</v>
      </c>
    </row>
    <row r="176" spans="1:19" hidden="1" x14ac:dyDescent="0.25">
      <c r="A176">
        <v>22400751</v>
      </c>
      <c r="B176" t="s">
        <v>18</v>
      </c>
      <c r="C176" t="s">
        <v>88</v>
      </c>
      <c r="D176">
        <v>42</v>
      </c>
      <c r="E176">
        <v>48</v>
      </c>
      <c r="F176">
        <v>6</v>
      </c>
      <c r="G176">
        <v>2</v>
      </c>
      <c r="H176" s="1">
        <v>3.8194444444444443E-3</v>
      </c>
      <c r="I176">
        <v>2024</v>
      </c>
      <c r="J176" t="s">
        <v>83</v>
      </c>
      <c r="K176" s="2" t="str">
        <f>HYPERLINK("https://www.nba.com/stats/events?CFID=&amp;CFPARAMS=&amp;GameEventID=244&amp;GameID=0022400751&amp;Season=2024-25&amp;flag=1&amp;title=Leonard%20cutting%20DUNK%20(6%20PTS)%20(I.%20Zubac%204%20AST)", "Cutting DUNK (6 PTS) (I. Zubac 4 AST)")</f>
        <v>Cutting DUNK (6 PTS) (I. Zubac 4 AST)</v>
      </c>
      <c r="L176" s="2" t="str">
        <f>HYPERLINK("https://www.nba.com/game/...-vs-...-0022400751/play-by-play?watchFullGame=true", "LAC vs UTA - Q2 05:30.00")</f>
        <v>LAC vs UTA - Q2 05:30.00</v>
      </c>
      <c r="M176">
        <v>1.19</v>
      </c>
      <c r="N176">
        <v>6.78</v>
      </c>
      <c r="O176">
        <v>50.74</v>
      </c>
      <c r="P176">
        <v>-4</v>
      </c>
      <c r="Q176">
        <v>11</v>
      </c>
      <c r="R176">
        <v>6</v>
      </c>
      <c r="S176">
        <v>50</v>
      </c>
    </row>
    <row r="177" spans="1:19" hidden="1" x14ac:dyDescent="0.25">
      <c r="A177">
        <v>22301003</v>
      </c>
      <c r="B177" t="s">
        <v>18</v>
      </c>
      <c r="C177" t="s">
        <v>87</v>
      </c>
      <c r="D177">
        <v>66</v>
      </c>
      <c r="E177">
        <v>55</v>
      </c>
      <c r="F177">
        <v>11</v>
      </c>
      <c r="G177">
        <v>3</v>
      </c>
      <c r="H177" s="1">
        <v>5.7060185185185183E-3</v>
      </c>
      <c r="I177">
        <v>2023</v>
      </c>
      <c r="J177" t="s">
        <v>83</v>
      </c>
      <c r="K177" s="2" t="str">
        <f>HYPERLINK("https://www.nba.com/stats/events?CFID=&amp;CFPARAMS=&amp;GameEventID=303&amp;GameID=0022301003&amp;Season=2023-24&amp;flag=1&amp;title=Leonard%20reverse%20Layup%20(9%20PTS)%20(J.%20Harden%208%20AST)", "Reverse Layup (9 PTS) (J. Harden 8 AST)")</f>
        <v>Reverse Layup (9 PTS) (J. Harden 8 AST)</v>
      </c>
      <c r="L177" s="2" t="str">
        <f>HYPERLINK("https://www.nba.com/game/...-vs-...-0022301003/play-by-play?watchFullGame=true", "LAC vs POR - Q3 08:13.00")</f>
        <v>LAC vs POR - Q3 08:13.00</v>
      </c>
      <c r="M177">
        <v>1.88</v>
      </c>
      <c r="N177">
        <v>6.65</v>
      </c>
      <c r="O177">
        <v>46.81</v>
      </c>
      <c r="P177">
        <v>16</v>
      </c>
      <c r="Q177">
        <v>10</v>
      </c>
      <c r="R177">
        <v>6</v>
      </c>
      <c r="S177">
        <v>46</v>
      </c>
    </row>
    <row r="178" spans="1:19" hidden="1" x14ac:dyDescent="0.25">
      <c r="A178">
        <v>21900576</v>
      </c>
      <c r="B178" t="s">
        <v>18</v>
      </c>
      <c r="C178" t="s">
        <v>90</v>
      </c>
      <c r="D178">
        <v>64</v>
      </c>
      <c r="E178">
        <v>70</v>
      </c>
      <c r="F178">
        <v>6</v>
      </c>
      <c r="G178">
        <v>3</v>
      </c>
      <c r="H178" s="1">
        <v>4.2361111111111115E-3</v>
      </c>
      <c r="I178">
        <v>2019</v>
      </c>
      <c r="J178" t="s">
        <v>83</v>
      </c>
      <c r="K178" s="2" t="str">
        <f>HYPERLINK("https://www.nba.com/stats/events?CFID=&amp;CFPARAMS=&amp;GameEventID=428&amp;GameID=0021900576&amp;Season=2019-20&amp;flag=1&amp;title=Leonard%20layup%20(26%20PTS)", "Layup (26 PTS)")</f>
        <v>Layup (26 PTS)</v>
      </c>
      <c r="L178" s="2" t="str">
        <f>HYPERLINK("https://www.nba.com/game/...-vs-...-0021900576/play-by-play?watchFullGame=true", "LAC vs GSW - Q3 06:06.00")</f>
        <v>LAC vs GSW - Q3 06:06.00</v>
      </c>
      <c r="M178">
        <v>1.86</v>
      </c>
      <c r="N178">
        <v>6.88</v>
      </c>
      <c r="O178">
        <v>51.16</v>
      </c>
      <c r="P178">
        <v>-6</v>
      </c>
      <c r="Q178">
        <v>12</v>
      </c>
      <c r="R178">
        <v>6</v>
      </c>
      <c r="S178">
        <v>51</v>
      </c>
    </row>
    <row r="179" spans="1:19" hidden="1" x14ac:dyDescent="0.25">
      <c r="A179">
        <v>22000202</v>
      </c>
      <c r="B179" t="s">
        <v>18</v>
      </c>
      <c r="C179" t="s">
        <v>87</v>
      </c>
      <c r="D179">
        <v>77</v>
      </c>
      <c r="E179">
        <v>68</v>
      </c>
      <c r="F179">
        <v>9</v>
      </c>
      <c r="G179">
        <v>3</v>
      </c>
      <c r="H179" s="1">
        <v>4.6296296296296294E-3</v>
      </c>
      <c r="I179">
        <v>2020</v>
      </c>
      <c r="J179" t="s">
        <v>83</v>
      </c>
      <c r="K179" s="2" t="str">
        <f>HYPERLINK("https://www.nba.com/stats/events?CFID=&amp;CFPARAMS=&amp;GameEventID=364&amp;GameID=0022000202&amp;Season=2020-21&amp;flag=1&amp;title=Leonard%20running%20reverse%20Layup%20(12%20PTS)", "Running reverse Layup (12 PTS)")</f>
        <v>Running reverse Layup (12 PTS)</v>
      </c>
      <c r="L179" s="2" t="str">
        <f>HYPERLINK("https://www.nba.com/game/...-vs-...-0022000202/play-by-play?watchFullGame=true", "LAC vs IND - Q3 06:40.00")</f>
        <v>LAC vs IND - Q3 06:40.00</v>
      </c>
      <c r="M179">
        <v>1.86</v>
      </c>
      <c r="N179">
        <v>6.92</v>
      </c>
      <c r="O179">
        <v>52.77</v>
      </c>
      <c r="P179">
        <v>-14</v>
      </c>
      <c r="Q179">
        <v>13</v>
      </c>
      <c r="R179">
        <v>6</v>
      </c>
      <c r="S179">
        <v>52</v>
      </c>
    </row>
    <row r="180" spans="1:19" hidden="1" x14ac:dyDescent="0.25">
      <c r="A180">
        <v>22000736</v>
      </c>
      <c r="B180" t="s">
        <v>18</v>
      </c>
      <c r="C180" t="s">
        <v>88</v>
      </c>
      <c r="D180">
        <v>92</v>
      </c>
      <c r="E180">
        <v>100</v>
      </c>
      <c r="F180">
        <v>8</v>
      </c>
      <c r="G180">
        <v>4</v>
      </c>
      <c r="H180" s="1">
        <v>3.9004629629629632E-4</v>
      </c>
      <c r="I180">
        <v>2020</v>
      </c>
      <c r="J180" t="s">
        <v>83</v>
      </c>
      <c r="K180" s="2" t="str">
        <f>HYPERLINK("https://www.nba.com/stats/events?CFID=&amp;CFPARAMS=&amp;GameEventID=575&amp;GameID=0022000736&amp;Season=2020-21&amp;flag=1&amp;title=Leonard%20driving%20DUNK%20(24%20PTS)%20(P.%20George%205%20AST)", "Driving DUNK (24 PTS) (P. George 5 AST)")</f>
        <v>Driving DUNK (24 PTS) (P. George 5 AST)</v>
      </c>
      <c r="L180" s="2" t="str">
        <f>HYPERLINK("https://www.nba.com/game/...-vs-...-0022000736/play-by-play?watchFullGame=true", "LAC vs DEN - Q4 00:33.70")</f>
        <v>LAC vs DEN - Q4 00:33.70</v>
      </c>
      <c r="M180">
        <v>0.75</v>
      </c>
      <c r="N180">
        <v>6.26</v>
      </c>
      <c r="O180">
        <v>50.8</v>
      </c>
      <c r="P180">
        <v>-4</v>
      </c>
      <c r="Q180">
        <v>6</v>
      </c>
      <c r="R180">
        <v>6</v>
      </c>
      <c r="S180">
        <v>50</v>
      </c>
    </row>
    <row r="181" spans="1:19" hidden="1" x14ac:dyDescent="0.25">
      <c r="A181">
        <v>22300235</v>
      </c>
      <c r="B181" t="s">
        <v>18</v>
      </c>
      <c r="C181" t="s">
        <v>88</v>
      </c>
      <c r="D181">
        <v>72</v>
      </c>
      <c r="E181">
        <v>64</v>
      </c>
      <c r="F181">
        <v>8</v>
      </c>
      <c r="G181">
        <v>3</v>
      </c>
      <c r="H181" s="1">
        <v>3.7731481481481483E-3</v>
      </c>
      <c r="I181">
        <v>2023</v>
      </c>
      <c r="J181" t="s">
        <v>83</v>
      </c>
      <c r="K181" s="2" t="str">
        <f>HYPERLINK("https://www.nba.com/stats/events?CFID=&amp;CFPARAMS=&amp;GameEventID=441&amp;GameID=0022300235&amp;Season=2023-24&amp;flag=1&amp;title=Leonard%20running%20DUNK%20(22%20PTS)%20(J.%20Harden%208%20AST)", "Running DUNK (22 PTS) (J. Harden 8 AST)")</f>
        <v>Running DUNK (22 PTS) (J. Harden 8 AST)</v>
      </c>
      <c r="L181" s="2" t="str">
        <f>HYPERLINK("https://www.nba.com/game/...-vs-...-0022300235/play-by-play?watchFullGame=true", "LAC vs SAS - Q3 05:26.00")</f>
        <v>LAC vs SAS - Q3 05:26.00</v>
      </c>
      <c r="M181">
        <v>0.73</v>
      </c>
      <c r="N181">
        <v>6.26</v>
      </c>
      <c r="O181">
        <v>50.74</v>
      </c>
      <c r="P181">
        <v>-4</v>
      </c>
      <c r="Q181">
        <v>6</v>
      </c>
      <c r="R181">
        <v>6</v>
      </c>
      <c r="S181">
        <v>50</v>
      </c>
    </row>
    <row r="182" spans="1:19" hidden="1" x14ac:dyDescent="0.25">
      <c r="A182">
        <v>22200885</v>
      </c>
      <c r="B182" t="s">
        <v>18</v>
      </c>
      <c r="C182" t="s">
        <v>87</v>
      </c>
      <c r="D182">
        <v>84</v>
      </c>
      <c r="E182">
        <v>77</v>
      </c>
      <c r="F182">
        <v>7</v>
      </c>
      <c r="G182">
        <v>3</v>
      </c>
      <c r="H182" s="1">
        <v>2.1759259259259258E-3</v>
      </c>
      <c r="I182">
        <v>2022</v>
      </c>
      <c r="J182" t="s">
        <v>83</v>
      </c>
      <c r="K182" s="2" t="str">
        <f>HYPERLINK("https://www.nba.com/stats/events?CFID=&amp;CFPARAMS=&amp;GameEventID=463&amp;GameID=0022200885&amp;Season=2022-23&amp;flag=1&amp;title=Leonard%20driving%20Layup%20(6%20PTS)", "Driving Layup (6 PTS)")</f>
        <v>Driving Layup (6 PTS)</v>
      </c>
      <c r="L182" s="2" t="str">
        <f>HYPERLINK("https://www.nba.com/game/...-vs-...-0022200885/play-by-play?watchFullGame=true", "LAC vs PHX - Q3 03:08.00")</f>
        <v>LAC vs PHX - Q3 03:08.00</v>
      </c>
      <c r="M182">
        <v>1.76</v>
      </c>
      <c r="N182">
        <v>6.78</v>
      </c>
      <c r="O182">
        <v>47.3</v>
      </c>
      <c r="P182">
        <v>13</v>
      </c>
      <c r="Q182">
        <v>11</v>
      </c>
      <c r="R182">
        <v>6</v>
      </c>
      <c r="S182">
        <v>47</v>
      </c>
    </row>
    <row r="183" spans="1:19" hidden="1" x14ac:dyDescent="0.25">
      <c r="A183">
        <v>22301052</v>
      </c>
      <c r="B183" t="s">
        <v>18</v>
      </c>
      <c r="C183" t="s">
        <v>87</v>
      </c>
      <c r="D183">
        <v>104</v>
      </c>
      <c r="E183">
        <v>104</v>
      </c>
      <c r="F183">
        <v>0</v>
      </c>
      <c r="G183">
        <v>4</v>
      </c>
      <c r="H183" s="1">
        <v>5.0925925925925921E-4</v>
      </c>
      <c r="I183">
        <v>2023</v>
      </c>
      <c r="J183" t="s">
        <v>83</v>
      </c>
      <c r="K183" s="2" t="str">
        <f>HYPERLINK("https://www.nba.com/stats/events?CFID=&amp;CFPARAMS=&amp;GameEventID=591&amp;GameID=0022301052&amp;Season=2023-24&amp;flag=1&amp;title=Leonard%20cutting%20Layup%20(13%20PTS)%20(A.%20Coffey%202%20AST)", "Cutting Layup (13 PTS) (A. Coffey 2 AST)")</f>
        <v>Cutting Layup (13 PTS) (A. Coffey 2 AST)</v>
      </c>
      <c r="L183" s="2" t="str">
        <f>HYPERLINK("https://www.nba.com/game/...-vs-...-0022301052/play-by-play?watchFullGame=true", "LAC vs PHI - Q4 00:44.00")</f>
        <v>LAC vs PHI - Q4 00:44.00</v>
      </c>
      <c r="M183">
        <v>1.73</v>
      </c>
      <c r="N183">
        <v>6.88</v>
      </c>
      <c r="O183">
        <v>47.55</v>
      </c>
      <c r="P183">
        <v>12</v>
      </c>
      <c r="Q183">
        <v>12</v>
      </c>
      <c r="R183">
        <v>6</v>
      </c>
      <c r="S183">
        <v>47</v>
      </c>
    </row>
    <row r="184" spans="1:19" hidden="1" x14ac:dyDescent="0.25">
      <c r="A184">
        <v>22200043</v>
      </c>
      <c r="B184" t="s">
        <v>18</v>
      </c>
      <c r="C184" t="s">
        <v>87</v>
      </c>
      <c r="D184">
        <v>37</v>
      </c>
      <c r="E184">
        <v>54</v>
      </c>
      <c r="F184">
        <v>17</v>
      </c>
      <c r="G184">
        <v>2</v>
      </c>
      <c r="H184" s="1">
        <v>9.2592592592592596E-4</v>
      </c>
      <c r="I184">
        <v>2022</v>
      </c>
      <c r="J184" t="s">
        <v>83</v>
      </c>
      <c r="K184" s="2" t="str">
        <f>HYPERLINK("https://www.nba.com/stats/events?CFID=&amp;CFPARAMS=&amp;GameEventID=291&amp;GameID=0022200043&amp;Season=2022-23&amp;flag=1&amp;title=Leonard%20driving%20Layup%20(5%20PTS)%20(M.%20Morris%20Sr.%201%20AST)", "Driving Layup (5 PTS) (M. Morris Sr. 1 AST)")</f>
        <v>Driving Layup (5 PTS) (M. Morris Sr. 1 AST)</v>
      </c>
      <c r="L184" s="2" t="str">
        <f>HYPERLINK("https://www.nba.com/game/...-vs-...-0022200043/play-by-play?watchFullGame=true", "LAC vs PHX - Q2 01:20.00")</f>
        <v>LAC vs PHX - Q2 01:20.00</v>
      </c>
      <c r="M184">
        <v>1.73</v>
      </c>
      <c r="N184">
        <v>6.88</v>
      </c>
      <c r="O184">
        <v>47.55</v>
      </c>
      <c r="P184">
        <v>12</v>
      </c>
      <c r="Q184">
        <v>12</v>
      </c>
      <c r="R184">
        <v>6</v>
      </c>
      <c r="S184">
        <v>47</v>
      </c>
    </row>
    <row r="185" spans="1:19" hidden="1" x14ac:dyDescent="0.25">
      <c r="A185">
        <v>21900618</v>
      </c>
      <c r="B185" t="s">
        <v>18</v>
      </c>
      <c r="C185" t="s">
        <v>90</v>
      </c>
      <c r="D185">
        <v>69</v>
      </c>
      <c r="E185">
        <v>51</v>
      </c>
      <c r="F185">
        <v>18</v>
      </c>
      <c r="G185">
        <v>3</v>
      </c>
      <c r="H185" s="1">
        <v>7.6504629629629631E-3</v>
      </c>
      <c r="I185">
        <v>2019</v>
      </c>
      <c r="J185" t="s">
        <v>83</v>
      </c>
      <c r="K185" s="2" t="str">
        <f>HYPERLINK("https://www.nba.com/stats/events?CFID=&amp;CFPARAMS=&amp;GameEventID=338&amp;GameID=0021900618&amp;Season=2019-20&amp;flag=1&amp;title=Leonard%20layup%20(24%20PTS)%20(L.%20Shamet%201%20AST)", "Layup (24 PTS) (L. Shamet 1 AST)")</f>
        <v>Layup (24 PTS) (L. Shamet 1 AST)</v>
      </c>
      <c r="L185" s="2" t="str">
        <f>HYPERLINK("https://www.nba.com/game/...-vs-...-0021900618/play-by-play?watchFullGame=true", "LAC vs ORL - Q3 11:01.00")</f>
        <v>LAC vs ORL - Q3 11:01.00</v>
      </c>
      <c r="M185">
        <v>1.73</v>
      </c>
      <c r="N185">
        <v>6.75</v>
      </c>
      <c r="O185">
        <v>48.95</v>
      </c>
      <c r="P185">
        <v>5</v>
      </c>
      <c r="Q185">
        <v>11</v>
      </c>
      <c r="R185">
        <v>6</v>
      </c>
      <c r="S185">
        <v>48</v>
      </c>
    </row>
    <row r="186" spans="1:19" hidden="1" x14ac:dyDescent="0.25">
      <c r="A186">
        <v>41900234</v>
      </c>
      <c r="B186" t="s">
        <v>18</v>
      </c>
      <c r="C186" t="s">
        <v>90</v>
      </c>
      <c r="D186">
        <v>24</v>
      </c>
      <c r="E186">
        <v>7</v>
      </c>
      <c r="F186">
        <v>17</v>
      </c>
      <c r="G186">
        <v>1</v>
      </c>
      <c r="H186" s="1">
        <v>1.6782407407407408E-3</v>
      </c>
      <c r="I186" t="s">
        <v>85</v>
      </c>
      <c r="J186" t="s">
        <v>83</v>
      </c>
      <c r="K186" s="2" t="str">
        <f>HYPERLINK("https://www.nba.com/stats/events?CFID=&amp;CFPARAMS=&amp;GameEventID=131&amp;GameID=0041900234&amp;Season=2019-20&amp;flag=1&amp;title=Leonard%20layup%20(7%20PTS)", "Layup (7 PTS)")</f>
        <v>Layup (7 PTS)</v>
      </c>
      <c r="L186" s="2" t="str">
        <f>HYPERLINK("https://www.nba.com/game/...-vs-...-0041900234/play-by-play?watchFullGame=true", "LAC vs DEN - Q1 02:25.00")</f>
        <v>LAC vs DEN - Q1 02:25.00</v>
      </c>
      <c r="M186">
        <v>1.72</v>
      </c>
      <c r="N186">
        <v>6.52</v>
      </c>
      <c r="O186">
        <v>48.11</v>
      </c>
      <c r="P186">
        <v>9</v>
      </c>
      <c r="Q186">
        <v>9</v>
      </c>
      <c r="R186">
        <v>6</v>
      </c>
      <c r="S186">
        <v>48</v>
      </c>
    </row>
    <row r="187" spans="1:19" hidden="1" x14ac:dyDescent="0.25">
      <c r="A187">
        <v>42000177</v>
      </c>
      <c r="B187" t="s">
        <v>18</v>
      </c>
      <c r="C187" t="s">
        <v>87</v>
      </c>
      <c r="D187">
        <v>104</v>
      </c>
      <c r="E187">
        <v>87</v>
      </c>
      <c r="F187">
        <v>17</v>
      </c>
      <c r="G187">
        <v>4</v>
      </c>
      <c r="H187" s="1">
        <v>7.5115740740740742E-3</v>
      </c>
      <c r="I187" t="s">
        <v>91</v>
      </c>
      <c r="J187" t="s">
        <v>83</v>
      </c>
      <c r="K187" s="2" t="str">
        <f>HYPERLINK("https://www.nba.com/stats/events?CFID=&amp;CFPARAMS=&amp;GameEventID=490&amp;GameID=0042000177&amp;Season=2020-21&amp;flag=1&amp;title=Leonard%20driving%20Layup%20(24%20PTS)", "Driving Layup (24 PTS)")</f>
        <v>Driving Layup (24 PTS)</v>
      </c>
      <c r="L187" s="2" t="str">
        <f>HYPERLINK("https://www.nba.com/game/...-vs-...-0042000177/play-by-play?watchFullGame=true", "LAC vs DAL - Q4 10:49.00")</f>
        <v>LAC vs DAL - Q4 10:49.00</v>
      </c>
      <c r="M187">
        <v>1.69</v>
      </c>
      <c r="N187">
        <v>6.52</v>
      </c>
      <c r="O187">
        <v>47.13</v>
      </c>
      <c r="P187">
        <v>6</v>
      </c>
      <c r="Q187">
        <v>47</v>
      </c>
      <c r="R187">
        <v>6</v>
      </c>
      <c r="S187">
        <v>47</v>
      </c>
    </row>
    <row r="188" spans="1:19" hidden="1" x14ac:dyDescent="0.25">
      <c r="A188">
        <v>22000224</v>
      </c>
      <c r="B188" t="s">
        <v>18</v>
      </c>
      <c r="C188" t="s">
        <v>88</v>
      </c>
      <c r="D188">
        <v>101</v>
      </c>
      <c r="E188">
        <v>88</v>
      </c>
      <c r="F188">
        <v>13</v>
      </c>
      <c r="G188">
        <v>4</v>
      </c>
      <c r="H188" s="1">
        <v>4.9768518518518521E-3</v>
      </c>
      <c r="I188">
        <v>2020</v>
      </c>
      <c r="J188" t="s">
        <v>83</v>
      </c>
      <c r="K188" s="2" t="str">
        <f>HYPERLINK("https://www.nba.com/stats/events?CFID=&amp;CFPARAMS=&amp;GameEventID=528&amp;GameID=0022000224&amp;Season=2020-21&amp;flag=1&amp;title=Leonard%20driving%20DUNK%20(30%20PTS)", "Driving DUNK (30 PTS)")</f>
        <v>Driving DUNK (30 PTS)</v>
      </c>
      <c r="L188" s="2" t="str">
        <f>HYPERLINK("https://www.nba.com/game/...-vs-...-0022000224/play-by-play?watchFullGame=true", "LAC vs SAC - Q4 07:10.00")</f>
        <v>LAC vs SAC - Q4 07:10.00</v>
      </c>
      <c r="M188">
        <v>0.81</v>
      </c>
      <c r="N188">
        <v>6.39</v>
      </c>
      <c r="O188">
        <v>50.56</v>
      </c>
      <c r="P188">
        <v>-3</v>
      </c>
      <c r="Q188">
        <v>8</v>
      </c>
      <c r="R188">
        <v>6</v>
      </c>
      <c r="S188">
        <v>50</v>
      </c>
    </row>
    <row r="189" spans="1:19" hidden="1" x14ac:dyDescent="0.25">
      <c r="A189">
        <v>22301028</v>
      </c>
      <c r="B189" t="s">
        <v>18</v>
      </c>
      <c r="C189" t="s">
        <v>87</v>
      </c>
      <c r="D189">
        <v>77</v>
      </c>
      <c r="E189">
        <v>81</v>
      </c>
      <c r="F189">
        <v>4</v>
      </c>
      <c r="G189">
        <v>3</v>
      </c>
      <c r="H189" s="1">
        <v>1.7939814814814815E-3</v>
      </c>
      <c r="I189">
        <v>2023</v>
      </c>
      <c r="J189" t="s">
        <v>83</v>
      </c>
      <c r="K189" s="2" t="str">
        <f>HYPERLINK("https://www.nba.com/stats/events?CFID=&amp;CFPARAMS=&amp;GameEventID=405&amp;GameID=0022301028&amp;Season=2023-24&amp;flag=1&amp;title=Leonard%20driving%20finger%20roll%20Layup%20(18%20PTS)", "Driving finger roll Layup (18 PTS)")</f>
        <v>Driving finger roll Layup (18 PTS)</v>
      </c>
      <c r="L189" s="2" t="str">
        <f>HYPERLINK("https://www.nba.com/game/...-vs-...-0022301028/play-by-play?watchFullGame=true", "LAC vs PHI - Q3 02:35.00")</f>
        <v>LAC vs PHI - Q3 02:35.00</v>
      </c>
      <c r="M189">
        <v>1.6</v>
      </c>
      <c r="N189">
        <v>6.49</v>
      </c>
      <c r="O189">
        <v>52.7</v>
      </c>
      <c r="P189">
        <v>-13</v>
      </c>
      <c r="Q189">
        <v>8</v>
      </c>
      <c r="R189">
        <v>6</v>
      </c>
      <c r="S189">
        <v>52</v>
      </c>
    </row>
    <row r="190" spans="1:19" hidden="1" x14ac:dyDescent="0.25">
      <c r="A190">
        <v>21900576</v>
      </c>
      <c r="B190" t="s">
        <v>18</v>
      </c>
      <c r="C190" t="s">
        <v>92</v>
      </c>
      <c r="D190">
        <v>106</v>
      </c>
      <c r="E190">
        <v>100</v>
      </c>
      <c r="F190">
        <v>6</v>
      </c>
      <c r="G190">
        <v>4</v>
      </c>
      <c r="H190" s="1">
        <v>8.7962962962962962E-4</v>
      </c>
      <c r="I190">
        <v>2019</v>
      </c>
      <c r="J190" t="s">
        <v>83</v>
      </c>
      <c r="K190" s="2" t="str">
        <f>HYPERLINK("https://www.nba.com/stats/events?CFID=&amp;CFPARAMS=&amp;GameEventID=695&amp;GameID=0021900576&amp;Season=2019-20&amp;flag=1&amp;title=Leonard%20dunk%20(36%20PTS)%20(L.%20Williams%207%20AST)", "Dunk (36 PTS) (L. Williams 7 AST)")</f>
        <v>Dunk (36 PTS) (L. Williams 7 AST)</v>
      </c>
      <c r="L190" s="2" t="str">
        <f>HYPERLINK("https://www.nba.com/game/...-vs-...-0021900576/play-by-play?watchFullGame=true", "LAC vs GSW - Q4 01:16.00")</f>
        <v>LAC vs GSW - Q4 01:16.00</v>
      </c>
      <c r="M190">
        <v>1.42</v>
      </c>
      <c r="N190">
        <v>6.49</v>
      </c>
      <c r="O190">
        <v>50.42</v>
      </c>
      <c r="P190">
        <v>-2</v>
      </c>
      <c r="Q190">
        <v>8</v>
      </c>
      <c r="R190">
        <v>6</v>
      </c>
      <c r="S190">
        <v>50</v>
      </c>
    </row>
    <row r="191" spans="1:19" hidden="1" x14ac:dyDescent="0.25">
      <c r="A191">
        <v>42000224</v>
      </c>
      <c r="B191" t="s">
        <v>18</v>
      </c>
      <c r="C191" t="s">
        <v>87</v>
      </c>
      <c r="D191">
        <v>20</v>
      </c>
      <c r="E191">
        <v>6</v>
      </c>
      <c r="F191">
        <v>14</v>
      </c>
      <c r="G191">
        <v>1</v>
      </c>
      <c r="H191" s="1">
        <v>3.8194444444444443E-3</v>
      </c>
      <c r="I191" t="s">
        <v>94</v>
      </c>
      <c r="J191" t="s">
        <v>83</v>
      </c>
      <c r="K191" s="2" t="str">
        <f>HYPERLINK("https://www.nba.com/stats/events?CFID=&amp;CFPARAMS=&amp;GameEventID=75&amp;GameID=0042000224&amp;Season=2020-21&amp;flag=1&amp;title=Leonard%20driving%20Layup%20(7%20PTS)", "Driving Layup (7 PTS)")</f>
        <v>Driving Layup (7 PTS)</v>
      </c>
      <c r="L191" s="2" t="str">
        <f>HYPERLINK("https://www.nba.com/game/...-vs-...-0042000224/play-by-play?watchFullGame=true", "LAC vs UTA - Q1 05:30.00")</f>
        <v>LAC vs UTA - Q1 05:30.00</v>
      </c>
      <c r="M191">
        <v>1.52</v>
      </c>
      <c r="N191">
        <v>6.49</v>
      </c>
      <c r="O191">
        <v>47.48</v>
      </c>
      <c r="P191">
        <v>6</v>
      </c>
      <c r="Q191">
        <v>47</v>
      </c>
      <c r="R191">
        <v>6</v>
      </c>
      <c r="S191">
        <v>47</v>
      </c>
    </row>
    <row r="192" spans="1:19" hidden="1" x14ac:dyDescent="0.25">
      <c r="A192">
        <v>22300372</v>
      </c>
      <c r="B192" t="s">
        <v>18</v>
      </c>
      <c r="C192" t="s">
        <v>87</v>
      </c>
      <c r="D192">
        <v>111</v>
      </c>
      <c r="E192">
        <v>108</v>
      </c>
      <c r="F192">
        <v>3</v>
      </c>
      <c r="G192">
        <v>4</v>
      </c>
      <c r="H192" s="1">
        <v>2.0717592592592593E-3</v>
      </c>
      <c r="I192">
        <v>2023</v>
      </c>
      <c r="J192" t="s">
        <v>83</v>
      </c>
      <c r="K192" s="2" t="str">
        <f>HYPERLINK("https://www.nba.com/stats/events?CFID=&amp;CFPARAMS=&amp;GameEventID=579&amp;GameID=0022300372&amp;Season=2023-24&amp;flag=1&amp;title=Leonard%20driving%20Layup%20(24%20PTS)", "Driving Layup (24 PTS)")</f>
        <v>Driving Layup (24 PTS)</v>
      </c>
      <c r="L192" s="2" t="str">
        <f>HYPERLINK("https://www.nba.com/game/...-vs-...-0022300372/play-by-play?watchFullGame=true", "LAC vs DAL - Q4 02:59.00")</f>
        <v>LAC vs DAL - Q4 02:59.00</v>
      </c>
      <c r="M192">
        <v>1.49</v>
      </c>
      <c r="N192">
        <v>6.65</v>
      </c>
      <c r="O192">
        <v>52.21</v>
      </c>
      <c r="P192">
        <v>-11</v>
      </c>
      <c r="Q192">
        <v>10</v>
      </c>
      <c r="R192">
        <v>6</v>
      </c>
      <c r="S192">
        <v>52</v>
      </c>
    </row>
    <row r="193" spans="1:19" hidden="1" x14ac:dyDescent="0.25">
      <c r="A193">
        <v>22000105</v>
      </c>
      <c r="B193" t="s">
        <v>18</v>
      </c>
      <c r="C193" t="s">
        <v>88</v>
      </c>
      <c r="D193">
        <v>27</v>
      </c>
      <c r="E193">
        <v>26</v>
      </c>
      <c r="F193">
        <v>1</v>
      </c>
      <c r="G193">
        <v>1</v>
      </c>
      <c r="H193" s="1">
        <v>8.2175925925925927E-4</v>
      </c>
      <c r="I193">
        <v>2020</v>
      </c>
      <c r="J193" t="s">
        <v>83</v>
      </c>
      <c r="K193" s="2" t="str">
        <f>HYPERLINK("https://www.nba.com/stats/events?CFID=&amp;CFPARAMS=&amp;GameEventID=119&amp;GameID=0022000105&amp;Season=2020-21&amp;flag=1&amp;title=Leonard%20running%20DUNK%20(6%20PTS)", "Running DUNK (6 PTS)")</f>
        <v>Running DUNK (6 PTS)</v>
      </c>
      <c r="L193" s="2" t="str">
        <f>HYPERLINK("https://www.nba.com/game/...-vs-...-0022000105/play-by-play?watchFullGame=true", "LAC vs SAS - Q1 01:11.00")</f>
        <v>LAC vs SAS - Q1 01:11.00</v>
      </c>
      <c r="M193">
        <v>0.78</v>
      </c>
      <c r="N193">
        <v>6.39</v>
      </c>
      <c r="O193">
        <v>50.31</v>
      </c>
      <c r="P193">
        <v>-2</v>
      </c>
      <c r="Q193">
        <v>8</v>
      </c>
      <c r="R193">
        <v>6</v>
      </c>
      <c r="S193">
        <v>50</v>
      </c>
    </row>
    <row r="194" spans="1:19" hidden="1" x14ac:dyDescent="0.25">
      <c r="A194">
        <v>21900276</v>
      </c>
      <c r="B194" t="s">
        <v>18</v>
      </c>
      <c r="C194" t="s">
        <v>90</v>
      </c>
      <c r="D194">
        <v>38</v>
      </c>
      <c r="E194">
        <v>38</v>
      </c>
      <c r="F194">
        <v>0</v>
      </c>
      <c r="G194">
        <v>2</v>
      </c>
      <c r="H194" s="1">
        <v>5.4166666666666669E-3</v>
      </c>
      <c r="I194">
        <v>2019</v>
      </c>
      <c r="J194" t="s">
        <v>83</v>
      </c>
      <c r="K194" s="2" t="str">
        <f>HYPERLINK("https://www.nba.com/stats/events?CFID=&amp;CFPARAMS=&amp;GameEventID=211&amp;GameID=0021900276&amp;Season=2019-20&amp;flag=1&amp;title=Leonard%20layup%20(4%20PTS)", "Layup (4 PTS)")</f>
        <v>Layup (4 PTS)</v>
      </c>
      <c r="L194" s="2" t="str">
        <f>HYPERLINK("https://www.nba.com/game/...-vs-...-0021900276/play-by-play?watchFullGame=true", "LAC vs SAS - Q2 07:48.00")</f>
        <v>LAC vs SAS - Q2 07:48.00</v>
      </c>
      <c r="M194">
        <v>1.48</v>
      </c>
      <c r="N194">
        <v>6.52</v>
      </c>
      <c r="O194">
        <v>50.8</v>
      </c>
      <c r="P194">
        <v>-4</v>
      </c>
      <c r="Q194">
        <v>9</v>
      </c>
      <c r="R194">
        <v>6</v>
      </c>
      <c r="S194">
        <v>50</v>
      </c>
    </row>
    <row r="195" spans="1:19" hidden="1" x14ac:dyDescent="0.25">
      <c r="A195">
        <v>22000061</v>
      </c>
      <c r="B195" t="s">
        <v>18</v>
      </c>
      <c r="C195" t="s">
        <v>87</v>
      </c>
      <c r="D195">
        <v>15</v>
      </c>
      <c r="E195">
        <v>11</v>
      </c>
      <c r="F195">
        <v>4</v>
      </c>
      <c r="G195">
        <v>1</v>
      </c>
      <c r="H195" s="1">
        <v>4.5833333333333334E-3</v>
      </c>
      <c r="I195">
        <v>2020</v>
      </c>
      <c r="J195" t="s">
        <v>83</v>
      </c>
      <c r="K195" s="2" t="str">
        <f>HYPERLINK("https://www.nba.com/stats/events?CFID=&amp;CFPARAMS=&amp;GameEventID=57&amp;GameID=0022000061&amp;Season=2020-21&amp;flag=1&amp;title=Leonard%20driving%20Layup%20(2%20PTS)", "Driving Layup (2 PTS)")</f>
        <v>Driving Layup (2 PTS)</v>
      </c>
      <c r="L195" s="2" t="str">
        <f>HYPERLINK("https://www.nba.com/game/...-vs-...-0022000061/play-by-play?watchFullGame=true", "LAC vs POR - Q1 06:36.00")</f>
        <v>LAC vs POR - Q1 06:36.00</v>
      </c>
      <c r="M195">
        <v>1.46</v>
      </c>
      <c r="N195">
        <v>6.65</v>
      </c>
      <c r="O195">
        <v>47.86</v>
      </c>
      <c r="P195">
        <v>11</v>
      </c>
      <c r="Q195">
        <v>10</v>
      </c>
      <c r="R195">
        <v>6</v>
      </c>
      <c r="S195">
        <v>47</v>
      </c>
    </row>
    <row r="196" spans="1:19" hidden="1" x14ac:dyDescent="0.25">
      <c r="A196">
        <v>21900145</v>
      </c>
      <c r="B196" t="s">
        <v>18</v>
      </c>
      <c r="C196" t="s">
        <v>90</v>
      </c>
      <c r="D196">
        <v>62</v>
      </c>
      <c r="E196">
        <v>55</v>
      </c>
      <c r="F196">
        <v>7</v>
      </c>
      <c r="G196">
        <v>3</v>
      </c>
      <c r="H196" s="1">
        <v>4.5023148148148149E-3</v>
      </c>
      <c r="I196">
        <v>2019</v>
      </c>
      <c r="J196" t="s">
        <v>83</v>
      </c>
      <c r="K196" s="2" t="str">
        <f>HYPERLINK("https://www.nba.com/stats/events?CFID=&amp;CFPARAMS=&amp;GameEventID=408&amp;GameID=0021900145&amp;Season=2019-20&amp;flag=1&amp;title=[LAC]%20Leonard%20layup:%20Made%20(7%20PTS)", "[LAC] Leonard layup: Made (7 PTS)")</f>
        <v>[LAC] Leonard layup: Made (7 PTS)</v>
      </c>
      <c r="L196" s="2" t="str">
        <f>HYPERLINK("https://www.nba.com/game/...-vs-...-0021900145/play-by-play?watchFullGame=true", "LAC vs TOR - Q3 06:29.00")</f>
        <v>LAC vs TOR - Q3 06:29.00</v>
      </c>
      <c r="M196">
        <v>1.41</v>
      </c>
      <c r="N196">
        <v>6.23</v>
      </c>
      <c r="O196">
        <v>51.65</v>
      </c>
      <c r="P196">
        <v>-8</v>
      </c>
      <c r="Q196">
        <v>6</v>
      </c>
      <c r="R196">
        <v>6</v>
      </c>
      <c r="S196">
        <v>51</v>
      </c>
    </row>
    <row r="197" spans="1:19" hidden="1" x14ac:dyDescent="0.25">
      <c r="A197">
        <v>22200687</v>
      </c>
      <c r="B197" t="s">
        <v>18</v>
      </c>
      <c r="C197" t="s">
        <v>87</v>
      </c>
      <c r="D197">
        <v>127</v>
      </c>
      <c r="E197">
        <v>117</v>
      </c>
      <c r="F197">
        <v>10</v>
      </c>
      <c r="G197">
        <v>4</v>
      </c>
      <c r="H197" s="1">
        <v>1.2731481481481483E-3</v>
      </c>
      <c r="I197">
        <v>2022</v>
      </c>
      <c r="J197" t="s">
        <v>83</v>
      </c>
      <c r="K197" s="2" t="str">
        <f>HYPERLINK("https://www.nba.com/stats/events?CFID=&amp;CFPARAMS=&amp;GameEventID=527&amp;GameID=0022200687&amp;Season=2022-23&amp;flag=1&amp;title=Leonard%20alley-oop%20Layup%20(32%20PTS)%20(P.%20George%2012%20AST)", "Alley-oop Layup (32 PTS) (P. George 12 AST)")</f>
        <v>Alley-oop Layup (32 PTS) (P. George 12 AST)</v>
      </c>
      <c r="L197" s="2" t="str">
        <f>HYPERLINK("https://www.nba.com/game/...-vs-...-0022200687/play-by-play?watchFullGame=true", "LAC vs SAS - Q4 01:50.00")</f>
        <v>LAC vs SAS - Q4 01:50.00</v>
      </c>
      <c r="M197">
        <v>1.4</v>
      </c>
      <c r="N197">
        <v>6.65</v>
      </c>
      <c r="O197">
        <v>51.96</v>
      </c>
      <c r="P197">
        <v>-10</v>
      </c>
      <c r="Q197">
        <v>10</v>
      </c>
      <c r="R197">
        <v>6</v>
      </c>
      <c r="S197">
        <v>51</v>
      </c>
    </row>
    <row r="198" spans="1:19" hidden="1" x14ac:dyDescent="0.25">
      <c r="A198">
        <v>21900051</v>
      </c>
      <c r="B198" t="s">
        <v>18</v>
      </c>
      <c r="C198" t="s">
        <v>90</v>
      </c>
      <c r="D198">
        <v>91</v>
      </c>
      <c r="E198">
        <v>79</v>
      </c>
      <c r="F198">
        <v>12</v>
      </c>
      <c r="G198">
        <v>4</v>
      </c>
      <c r="H198" s="1">
        <v>6.7592592592592591E-3</v>
      </c>
      <c r="I198">
        <v>2019</v>
      </c>
      <c r="J198" t="s">
        <v>83</v>
      </c>
      <c r="K198" s="2" t="str">
        <f>HYPERLINK("https://www.nba.com/stats/events?CFID=&amp;CFPARAMS=&amp;GameEventID=534&amp;GameID=0021900051&amp;Season=2019-20&amp;flag=1&amp;title=[LAC]%20Leonard%20layup:%20Made%20(22%20PTS)", "[LAC] Leonard layup: Made (22 PTS)")</f>
        <v>[LAC] Leonard layup: Made (22 PTS)</v>
      </c>
      <c r="L198" s="2" t="str">
        <f>HYPERLINK("https://www.nba.com/game/...-vs-...-0021900051/play-by-play?watchFullGame=true", "LAC vs CHA - Q4 09:44.00")</f>
        <v>LAC vs CHA - Q4 09:44.00</v>
      </c>
      <c r="M198">
        <v>1.4</v>
      </c>
      <c r="N198">
        <v>6.49</v>
      </c>
      <c r="O198">
        <v>50.18</v>
      </c>
      <c r="P198">
        <v>-1</v>
      </c>
      <c r="Q198">
        <v>8</v>
      </c>
      <c r="R198">
        <v>6</v>
      </c>
      <c r="S198">
        <v>50</v>
      </c>
    </row>
    <row r="199" spans="1:19" hidden="1" x14ac:dyDescent="0.25">
      <c r="A199">
        <v>22000457</v>
      </c>
      <c r="B199" t="s">
        <v>18</v>
      </c>
      <c r="C199" t="s">
        <v>87</v>
      </c>
      <c r="D199">
        <v>49</v>
      </c>
      <c r="E199">
        <v>38</v>
      </c>
      <c r="F199">
        <v>11</v>
      </c>
      <c r="G199">
        <v>2</v>
      </c>
      <c r="H199" s="1">
        <v>3.0902777777777777E-3</v>
      </c>
      <c r="I199">
        <v>2020</v>
      </c>
      <c r="J199" t="s">
        <v>83</v>
      </c>
      <c r="K199" s="2" t="str">
        <f>HYPERLINK("https://www.nba.com/stats/events?CFID=&amp;CFPARAMS=&amp;GameEventID=255&amp;GameID=0022000457&amp;Season=2020-21&amp;flag=1&amp;title=Leonard%20driving%20Layup%20(8%20PTS)%20(L.%20Williams%201%20AST)", "Driving Layup (8 PTS) (L. Williams 1 AST)")</f>
        <v>Driving Layup (8 PTS) (L. Williams 1 AST)</v>
      </c>
      <c r="L199" s="2" t="str">
        <f>HYPERLINK("https://www.nba.com/game/...-vs-...-0022000457/play-by-play?watchFullGame=true", "LAC vs UTA - Q2 04:27.00")</f>
        <v>LAC vs UTA - Q2 04:27.00</v>
      </c>
      <c r="M199">
        <v>1.35</v>
      </c>
      <c r="N199">
        <v>6.26</v>
      </c>
      <c r="O199">
        <v>47.62</v>
      </c>
      <c r="P199">
        <v>12</v>
      </c>
      <c r="Q199">
        <v>6</v>
      </c>
      <c r="R199">
        <v>6</v>
      </c>
      <c r="S199">
        <v>47</v>
      </c>
    </row>
    <row r="200" spans="1:19" hidden="1" x14ac:dyDescent="0.25">
      <c r="A200">
        <v>22300600</v>
      </c>
      <c r="B200" t="s">
        <v>18</v>
      </c>
      <c r="C200" t="s">
        <v>88</v>
      </c>
      <c r="D200">
        <v>47</v>
      </c>
      <c r="E200">
        <v>57</v>
      </c>
      <c r="F200">
        <v>10</v>
      </c>
      <c r="G200">
        <v>2</v>
      </c>
      <c r="H200" s="1">
        <v>9.837962962962962E-4</v>
      </c>
      <c r="I200">
        <v>2023</v>
      </c>
      <c r="J200" t="s">
        <v>83</v>
      </c>
      <c r="K200" s="2" t="str">
        <f>HYPERLINK("https://www.nba.com/stats/events?CFID=&amp;CFPARAMS=&amp;GameEventID=291&amp;GameID=0022300600&amp;Season=2023-24&amp;flag=1&amp;title=Leonard%20driving%20DUNK%20(5%20PTS)", "Driving DUNK (5 PTS)")</f>
        <v>Driving DUNK (5 PTS)</v>
      </c>
      <c r="L200" s="2" t="str">
        <f>HYPERLINK("https://www.nba.com/game/...-vs-...-0022300600/play-by-play?watchFullGame=true", "LAC vs BKN - Q2 01:25.00")</f>
        <v>LAC vs BKN - Q2 01:25.00</v>
      </c>
      <c r="M200">
        <v>0.98</v>
      </c>
      <c r="N200">
        <v>6.62</v>
      </c>
      <c r="O200">
        <v>50.25</v>
      </c>
      <c r="P200">
        <v>-1</v>
      </c>
      <c r="Q200">
        <v>10</v>
      </c>
      <c r="R200">
        <v>6</v>
      </c>
      <c r="S200">
        <v>50</v>
      </c>
    </row>
    <row r="201" spans="1:19" hidden="1" x14ac:dyDescent="0.25">
      <c r="A201">
        <v>21900251</v>
      </c>
      <c r="B201" t="s">
        <v>18</v>
      </c>
      <c r="C201" t="s">
        <v>90</v>
      </c>
      <c r="D201">
        <v>39</v>
      </c>
      <c r="E201">
        <v>27</v>
      </c>
      <c r="F201">
        <v>12</v>
      </c>
      <c r="G201">
        <v>2</v>
      </c>
      <c r="H201" s="1">
        <v>7.3379629629629628E-3</v>
      </c>
      <c r="I201">
        <v>2019</v>
      </c>
      <c r="J201" t="s">
        <v>83</v>
      </c>
      <c r="K201" s="2" t="str">
        <f>HYPERLINK("https://www.nba.com/stats/events?CFID=&amp;CFPARAMS=&amp;GameEventID=203&amp;GameID=0021900251&amp;Season=2019-20&amp;flag=1&amp;title=Leonard%20layup%20(4%20PTS)", "Layup (4 PTS)")</f>
        <v>Layup (4 PTS)</v>
      </c>
      <c r="L201" s="2" t="str">
        <f>HYPERLINK("https://www.nba.com/game/...-vs-...-0021900251/play-by-play?watchFullGame=true", "LAC vs DAL - Q2 10:34.00")</f>
        <v>LAC vs DAL - Q2 10:34.00</v>
      </c>
      <c r="M201">
        <v>1.34</v>
      </c>
      <c r="N201">
        <v>6.13</v>
      </c>
      <c r="O201">
        <v>48.35</v>
      </c>
      <c r="P201">
        <v>8</v>
      </c>
      <c r="Q201">
        <v>5</v>
      </c>
      <c r="R201">
        <v>6</v>
      </c>
      <c r="S201">
        <v>48</v>
      </c>
    </row>
    <row r="202" spans="1:19" hidden="1" x14ac:dyDescent="0.25">
      <c r="A202">
        <v>22300749</v>
      </c>
      <c r="B202" t="s">
        <v>18</v>
      </c>
      <c r="C202" t="s">
        <v>19</v>
      </c>
      <c r="D202">
        <v>73</v>
      </c>
      <c r="E202">
        <v>79</v>
      </c>
      <c r="F202">
        <v>6</v>
      </c>
      <c r="G202">
        <v>3</v>
      </c>
      <c r="H202" s="1">
        <v>1.0185185185185184E-3</v>
      </c>
      <c r="I202">
        <v>2023</v>
      </c>
      <c r="J202" t="s">
        <v>83</v>
      </c>
      <c r="K202" s="2" t="str">
        <f>HYPERLINK("https://www.nba.com/stats/events?CFID=&amp;CFPARAMS=&amp;GameEventID=435&amp;GameID=0022300749&amp;Season=2023-24&amp;flag=1&amp;title=Leonard%20fadeaway%20Jump%20Shot%20(21%20PTS)", "Fadeaway Jump Shot (21 PTS)")</f>
        <v>Fadeaway Jump Shot (21 PTS)</v>
      </c>
      <c r="L202" s="2" t="str">
        <f>HYPERLINK("https://www.nba.com/game/...-vs-...-0022300749/play-by-play?watchFullGame=true", "LAC vs DET - Q3 01:28.00")</f>
        <v>LAC vs DET - Q3 01:28.00</v>
      </c>
      <c r="M202">
        <v>1.32</v>
      </c>
      <c r="N202">
        <v>6.52</v>
      </c>
      <c r="O202">
        <v>51.96</v>
      </c>
      <c r="P202">
        <v>-10</v>
      </c>
      <c r="Q202">
        <v>9</v>
      </c>
      <c r="R202">
        <v>6</v>
      </c>
      <c r="S202">
        <v>51</v>
      </c>
    </row>
    <row r="203" spans="1:19" hidden="1" x14ac:dyDescent="0.25">
      <c r="A203">
        <v>41900234</v>
      </c>
      <c r="B203" t="s">
        <v>18</v>
      </c>
      <c r="C203" t="s">
        <v>90</v>
      </c>
      <c r="D203">
        <v>11</v>
      </c>
      <c r="E203">
        <v>3</v>
      </c>
      <c r="F203">
        <v>8</v>
      </c>
      <c r="G203">
        <v>1</v>
      </c>
      <c r="H203" s="1">
        <v>4.6643518518518518E-3</v>
      </c>
      <c r="I203" t="s">
        <v>85</v>
      </c>
      <c r="J203" t="s">
        <v>83</v>
      </c>
      <c r="K203" s="2" t="str">
        <f>HYPERLINK("https://www.nba.com/stats/events?CFID=&amp;CFPARAMS=&amp;GameEventID=73&amp;GameID=0041900234&amp;Season=2019-20&amp;flag=1&amp;title=Leonard%20layup%20(2%20PTS)", "Layup (2 PTS)")</f>
        <v>Layup (2 PTS)</v>
      </c>
      <c r="L203" s="2" t="str">
        <f>HYPERLINK("https://www.nba.com/game/...-vs-...-0041900234/play-by-play?watchFullGame=true", "LAC vs DEN - Q1 06:43.00")</f>
        <v>LAC vs DEN - Q1 06:43.00</v>
      </c>
      <c r="M203">
        <v>1.32</v>
      </c>
      <c r="N203">
        <v>6.39</v>
      </c>
      <c r="O203">
        <v>50.31</v>
      </c>
      <c r="P203">
        <v>-2</v>
      </c>
      <c r="Q203">
        <v>8</v>
      </c>
      <c r="R203">
        <v>6</v>
      </c>
      <c r="S203">
        <v>50</v>
      </c>
    </row>
    <row r="204" spans="1:19" hidden="1" x14ac:dyDescent="0.25">
      <c r="A204">
        <v>21900576</v>
      </c>
      <c r="B204" t="s">
        <v>18</v>
      </c>
      <c r="C204" t="s">
        <v>90</v>
      </c>
      <c r="D204">
        <v>94</v>
      </c>
      <c r="E204">
        <v>89</v>
      </c>
      <c r="F204">
        <v>5</v>
      </c>
      <c r="G204">
        <v>4</v>
      </c>
      <c r="H204" s="1">
        <v>3.9351851851851848E-3</v>
      </c>
      <c r="I204">
        <v>2019</v>
      </c>
      <c r="J204" t="s">
        <v>83</v>
      </c>
      <c r="K204" s="2" t="str">
        <f>HYPERLINK("https://www.nba.com/stats/events?CFID=&amp;CFPARAMS=&amp;GameEventID=636&amp;GameID=0021900576&amp;Season=2019-20&amp;flag=1&amp;title=Leonard%20layup%20(30%20PTS)", "Layup (30 PTS)")</f>
        <v>Layup (30 PTS)</v>
      </c>
      <c r="L204" s="2" t="str">
        <f>HYPERLINK("https://www.nba.com/game/...-vs-...-0021900576/play-by-play?watchFullGame=true", "LAC vs GSW - Q4 05:40.00")</f>
        <v>LAC vs GSW - Q4 05:40.00</v>
      </c>
      <c r="M204">
        <v>1.25</v>
      </c>
      <c r="N204">
        <v>6.09</v>
      </c>
      <c r="O204">
        <v>51.4</v>
      </c>
      <c r="P204">
        <v>-7</v>
      </c>
      <c r="Q204">
        <v>5</v>
      </c>
      <c r="R204">
        <v>6</v>
      </c>
      <c r="S204">
        <v>51</v>
      </c>
    </row>
    <row r="205" spans="1:19" hidden="1" x14ac:dyDescent="0.25">
      <c r="A205">
        <v>42000222</v>
      </c>
      <c r="B205" t="s">
        <v>18</v>
      </c>
      <c r="C205" t="s">
        <v>87</v>
      </c>
      <c r="D205">
        <v>42</v>
      </c>
      <c r="E205">
        <v>45</v>
      </c>
      <c r="F205">
        <v>3</v>
      </c>
      <c r="G205">
        <v>2</v>
      </c>
      <c r="H205" s="1">
        <v>4.5370370370370373E-3</v>
      </c>
      <c r="I205" t="s">
        <v>94</v>
      </c>
      <c r="J205" t="s">
        <v>83</v>
      </c>
      <c r="K205" s="2" t="str">
        <f>HYPERLINK("https://www.nba.com/stats/events?CFID=&amp;CFPARAMS=&amp;GameEventID=222&amp;GameID=0042000222&amp;Season=2020-21&amp;flag=1&amp;title=Leonard%20driving%20finger%20roll%20Layup%20(9%20PTS)", "Driving finger roll Layup (9 PTS)")</f>
        <v>Driving finger roll Layup (9 PTS)</v>
      </c>
      <c r="L205" s="2" t="str">
        <f>HYPERLINK("https://www.nba.com/game/...-vs-...-0042000222/play-by-play?watchFullGame=true", "LAC vs UTA - Q2 06:32.00")</f>
        <v>LAC vs UTA - Q2 06:32.00</v>
      </c>
      <c r="M205">
        <v>1.25</v>
      </c>
      <c r="N205">
        <v>6.92</v>
      </c>
      <c r="O205">
        <v>49.82</v>
      </c>
      <c r="P205">
        <v>6</v>
      </c>
      <c r="Q205">
        <v>49</v>
      </c>
      <c r="R205">
        <v>6</v>
      </c>
      <c r="S205">
        <v>49</v>
      </c>
    </row>
    <row r="206" spans="1:19" hidden="1" x14ac:dyDescent="0.25">
      <c r="A206">
        <v>22200016</v>
      </c>
      <c r="B206" t="s">
        <v>18</v>
      </c>
      <c r="C206" t="s">
        <v>87</v>
      </c>
      <c r="D206">
        <v>65</v>
      </c>
      <c r="E206">
        <v>65</v>
      </c>
      <c r="F206">
        <v>0</v>
      </c>
      <c r="G206">
        <v>3</v>
      </c>
      <c r="H206" s="1">
        <v>4.7337962962962967E-3</v>
      </c>
      <c r="I206">
        <v>2022</v>
      </c>
      <c r="J206" t="s">
        <v>83</v>
      </c>
      <c r="K206" s="2" t="str">
        <f>HYPERLINK("https://www.nba.com/stats/events?CFID=&amp;CFPARAMS=&amp;GameEventID=410&amp;GameID=0022200016&amp;Season=2022-23&amp;flag=1&amp;title=Leonard%20reverse%20Layup%20(7%20PTS)%20(R.%20Jackson%203%20AST)", "Reverse Layup (7 PTS) (R. Jackson 3 AST)")</f>
        <v>Reverse Layup (7 PTS) (R. Jackson 3 AST)</v>
      </c>
      <c r="L206" s="2" t="str">
        <f>HYPERLINK("https://www.nba.com/game/...-vs-...-0022200016/play-by-play?watchFullGame=true", "LAC vs LAL - Q3 06:49.00")</f>
        <v>LAC vs LAL - Q3 06:49.00</v>
      </c>
      <c r="M206">
        <v>1.22</v>
      </c>
      <c r="N206">
        <v>6.62</v>
      </c>
      <c r="O206">
        <v>48.53</v>
      </c>
      <c r="P206">
        <v>7</v>
      </c>
      <c r="Q206">
        <v>10</v>
      </c>
      <c r="R206">
        <v>6</v>
      </c>
      <c r="S206">
        <v>48</v>
      </c>
    </row>
    <row r="207" spans="1:19" hidden="1" x14ac:dyDescent="0.25">
      <c r="A207">
        <v>41900233</v>
      </c>
      <c r="B207" t="s">
        <v>18</v>
      </c>
      <c r="C207" t="s">
        <v>90</v>
      </c>
      <c r="D207">
        <v>51</v>
      </c>
      <c r="E207">
        <v>57</v>
      </c>
      <c r="F207">
        <v>6</v>
      </c>
      <c r="G207">
        <v>2</v>
      </c>
      <c r="H207" s="1">
        <v>1.8518518518518519E-3</v>
      </c>
      <c r="I207" t="s">
        <v>85</v>
      </c>
      <c r="J207" t="s">
        <v>83</v>
      </c>
      <c r="K207" s="2" t="str">
        <f>HYPERLINK("https://www.nba.com/stats/events?CFID=&amp;CFPARAMS=&amp;GameEventID=275&amp;GameID=0041900233&amp;Season=2019-20&amp;flag=1&amp;title=Leonard%20layup%20(14%20PTS)%20(M.%20Morris%20Sr.%202%20AST)", "Layup (14 PTS) (M. Morris Sr. 2 AST)")</f>
        <v>Layup (14 PTS) (M. Morris Sr. 2 AST)</v>
      </c>
      <c r="L207" s="2" t="str">
        <f>HYPERLINK("https://www.nba.com/game/...-vs-...-0041900233/play-by-play?watchFullGame=true", "LAC vs DEN - Q2 02:40.00")</f>
        <v>LAC vs DEN - Q2 02:40.00</v>
      </c>
      <c r="M207">
        <v>1.18</v>
      </c>
      <c r="N207">
        <v>6.26</v>
      </c>
      <c r="O207">
        <v>50.07</v>
      </c>
      <c r="P207">
        <v>6</v>
      </c>
      <c r="Q207">
        <v>6</v>
      </c>
      <c r="R207">
        <v>6</v>
      </c>
      <c r="S207">
        <v>50</v>
      </c>
    </row>
    <row r="208" spans="1:19" hidden="1" x14ac:dyDescent="0.25">
      <c r="A208">
        <v>22300956</v>
      </c>
      <c r="B208" t="s">
        <v>18</v>
      </c>
      <c r="C208" t="s">
        <v>87</v>
      </c>
      <c r="D208">
        <v>64</v>
      </c>
      <c r="E208">
        <v>53</v>
      </c>
      <c r="F208">
        <v>11</v>
      </c>
      <c r="G208">
        <v>2</v>
      </c>
      <c r="H208" s="1">
        <v>2.7777777777777776E-5</v>
      </c>
      <c r="I208">
        <v>2023</v>
      </c>
      <c r="J208" t="s">
        <v>83</v>
      </c>
      <c r="K208" s="2" t="str">
        <f>HYPERLINK("https://www.nba.com/stats/events?CFID=&amp;CFPARAMS=&amp;GameEventID=286&amp;GameID=0022300956&amp;Season=2023-24&amp;flag=1&amp;title=Leonard%20driving%20Layup%20(16%20PTS)%20(T.%20Mann%201%20AST)", "Driving Layup (16 PTS) (T. Mann 1 AST)")</f>
        <v>Driving Layup (16 PTS) (T. Mann 1 AST)</v>
      </c>
      <c r="L208" s="2" t="str">
        <f>HYPERLINK("https://www.nba.com/game/...-vs-...-0022300956/play-by-play?watchFullGame=true", "LAC vs CHI - Q2 00:02.40")</f>
        <v>LAC vs CHI - Q2 00:02.40</v>
      </c>
      <c r="M208">
        <v>1.17</v>
      </c>
      <c r="N208">
        <v>6.26</v>
      </c>
      <c r="O208">
        <v>48.04</v>
      </c>
      <c r="P208">
        <v>10</v>
      </c>
      <c r="Q208">
        <v>6</v>
      </c>
      <c r="R208">
        <v>6</v>
      </c>
      <c r="S208">
        <v>48</v>
      </c>
    </row>
    <row r="209" spans="1:19" hidden="1" x14ac:dyDescent="0.25">
      <c r="A209">
        <v>22000717</v>
      </c>
      <c r="B209" t="s">
        <v>18</v>
      </c>
      <c r="C209" t="s">
        <v>87</v>
      </c>
      <c r="D209">
        <v>15</v>
      </c>
      <c r="E209">
        <v>12</v>
      </c>
      <c r="F209">
        <v>3</v>
      </c>
      <c r="G209">
        <v>1</v>
      </c>
      <c r="H209" s="1">
        <v>5.3935185185185188E-3</v>
      </c>
      <c r="I209">
        <v>2020</v>
      </c>
      <c r="J209" t="s">
        <v>83</v>
      </c>
      <c r="K209" s="2" t="str">
        <f>HYPERLINK("https://www.nba.com/stats/events?CFID=&amp;CFPARAMS=&amp;GameEventID=47&amp;GameID=0022000717&amp;Season=2020-21&amp;flag=1&amp;title=Leonard%20running%20Layup%20(4%20PTS)", "Running Layup (4 PTS)")</f>
        <v>Running Layup (4 PTS)</v>
      </c>
      <c r="L209" s="2" t="str">
        <f>HYPERLINK("https://www.nba.com/game/...-vs-...-0022000717/play-by-play?watchFullGame=true", "LAC vs MIL - Q1 07:46.00")</f>
        <v>LAC vs MIL - Q1 07:46.00</v>
      </c>
      <c r="M209">
        <v>1.17</v>
      </c>
      <c r="N209">
        <v>6.39</v>
      </c>
      <c r="O209">
        <v>51.78</v>
      </c>
      <c r="P209">
        <v>-9</v>
      </c>
      <c r="Q209">
        <v>8</v>
      </c>
      <c r="R209">
        <v>6</v>
      </c>
      <c r="S209">
        <v>51</v>
      </c>
    </row>
    <row r="210" spans="1:19" hidden="1" x14ac:dyDescent="0.25">
      <c r="A210">
        <v>22000224</v>
      </c>
      <c r="B210" t="s">
        <v>18</v>
      </c>
      <c r="C210" t="s">
        <v>87</v>
      </c>
      <c r="D210">
        <v>106</v>
      </c>
      <c r="E210">
        <v>91</v>
      </c>
      <c r="F210">
        <v>15</v>
      </c>
      <c r="G210">
        <v>4</v>
      </c>
      <c r="H210" s="1">
        <v>2.5810185185185185E-3</v>
      </c>
      <c r="I210">
        <v>2020</v>
      </c>
      <c r="J210" t="s">
        <v>83</v>
      </c>
      <c r="K210" s="2" t="str">
        <f>HYPERLINK("https://www.nba.com/stats/events?CFID=&amp;CFPARAMS=&amp;GameEventID=577&amp;GameID=0022000224&amp;Season=2020-21&amp;flag=1&amp;title=Leonard%20driving%20finger%20roll%20Layup%20(32%20PTS)", "Driving finger roll Layup (32 PTS)")</f>
        <v>Driving finger roll Layup (32 PTS)</v>
      </c>
      <c r="L210" s="2" t="str">
        <f>HYPERLINK("https://www.nba.com/game/...-vs-...-0022000224/play-by-play?watchFullGame=true", "LAC vs SAC - Q4 03:43.00")</f>
        <v>LAC vs SAC - Q4 03:43.00</v>
      </c>
      <c r="M210">
        <v>1.1599999999999999</v>
      </c>
      <c r="N210">
        <v>6.78</v>
      </c>
      <c r="O210">
        <v>50.56</v>
      </c>
      <c r="P210">
        <v>-3</v>
      </c>
      <c r="Q210">
        <v>11</v>
      </c>
      <c r="R210">
        <v>6</v>
      </c>
      <c r="S210">
        <v>50</v>
      </c>
    </row>
    <row r="211" spans="1:19" hidden="1" x14ac:dyDescent="0.25">
      <c r="A211">
        <v>22300372</v>
      </c>
      <c r="B211" t="s">
        <v>18</v>
      </c>
      <c r="C211" t="s">
        <v>87</v>
      </c>
      <c r="D211">
        <v>118</v>
      </c>
      <c r="E211">
        <v>110</v>
      </c>
      <c r="F211">
        <v>8</v>
      </c>
      <c r="G211">
        <v>4</v>
      </c>
      <c r="H211" s="1">
        <v>9.837962962962962E-4</v>
      </c>
      <c r="I211">
        <v>2023</v>
      </c>
      <c r="J211" t="s">
        <v>83</v>
      </c>
      <c r="K211" s="2" t="str">
        <f>HYPERLINK("https://www.nba.com/stats/events?CFID=&amp;CFPARAMS=&amp;GameEventID=597&amp;GameID=0022300372&amp;Season=2023-24&amp;flag=1&amp;title=Leonard%20driving%20finger%20roll%20Layup%20(28%20PTS)", "Driving finger roll Layup (28 PTS)")</f>
        <v>Driving finger roll Layup (28 PTS)</v>
      </c>
      <c r="L211" s="2" t="str">
        <f>HYPERLINK("https://www.nba.com/game/...-vs-...-0022300372/play-by-play?watchFullGame=true", "LAC vs DAL - Q4 01:25.00")</f>
        <v>LAC vs DAL - Q4 01:25.00</v>
      </c>
      <c r="M211">
        <v>1.1100000000000001</v>
      </c>
      <c r="N211">
        <v>6.65</v>
      </c>
      <c r="O211">
        <v>50.98</v>
      </c>
      <c r="P211">
        <v>-5</v>
      </c>
      <c r="Q211">
        <v>10</v>
      </c>
      <c r="R211">
        <v>6</v>
      </c>
      <c r="S211">
        <v>50</v>
      </c>
    </row>
    <row r="212" spans="1:19" hidden="1" x14ac:dyDescent="0.25">
      <c r="A212">
        <v>22200871</v>
      </c>
      <c r="B212" t="s">
        <v>18</v>
      </c>
      <c r="C212" t="s">
        <v>87</v>
      </c>
      <c r="D212">
        <v>73</v>
      </c>
      <c r="E212">
        <v>73</v>
      </c>
      <c r="F212">
        <v>0</v>
      </c>
      <c r="G212">
        <v>3</v>
      </c>
      <c r="H212" s="1">
        <v>6.4930555555555557E-3</v>
      </c>
      <c r="I212">
        <v>2022</v>
      </c>
      <c r="J212" t="s">
        <v>83</v>
      </c>
      <c r="K212" s="2" t="str">
        <f>HYPERLINK("https://www.nba.com/stats/events?CFID=&amp;CFPARAMS=&amp;GameEventID=362&amp;GameID=0022200871&amp;Season=2022-23&amp;flag=1&amp;title=Leonard%20driving%20Layup%20(21%20PTS)%20(P.%20George%205%20AST)", "Driving Layup (21 PTS) (P. George 5 AST)")</f>
        <v>Driving Layup (21 PTS) (P. George 5 AST)</v>
      </c>
      <c r="L212" s="2" t="str">
        <f>HYPERLINK("https://www.nba.com/game/...-vs-...-0022200871/play-by-play?watchFullGame=true", "LAC vs GSW - Q3 09:21.00")</f>
        <v>LAC vs GSW - Q3 09:21.00</v>
      </c>
      <c r="M212">
        <v>1.1100000000000001</v>
      </c>
      <c r="N212">
        <v>6.75</v>
      </c>
      <c r="O212">
        <v>49.75</v>
      </c>
      <c r="P212">
        <v>1</v>
      </c>
      <c r="Q212">
        <v>11</v>
      </c>
      <c r="R212">
        <v>6</v>
      </c>
      <c r="S212">
        <v>49</v>
      </c>
    </row>
    <row r="213" spans="1:19" hidden="1" x14ac:dyDescent="0.25">
      <c r="A213">
        <v>22000142</v>
      </c>
      <c r="B213" t="s">
        <v>18</v>
      </c>
      <c r="C213" t="s">
        <v>87</v>
      </c>
      <c r="D213">
        <v>7</v>
      </c>
      <c r="E213">
        <v>12</v>
      </c>
      <c r="F213">
        <v>5</v>
      </c>
      <c r="G213">
        <v>1</v>
      </c>
      <c r="H213" s="1">
        <v>5.3009259259259259E-3</v>
      </c>
      <c r="I213">
        <v>2020</v>
      </c>
      <c r="J213" t="s">
        <v>83</v>
      </c>
      <c r="K213" s="2" t="str">
        <f>HYPERLINK("https://www.nba.com/stats/events?CFID=&amp;CFPARAMS=&amp;GameEventID=50&amp;GameID=0022000142&amp;Season=2020-21&amp;flag=1&amp;title=Leonard%20alley-oop%20Layup%20(4%20PTS)%20(N.%20Batum%201%20AST)", "Alley-oop Layup (4 PTS) (N. Batum 1 AST)")</f>
        <v>Alley-oop Layup (4 PTS) (N. Batum 1 AST)</v>
      </c>
      <c r="L213" s="2" t="str">
        <f>HYPERLINK("https://www.nba.com/game/...-vs-...-0022000142/play-by-play?watchFullGame=true", "LAC vs CHI - Q1 07:38.00")</f>
        <v>LAC vs CHI - Q1 07:38.00</v>
      </c>
      <c r="M213">
        <v>1.04</v>
      </c>
      <c r="N213">
        <v>6.65</v>
      </c>
      <c r="O213">
        <v>50.56</v>
      </c>
      <c r="P213">
        <v>-3</v>
      </c>
      <c r="Q213">
        <v>10</v>
      </c>
      <c r="R213">
        <v>6</v>
      </c>
      <c r="S213">
        <v>50</v>
      </c>
    </row>
    <row r="214" spans="1:19" hidden="1" x14ac:dyDescent="0.25">
      <c r="A214">
        <v>22300676</v>
      </c>
      <c r="B214" t="s">
        <v>18</v>
      </c>
      <c r="C214" t="s">
        <v>87</v>
      </c>
      <c r="D214">
        <v>98</v>
      </c>
      <c r="E214">
        <v>77</v>
      </c>
      <c r="F214">
        <v>21</v>
      </c>
      <c r="G214">
        <v>3</v>
      </c>
      <c r="H214" s="1">
        <v>1.5856481481481481E-3</v>
      </c>
      <c r="I214">
        <v>2023</v>
      </c>
      <c r="J214" t="s">
        <v>83</v>
      </c>
      <c r="K214" s="2" t="str">
        <f>HYPERLINK("https://www.nba.com/stats/events?CFID=&amp;CFPARAMS=&amp;GameEventID=435&amp;GameID=0022300676&amp;Season=2023-24&amp;flag=1&amp;title=Leonard%20driving%20Layup%20(29%20PTS)", "Driving Layup (29 PTS)")</f>
        <v>Driving Layup (29 PTS)</v>
      </c>
      <c r="L214" s="2" t="str">
        <f>HYPERLINK("https://www.nba.com/game/...-vs-...-0022300676/play-by-play?watchFullGame=true", "LAC vs WAS - Q3 02:17.00")</f>
        <v>LAC vs WAS - Q3 02:17.00</v>
      </c>
      <c r="M214">
        <v>1</v>
      </c>
      <c r="N214">
        <v>6.13</v>
      </c>
      <c r="O214">
        <v>48.28</v>
      </c>
      <c r="P214">
        <v>9</v>
      </c>
      <c r="Q214">
        <v>5</v>
      </c>
      <c r="R214">
        <v>6</v>
      </c>
      <c r="S214">
        <v>48</v>
      </c>
    </row>
    <row r="215" spans="1:19" hidden="1" x14ac:dyDescent="0.25">
      <c r="A215">
        <v>22301215</v>
      </c>
      <c r="B215" t="s">
        <v>18</v>
      </c>
      <c r="C215" t="s">
        <v>87</v>
      </c>
      <c r="D215">
        <v>79</v>
      </c>
      <c r="E215">
        <v>78</v>
      </c>
      <c r="F215">
        <v>1</v>
      </c>
      <c r="G215">
        <v>3</v>
      </c>
      <c r="H215" s="1">
        <v>1.6782407407407408E-3</v>
      </c>
      <c r="I215">
        <v>2023</v>
      </c>
      <c r="J215" t="s">
        <v>83</v>
      </c>
      <c r="K215" s="2" t="str">
        <f>HYPERLINK("https://www.nba.com/stats/events?CFID=&amp;CFPARAMS=&amp;GameEventID=433&amp;GameID=0022301215&amp;Season=2023-24&amp;flag=1&amp;title=Leonard%20running%20Layup%20(11%20PTS)%20(N.%20Powell%202%20AST)", "Running Layup (11 PTS) (N. Powell 2 AST)")</f>
        <v>Running Layup (11 PTS) (N. Powell 2 AST)</v>
      </c>
      <c r="L215" s="2" t="str">
        <f>HYPERLINK("https://www.nba.com/game/...-vs-...-0022301215/play-by-play?watchFullGame=true", "LAC vs DEN - Q3 02:25.00")</f>
        <v>LAC vs DEN - Q3 02:25.00</v>
      </c>
      <c r="M215">
        <v>1</v>
      </c>
      <c r="N215">
        <v>6.62</v>
      </c>
      <c r="O215">
        <v>50.49</v>
      </c>
      <c r="P215">
        <v>-2</v>
      </c>
      <c r="Q215">
        <v>10</v>
      </c>
      <c r="R215">
        <v>6</v>
      </c>
      <c r="S215">
        <v>50</v>
      </c>
    </row>
    <row r="216" spans="1:19" hidden="1" x14ac:dyDescent="0.25">
      <c r="A216">
        <v>22000328</v>
      </c>
      <c r="B216" t="s">
        <v>18</v>
      </c>
      <c r="C216" t="s">
        <v>87</v>
      </c>
      <c r="D216">
        <v>18</v>
      </c>
      <c r="E216">
        <v>11</v>
      </c>
      <c r="F216">
        <v>7</v>
      </c>
      <c r="G216">
        <v>1</v>
      </c>
      <c r="H216" s="1">
        <v>5.0462962962962961E-3</v>
      </c>
      <c r="I216">
        <v>2020</v>
      </c>
      <c r="J216" t="s">
        <v>83</v>
      </c>
      <c r="K216" s="2" t="str">
        <f>HYPERLINK("https://www.nba.com/stats/events?CFID=&amp;CFPARAMS=&amp;GameEventID=49&amp;GameID=0022000328&amp;Season=2020-21&amp;flag=1&amp;title=Leonard%20Layup%20(8%20PTS)%20(R.%20Jackson%201%20AST)", "Layup (8 PTS) (R. Jackson 1 AST)")</f>
        <v>Layup (8 PTS) (R. Jackson 1 AST)</v>
      </c>
      <c r="L216" s="2" t="str">
        <f>HYPERLINK("https://www.nba.com/game/...-vs-...-0022000328/play-by-play?watchFullGame=true", "LAC vs CLE - Q1 07:16.00")</f>
        <v>LAC vs CLE - Q1 07:16.00</v>
      </c>
      <c r="M216">
        <v>0.89</v>
      </c>
      <c r="N216">
        <v>6.39</v>
      </c>
      <c r="O216">
        <v>49.09</v>
      </c>
      <c r="P216">
        <v>5</v>
      </c>
      <c r="Q216">
        <v>8</v>
      </c>
      <c r="R216">
        <v>6</v>
      </c>
      <c r="S216">
        <v>49</v>
      </c>
    </row>
    <row r="217" spans="1:19" hidden="1" x14ac:dyDescent="0.25">
      <c r="A217">
        <v>22400927</v>
      </c>
      <c r="B217" t="s">
        <v>18</v>
      </c>
      <c r="C217" t="s">
        <v>89</v>
      </c>
      <c r="D217">
        <v>111</v>
      </c>
      <c r="E217">
        <v>110</v>
      </c>
      <c r="F217">
        <v>1</v>
      </c>
      <c r="G217">
        <v>5</v>
      </c>
      <c r="H217" s="1">
        <v>0</v>
      </c>
      <c r="I217">
        <v>2024</v>
      </c>
      <c r="J217" t="s">
        <v>83</v>
      </c>
      <c r="K217" s="2" t="str">
        <f>HYPERLINK("https://www.nba.com/stats/events?CFID=&amp;CFPARAMS=&amp;GameEventID=652&amp;GameID=0022400927&amp;Season=2024-25&amp;flag=1&amp;title=Leonard%20driving%20Hook%20(17%20PTS)", "Driving Hook (17 PTS)")</f>
        <v>Driving Hook (17 PTS)</v>
      </c>
      <c r="L217" s="2" t="str">
        <f>HYPERLINK("https://www.nba.com/game/...-vs-...-0022400927/play-by-play?watchFullGame=true", "LAC vs SAC - Q5 00:00.00")</f>
        <v>LAC vs SAC - Q5 00:00.00</v>
      </c>
      <c r="M217">
        <v>0.85</v>
      </c>
      <c r="N217">
        <v>6.39</v>
      </c>
      <c r="O217">
        <v>49.26</v>
      </c>
      <c r="P217">
        <v>4</v>
      </c>
      <c r="Q217">
        <v>8</v>
      </c>
      <c r="R217">
        <v>6</v>
      </c>
      <c r="S217">
        <v>49</v>
      </c>
    </row>
    <row r="218" spans="1:19" hidden="1" x14ac:dyDescent="0.25">
      <c r="A218">
        <v>22400596</v>
      </c>
      <c r="B218" t="s">
        <v>18</v>
      </c>
      <c r="C218" t="s">
        <v>87</v>
      </c>
      <c r="D218">
        <v>77</v>
      </c>
      <c r="E218">
        <v>56</v>
      </c>
      <c r="F218">
        <v>21</v>
      </c>
      <c r="G218">
        <v>3</v>
      </c>
      <c r="H218" s="1">
        <v>5.5439814814814813E-3</v>
      </c>
      <c r="I218">
        <v>2024</v>
      </c>
      <c r="J218" t="s">
        <v>83</v>
      </c>
      <c r="K218" s="2" t="str">
        <f>HYPERLINK("https://www.nba.com/stats/events?CFID=&amp;CFPARAMS=&amp;GameEventID=332&amp;GameID=0022400596&amp;Season=2024-25&amp;flag=1&amp;title=Leonard%20Layup%20(13%20PTS)%20(J.%20Harden%207%20AST)", "Layup (13 PTS) (J. Harden 7 AST)")</f>
        <v>Layup (13 PTS) (J. Harden 7 AST)</v>
      </c>
      <c r="L218" s="2" t="str">
        <f>HYPERLINK("https://www.nba.com/game/...-vs-...-0022400596/play-by-play?watchFullGame=true", "LAC vs LAL - Q3 07:59.00")</f>
        <v>LAC vs LAL - Q3 07:59.00</v>
      </c>
      <c r="M218">
        <v>0.8</v>
      </c>
      <c r="N218">
        <v>6.39</v>
      </c>
      <c r="O218">
        <v>50.49</v>
      </c>
      <c r="P218">
        <v>-2</v>
      </c>
      <c r="Q218">
        <v>8</v>
      </c>
      <c r="R218">
        <v>6</v>
      </c>
      <c r="S218">
        <v>50</v>
      </c>
    </row>
    <row r="219" spans="1:19" hidden="1" x14ac:dyDescent="0.25">
      <c r="A219">
        <v>22000224</v>
      </c>
      <c r="B219" t="s">
        <v>18</v>
      </c>
      <c r="C219" t="s">
        <v>87</v>
      </c>
      <c r="D219">
        <v>73</v>
      </c>
      <c r="E219">
        <v>63</v>
      </c>
      <c r="F219">
        <v>10</v>
      </c>
      <c r="G219">
        <v>3</v>
      </c>
      <c r="H219" s="1">
        <v>5.7870370370370367E-3</v>
      </c>
      <c r="I219">
        <v>2020</v>
      </c>
      <c r="J219" t="s">
        <v>83</v>
      </c>
      <c r="K219" s="2" t="str">
        <f>HYPERLINK("https://www.nba.com/stats/events?CFID=&amp;CFPARAMS=&amp;GameEventID=356&amp;GameID=0022000224&amp;Season=2020-21&amp;flag=1&amp;title=Leonard%20running%20Layup%20(21%20PTS)%20(P.%20George%2011%20AST)", "Running Layup (21 PTS) (P. George 11 AST)")</f>
        <v>Running Layup (21 PTS) (P. George 11 AST)</v>
      </c>
      <c r="L219" s="2" t="str">
        <f>HYPERLINK("https://www.nba.com/game/...-vs-...-0022000224/play-by-play?watchFullGame=true", "LAC vs SAC - Q3 08:20.00")</f>
        <v>LAC vs SAC - Q3 08:20.00</v>
      </c>
      <c r="M219">
        <v>0.76</v>
      </c>
      <c r="N219">
        <v>6.39</v>
      </c>
      <c r="O219">
        <v>50.07</v>
      </c>
      <c r="P219">
        <v>6</v>
      </c>
      <c r="Q219">
        <v>8</v>
      </c>
      <c r="R219">
        <v>6</v>
      </c>
      <c r="S219">
        <v>50</v>
      </c>
    </row>
    <row r="220" spans="1:19" hidden="1" x14ac:dyDescent="0.25">
      <c r="A220">
        <v>22300372</v>
      </c>
      <c r="B220" t="s">
        <v>18</v>
      </c>
      <c r="C220" t="s">
        <v>87</v>
      </c>
      <c r="D220">
        <v>77</v>
      </c>
      <c r="E220">
        <v>71</v>
      </c>
      <c r="F220">
        <v>6</v>
      </c>
      <c r="G220">
        <v>3</v>
      </c>
      <c r="H220" s="1">
        <v>3.6805555555555554E-3</v>
      </c>
      <c r="I220">
        <v>2023</v>
      </c>
      <c r="J220" t="s">
        <v>83</v>
      </c>
      <c r="K220" s="2" t="str">
        <f>HYPERLINK("https://www.nba.com/stats/events?CFID=&amp;CFPARAMS=&amp;GameEventID=393&amp;GameID=0022300372&amp;Season=2023-24&amp;flag=1&amp;title=Leonard%20driving%20reverse%20Layup%20(16%20PTS)%20(J.%20Harden%209%20AST)", "Driving reverse Layup (16 PTS) (J. Harden 9 AST)")</f>
        <v>Driving reverse Layup (16 PTS) (J. Harden 9 AST)</v>
      </c>
      <c r="L220" s="2" t="str">
        <f>HYPERLINK("https://www.nba.com/game/...-vs-...-0022300372/play-by-play?watchFullGame=true", "LAC vs DAL - Q3 05:18.00")</f>
        <v>LAC vs DAL - Q3 05:18.00</v>
      </c>
      <c r="M220">
        <v>0.64</v>
      </c>
      <c r="N220">
        <v>6.26</v>
      </c>
      <c r="O220">
        <v>49.75</v>
      </c>
      <c r="P220">
        <v>1</v>
      </c>
      <c r="Q220">
        <v>6</v>
      </c>
      <c r="R220">
        <v>6</v>
      </c>
      <c r="S220">
        <v>49</v>
      </c>
    </row>
    <row r="221" spans="1:19" hidden="1" x14ac:dyDescent="0.25">
      <c r="A221">
        <v>22000720</v>
      </c>
      <c r="B221" t="s">
        <v>18</v>
      </c>
      <c r="C221" t="s">
        <v>88</v>
      </c>
      <c r="D221">
        <v>48</v>
      </c>
      <c r="E221">
        <v>37</v>
      </c>
      <c r="F221">
        <v>11</v>
      </c>
      <c r="G221">
        <v>2</v>
      </c>
      <c r="H221" s="1">
        <v>7.7546296296296293E-4</v>
      </c>
      <c r="I221">
        <v>2020</v>
      </c>
      <c r="J221" t="s">
        <v>83</v>
      </c>
      <c r="K221" s="2" t="str">
        <f>HYPERLINK("https://www.nba.com/stats/events?CFID=&amp;CFPARAMS=&amp;GameEventID=264&amp;GameID=0022000720&amp;Season=2020-21&amp;flag=1&amp;title=Leonard%20driving%20DUNK%20(13%20PTS)", "Driving DUNK (13 PTS)")</f>
        <v>Driving DUNK (13 PTS)</v>
      </c>
      <c r="L221" s="2" t="str">
        <f>HYPERLINK("https://www.nba.com/game/...-vs-...-0022000720/play-by-play?watchFullGame=true", "LAC vs ORL - Q2 01:07.00")</f>
        <v>LAC vs ORL - Q2 01:07.00</v>
      </c>
      <c r="M221">
        <v>1.1299999999999999</v>
      </c>
      <c r="N221">
        <v>6.78</v>
      </c>
      <c r="O221">
        <v>49.82</v>
      </c>
      <c r="P221">
        <v>1</v>
      </c>
      <c r="Q221">
        <v>11</v>
      </c>
      <c r="R221">
        <v>6</v>
      </c>
      <c r="S221">
        <v>49</v>
      </c>
    </row>
    <row r="222" spans="1:19" hidden="1" x14ac:dyDescent="0.25">
      <c r="A222">
        <v>22300770</v>
      </c>
      <c r="B222" t="s">
        <v>18</v>
      </c>
      <c r="C222" t="s">
        <v>88</v>
      </c>
      <c r="D222">
        <v>24</v>
      </c>
      <c r="E222">
        <v>28</v>
      </c>
      <c r="F222">
        <v>4</v>
      </c>
      <c r="G222">
        <v>1</v>
      </c>
      <c r="H222" s="1">
        <v>9.9537037037037031E-5</v>
      </c>
      <c r="I222">
        <v>2023</v>
      </c>
      <c r="J222" t="s">
        <v>83</v>
      </c>
      <c r="K222" s="2" t="str">
        <f>HYPERLINK("https://www.nba.com/stats/events?CFID=&amp;CFPARAMS=&amp;GameEventID=157&amp;GameID=0022300770&amp;Season=2023-24&amp;flag=1&amp;title=Leonard%20running%20DUNK%20(11%20PTS)%20(M.%20Plumlee%201%20AST)", "Running DUNK (11 PTS) (M. Plumlee 1 AST)")</f>
        <v>Running DUNK (11 PTS) (M. Plumlee 1 AST)</v>
      </c>
      <c r="L222" s="2" t="str">
        <f>HYPERLINK("https://www.nba.com/game/...-vs-...-0022300770/play-by-play?watchFullGame=true", "LAC vs MIN - Q1 00:08.60")</f>
        <v>LAC vs MIN - Q1 00:08.60</v>
      </c>
      <c r="M222">
        <v>1.1100000000000001</v>
      </c>
      <c r="N222">
        <v>6.75</v>
      </c>
      <c r="O222">
        <v>49.75</v>
      </c>
      <c r="P222">
        <v>1</v>
      </c>
      <c r="Q222">
        <v>11</v>
      </c>
      <c r="R222">
        <v>6</v>
      </c>
      <c r="S222">
        <v>49</v>
      </c>
    </row>
    <row r="223" spans="1:19" hidden="1" x14ac:dyDescent="0.25">
      <c r="A223">
        <v>22300568</v>
      </c>
      <c r="B223" t="s">
        <v>18</v>
      </c>
      <c r="C223" t="s">
        <v>88</v>
      </c>
      <c r="D223">
        <v>75</v>
      </c>
      <c r="E223">
        <v>66</v>
      </c>
      <c r="F223">
        <v>9</v>
      </c>
      <c r="G223">
        <v>3</v>
      </c>
      <c r="H223" s="1">
        <v>6.875E-3</v>
      </c>
      <c r="I223">
        <v>2023</v>
      </c>
      <c r="J223" t="s">
        <v>83</v>
      </c>
      <c r="K223" s="2" t="str">
        <f>HYPERLINK("https://www.nba.com/stats/events?CFID=&amp;CFPARAMS=&amp;GameEventID=337&amp;GameID=0022300568&amp;Season=2023-24&amp;flag=1&amp;title=Leonard%20driving%20DUNK%20(13%20PTS)%20(J.%20Harden%203%20AST)", "Driving DUNK (13 PTS) (J. Harden 3 AST)")</f>
        <v>Driving DUNK (13 PTS) (J. Harden 3 AST)</v>
      </c>
      <c r="L223" s="2" t="str">
        <f>HYPERLINK("https://www.nba.com/game/...-vs-...-0022300568/play-by-play?watchFullGame=true", "LAC vs OKC - Q3 09:54.00")</f>
        <v>LAC vs OKC - Q3 09:54.00</v>
      </c>
      <c r="M223">
        <v>1.1100000000000001</v>
      </c>
      <c r="N223">
        <v>6.75</v>
      </c>
      <c r="O223">
        <v>49.75</v>
      </c>
      <c r="P223">
        <v>1</v>
      </c>
      <c r="Q223">
        <v>11</v>
      </c>
      <c r="R223">
        <v>6</v>
      </c>
      <c r="S223">
        <v>49</v>
      </c>
    </row>
    <row r="224" spans="1:19" hidden="1" x14ac:dyDescent="0.25">
      <c r="A224">
        <v>22300553</v>
      </c>
      <c r="B224" t="s">
        <v>18</v>
      </c>
      <c r="C224" t="s">
        <v>88</v>
      </c>
      <c r="D224">
        <v>12</v>
      </c>
      <c r="E224">
        <v>21</v>
      </c>
      <c r="F224">
        <v>9</v>
      </c>
      <c r="G224">
        <v>1</v>
      </c>
      <c r="H224" s="1">
        <v>2.2685185185185187E-3</v>
      </c>
      <c r="I224">
        <v>2023</v>
      </c>
      <c r="J224" t="s">
        <v>83</v>
      </c>
      <c r="K224" s="2" t="str">
        <f>HYPERLINK("https://www.nba.com/stats/events?CFID=&amp;CFPARAMS=&amp;GameEventID=98&amp;GameID=0022300553&amp;Season=2023-24&amp;flag=1&amp;title=Leonard%20running%20DUNK%20(8%20PTS)%20(R.%20Westbrook%202%20AST)", "Running DUNK (8 PTS) (R. Westbrook 2 AST)")</f>
        <v>Running DUNK (8 PTS) (R. Westbrook 2 AST)</v>
      </c>
      <c r="L224" s="2" t="str">
        <f>HYPERLINK("https://www.nba.com/game/...-vs-...-0022300553/play-by-play?watchFullGame=true", "LAC vs MIN - Q1 03:16.00")</f>
        <v>LAC vs MIN - Q1 03:16.00</v>
      </c>
      <c r="M224">
        <v>0.64</v>
      </c>
      <c r="N224">
        <v>6.26</v>
      </c>
      <c r="O224">
        <v>49.75</v>
      </c>
      <c r="P224">
        <v>1</v>
      </c>
      <c r="Q224">
        <v>6</v>
      </c>
      <c r="R224">
        <v>6</v>
      </c>
      <c r="S224">
        <v>49</v>
      </c>
    </row>
    <row r="225" spans="1:19" hidden="1" x14ac:dyDescent="0.25">
      <c r="A225">
        <v>22000188</v>
      </c>
      <c r="B225" t="s">
        <v>18</v>
      </c>
      <c r="C225" t="s">
        <v>88</v>
      </c>
      <c r="D225">
        <v>95</v>
      </c>
      <c r="E225">
        <v>69</v>
      </c>
      <c r="F225">
        <v>26</v>
      </c>
      <c r="G225">
        <v>3</v>
      </c>
      <c r="H225" s="1">
        <v>2.8009259259259259E-3</v>
      </c>
      <c r="I225">
        <v>2020</v>
      </c>
      <c r="J225" t="s">
        <v>83</v>
      </c>
      <c r="K225" s="2" t="str">
        <f>HYPERLINK("https://www.nba.com/stats/events?CFID=&amp;CFPARAMS=&amp;GameEventID=427&amp;GameID=0022000188&amp;Season=2020-21&amp;flag=1&amp;title=Leonard%20running%20DUNK%20(25%20PTS)", "Running DUNK (25 PTS)")</f>
        <v>Running DUNK (25 PTS)</v>
      </c>
      <c r="L225" s="2" t="str">
        <f>HYPERLINK("https://www.nba.com/game/...-vs-...-0022000188/play-by-play?watchFullGame=true", "LAC vs SAC - Q3 04:02.00")</f>
        <v>LAC vs SAC - Q3 04:02.00</v>
      </c>
      <c r="M225">
        <v>0.52</v>
      </c>
      <c r="N225">
        <v>6.13</v>
      </c>
      <c r="O225">
        <v>49.82</v>
      </c>
      <c r="P225">
        <v>1</v>
      </c>
      <c r="Q225">
        <v>5</v>
      </c>
      <c r="R225">
        <v>6</v>
      </c>
      <c r="S225">
        <v>49</v>
      </c>
    </row>
    <row r="226" spans="1:19" hidden="1" x14ac:dyDescent="0.25">
      <c r="A226">
        <v>22400983</v>
      </c>
      <c r="B226" t="s">
        <v>18</v>
      </c>
      <c r="C226" t="s">
        <v>88</v>
      </c>
      <c r="D226">
        <v>80</v>
      </c>
      <c r="E226">
        <v>59</v>
      </c>
      <c r="F226">
        <v>21</v>
      </c>
      <c r="G226">
        <v>3</v>
      </c>
      <c r="H226" s="1">
        <v>3.1018518518518517E-3</v>
      </c>
      <c r="I226">
        <v>2024</v>
      </c>
      <c r="J226" t="s">
        <v>83</v>
      </c>
      <c r="K226" s="2" t="str">
        <f>HYPERLINK("https://www.nba.com/stats/events?CFID=&amp;CFPARAMS=&amp;GameEventID=422&amp;GameID=0022400983&amp;Season=2024-25&amp;flag=1&amp;title=Leonard%20running%20DUNK%20(15%20PTS)%20(J.%20Harden%2010%20AST)", "Running DUNK (15 PTS) (J. Harden 10 AST)")</f>
        <v>Running DUNK (15 PTS) (J. Harden 10 AST)</v>
      </c>
      <c r="L226" s="2" t="str">
        <f>HYPERLINK("https://www.nba.com/game/...-vs-...-0022400983/play-by-play?watchFullGame=true", "LAC vs WAS - Q3 04:28.00")</f>
        <v>LAC vs WAS - Q3 04:28.00</v>
      </c>
      <c r="M226">
        <v>1.1599999999999999</v>
      </c>
      <c r="N226">
        <v>6.78</v>
      </c>
      <c r="O226">
        <v>49.51</v>
      </c>
      <c r="P226">
        <v>2</v>
      </c>
      <c r="Q226">
        <v>11</v>
      </c>
      <c r="R226">
        <v>6</v>
      </c>
      <c r="S226">
        <v>49</v>
      </c>
    </row>
    <row r="227" spans="1:19" hidden="1" x14ac:dyDescent="0.25">
      <c r="A227">
        <v>22200991</v>
      </c>
      <c r="B227" t="s">
        <v>18</v>
      </c>
      <c r="C227" t="s">
        <v>88</v>
      </c>
      <c r="D227">
        <v>100</v>
      </c>
      <c r="E227">
        <v>85</v>
      </c>
      <c r="F227">
        <v>15</v>
      </c>
      <c r="G227">
        <v>4</v>
      </c>
      <c r="H227" s="1">
        <v>3.6689814814814814E-3</v>
      </c>
      <c r="I227">
        <v>2022</v>
      </c>
      <c r="J227" t="s">
        <v>83</v>
      </c>
      <c r="K227" s="2" t="str">
        <f>HYPERLINK("https://www.nba.com/stats/events?CFID=&amp;CFPARAMS=&amp;GameEventID=535&amp;GameID=0022200991&amp;Season=2022-23&amp;flag=1&amp;title=Leonard%20driving%20DUNK%20(21%20PTS)", "Driving DUNK (21 PTS)")</f>
        <v>Driving DUNK (21 PTS)</v>
      </c>
      <c r="L227" s="2" t="str">
        <f>HYPERLINK("https://www.nba.com/game/...-vs-...-0022200991/play-by-play?watchFullGame=true", "LAC vs TOR - Q4 05:17.00")</f>
        <v>LAC vs TOR - Q4 05:17.00</v>
      </c>
      <c r="M227">
        <v>1</v>
      </c>
      <c r="N227">
        <v>6.62</v>
      </c>
      <c r="O227">
        <v>49.51</v>
      </c>
      <c r="P227">
        <v>2</v>
      </c>
      <c r="Q227">
        <v>10</v>
      </c>
      <c r="R227">
        <v>6</v>
      </c>
      <c r="S227">
        <v>49</v>
      </c>
    </row>
    <row r="228" spans="1:19" hidden="1" x14ac:dyDescent="0.25">
      <c r="A228">
        <v>22200991</v>
      </c>
      <c r="B228" t="s">
        <v>18</v>
      </c>
      <c r="C228" t="s">
        <v>88</v>
      </c>
      <c r="D228">
        <v>62</v>
      </c>
      <c r="E228">
        <v>57</v>
      </c>
      <c r="F228">
        <v>5</v>
      </c>
      <c r="G228">
        <v>3</v>
      </c>
      <c r="H228" s="1">
        <v>5.5092592592592589E-3</v>
      </c>
      <c r="I228">
        <v>2022</v>
      </c>
      <c r="J228" t="s">
        <v>83</v>
      </c>
      <c r="K228" s="2" t="str">
        <f>HYPERLINK("https://www.nba.com/stats/events?CFID=&amp;CFPARAMS=&amp;GameEventID=343&amp;GameID=0022200991&amp;Season=2022-23&amp;flag=1&amp;title=Leonard%20driving%20DUNK%20(19%20PTS)", "Driving DUNK (19 PTS)")</f>
        <v>Driving DUNK (19 PTS)</v>
      </c>
      <c r="L228" s="2" t="str">
        <f>HYPERLINK("https://www.nba.com/game/...-vs-...-0022200991/play-by-play?watchFullGame=true", "LAC vs TOR - Q3 07:56.00")</f>
        <v>LAC vs TOR - Q3 07:56.00</v>
      </c>
      <c r="M228">
        <v>0.89</v>
      </c>
      <c r="N228">
        <v>6.49</v>
      </c>
      <c r="O228">
        <v>49.51</v>
      </c>
      <c r="P228">
        <v>2</v>
      </c>
      <c r="Q228">
        <v>8</v>
      </c>
      <c r="R228">
        <v>6</v>
      </c>
      <c r="S228">
        <v>49</v>
      </c>
    </row>
    <row r="229" spans="1:19" hidden="1" x14ac:dyDescent="0.25">
      <c r="A229">
        <v>21900618</v>
      </c>
      <c r="B229" t="s">
        <v>18</v>
      </c>
      <c r="C229" t="s">
        <v>92</v>
      </c>
      <c r="D229">
        <v>73</v>
      </c>
      <c r="E229">
        <v>51</v>
      </c>
      <c r="F229">
        <v>22</v>
      </c>
      <c r="G229">
        <v>3</v>
      </c>
      <c r="H229" s="1">
        <v>7.0023148148148145E-3</v>
      </c>
      <c r="I229">
        <v>2019</v>
      </c>
      <c r="J229" t="s">
        <v>83</v>
      </c>
      <c r="K229" s="2" t="str">
        <f>HYPERLINK("https://www.nba.com/stats/events?CFID=&amp;CFPARAMS=&amp;GameEventID=346&amp;GameID=0021900618&amp;Season=2019-20&amp;flag=1&amp;title=Leonard%20dunk%20(26%20PTS)", "Dunk (26 PTS)")</f>
        <v>Dunk (26 PTS)</v>
      </c>
      <c r="L229" s="2" t="str">
        <f>HYPERLINK("https://www.nba.com/game/...-vs-...-0021900618/play-by-play?watchFullGame=true", "LAC vs ORL - Q3 10:05.00")</f>
        <v>LAC vs ORL - Q3 10:05.00</v>
      </c>
      <c r="M229">
        <v>1.79</v>
      </c>
      <c r="N229">
        <v>6.88</v>
      </c>
      <c r="O229">
        <v>49.44</v>
      </c>
      <c r="P229">
        <v>3</v>
      </c>
      <c r="Q229">
        <v>12</v>
      </c>
      <c r="R229">
        <v>6</v>
      </c>
      <c r="S229">
        <v>49</v>
      </c>
    </row>
    <row r="230" spans="1:19" hidden="1" x14ac:dyDescent="0.25">
      <c r="A230">
        <v>21900576</v>
      </c>
      <c r="B230" t="s">
        <v>18</v>
      </c>
      <c r="C230" t="s">
        <v>92</v>
      </c>
      <c r="D230">
        <v>77</v>
      </c>
      <c r="E230">
        <v>83</v>
      </c>
      <c r="F230">
        <v>6</v>
      </c>
      <c r="G230">
        <v>4</v>
      </c>
      <c r="H230" s="1">
        <v>7.4421296296296293E-3</v>
      </c>
      <c r="I230">
        <v>2019</v>
      </c>
      <c r="J230" t="s">
        <v>83</v>
      </c>
      <c r="K230" s="2" t="str">
        <f>HYPERLINK("https://www.nba.com/stats/events?CFID=&amp;CFPARAMS=&amp;GameEventID=554&amp;GameID=0021900576&amp;Season=2019-20&amp;flag=1&amp;title=Leonard%20dunk%20(28%20PTS)", "Dunk (28 PTS)")</f>
        <v>Dunk (28 PTS)</v>
      </c>
      <c r="L230" s="2" t="str">
        <f>HYPERLINK("https://www.nba.com/game/...-vs-...-0021900576/play-by-play?watchFullGame=true", "LAC vs GSW - Q4 10:43.00")</f>
        <v>LAC vs GSW - Q4 10:43.00</v>
      </c>
      <c r="M230">
        <v>1.55</v>
      </c>
      <c r="N230">
        <v>6.62</v>
      </c>
      <c r="O230">
        <v>49.44</v>
      </c>
      <c r="P230">
        <v>3</v>
      </c>
      <c r="Q230">
        <v>10</v>
      </c>
      <c r="R230">
        <v>6</v>
      </c>
      <c r="S230">
        <v>49</v>
      </c>
    </row>
    <row r="231" spans="1:19" hidden="1" x14ac:dyDescent="0.25">
      <c r="A231">
        <v>21901291</v>
      </c>
      <c r="B231" t="s">
        <v>18</v>
      </c>
      <c r="C231" t="s">
        <v>92</v>
      </c>
      <c r="D231">
        <v>118</v>
      </c>
      <c r="E231">
        <v>127</v>
      </c>
      <c r="F231">
        <v>9</v>
      </c>
      <c r="G231">
        <v>4</v>
      </c>
      <c r="H231" s="1">
        <v>2.465277777777778E-4</v>
      </c>
      <c r="I231">
        <v>2019</v>
      </c>
      <c r="J231" t="s">
        <v>83</v>
      </c>
      <c r="K231" s="2" t="str">
        <f>HYPERLINK("https://www.nba.com/stats/events?CFID=&amp;CFPARAMS=&amp;GameEventID=667&amp;GameID=0021901291&amp;Season=2019-20&amp;flag=1&amp;title=Leonard%20dunk%20(39%20PTS)", "Dunk (39 PTS)")</f>
        <v>Dunk (39 PTS)</v>
      </c>
      <c r="L231" s="2" t="str">
        <f>HYPERLINK("https://www.nba.com/game/...-vs-...-0021901291/play-by-play?watchFullGame=true", "LAC vs BKN - Q4 00:21.30")</f>
        <v>LAC vs BKN - Q4 00:21.30</v>
      </c>
      <c r="M231">
        <v>1.23</v>
      </c>
      <c r="N231">
        <v>6.26</v>
      </c>
      <c r="O231">
        <v>49.33</v>
      </c>
      <c r="P231">
        <v>3</v>
      </c>
      <c r="Q231">
        <v>6</v>
      </c>
      <c r="R231">
        <v>6</v>
      </c>
      <c r="S231">
        <v>49</v>
      </c>
    </row>
    <row r="232" spans="1:19" hidden="1" x14ac:dyDescent="0.25">
      <c r="A232">
        <v>22000660</v>
      </c>
      <c r="B232" t="s">
        <v>18</v>
      </c>
      <c r="C232" t="s">
        <v>88</v>
      </c>
      <c r="D232">
        <v>5</v>
      </c>
      <c r="E232">
        <v>2</v>
      </c>
      <c r="F232">
        <v>3</v>
      </c>
      <c r="G232">
        <v>1</v>
      </c>
      <c r="H232" s="1">
        <v>7.5810185185185182E-3</v>
      </c>
      <c r="I232">
        <v>2020</v>
      </c>
      <c r="J232" t="s">
        <v>83</v>
      </c>
      <c r="K232" s="2" t="str">
        <f>HYPERLINK("https://www.nba.com/stats/events?CFID=&amp;CFPARAMS=&amp;GameEventID=14&amp;GameID=0022000660&amp;Season=2020-21&amp;flag=1&amp;title=Leonard%20alley-oop%20DUNK%20(2%20PTS)%20(M.%20Morris%20Sr.%201%20AST)", "Alley-oop DUNK (2 PTS) (M. Morris Sr. 1 AST)")</f>
        <v>Alley-oop DUNK (2 PTS) (M. Morris Sr. 1 AST)</v>
      </c>
      <c r="L232" s="2" t="str">
        <f>HYPERLINK("https://www.nba.com/game/...-vs-...-0022000660/play-by-play?watchFullGame=true", "LAC vs ATL - Q1 10:55.00")</f>
        <v>LAC vs ATL - Q1 10:55.00</v>
      </c>
      <c r="M232">
        <v>0.66</v>
      </c>
      <c r="N232">
        <v>6.23</v>
      </c>
      <c r="O232">
        <v>49.44</v>
      </c>
      <c r="P232">
        <v>3</v>
      </c>
      <c r="Q232">
        <v>6</v>
      </c>
      <c r="R232">
        <v>6</v>
      </c>
      <c r="S232">
        <v>49</v>
      </c>
    </row>
    <row r="233" spans="1:19" hidden="1" x14ac:dyDescent="0.25">
      <c r="A233">
        <v>22300807</v>
      </c>
      <c r="B233" t="s">
        <v>18</v>
      </c>
      <c r="C233" t="s">
        <v>88</v>
      </c>
      <c r="D233">
        <v>14</v>
      </c>
      <c r="E233">
        <v>11</v>
      </c>
      <c r="F233">
        <v>3</v>
      </c>
      <c r="G233">
        <v>1</v>
      </c>
      <c r="H233" s="1">
        <v>6.0185185185185185E-3</v>
      </c>
      <c r="I233">
        <v>2023</v>
      </c>
      <c r="J233" t="s">
        <v>83</v>
      </c>
      <c r="K233" s="2" t="str">
        <f>HYPERLINK("https://www.nba.com/stats/events?CFID=&amp;CFPARAMS=&amp;GameEventID=39&amp;GameID=0022300807&amp;Season=2023-24&amp;flag=1&amp;title=Leonard%20running%20DUNK%20(2%20PTS)%20(P.%20George%201%20AST)", "Running DUNK (2 PTS) (P. George 1 AST)")</f>
        <v>Running DUNK (2 PTS) (P. George 1 AST)</v>
      </c>
      <c r="L233" s="2" t="str">
        <f>HYPERLINK("https://www.nba.com/game/...-vs-...-0022300807/play-by-play?watchFullGame=true", "LAC vs MEM - Q1 08:40.00")</f>
        <v>LAC vs MEM - Q1 08:40.00</v>
      </c>
      <c r="M233">
        <v>0.85</v>
      </c>
      <c r="N233">
        <v>6.39</v>
      </c>
      <c r="O233">
        <v>49.26</v>
      </c>
      <c r="P233">
        <v>4</v>
      </c>
      <c r="Q233">
        <v>8</v>
      </c>
      <c r="R233">
        <v>6</v>
      </c>
      <c r="S233">
        <v>49</v>
      </c>
    </row>
    <row r="234" spans="1:19" hidden="1" x14ac:dyDescent="0.25">
      <c r="A234">
        <v>22300235</v>
      </c>
      <c r="B234" t="s">
        <v>18</v>
      </c>
      <c r="C234" t="s">
        <v>88</v>
      </c>
      <c r="D234">
        <v>56</v>
      </c>
      <c r="E234">
        <v>50</v>
      </c>
      <c r="F234">
        <v>6</v>
      </c>
      <c r="G234">
        <v>3</v>
      </c>
      <c r="H234" s="1">
        <v>7.6620370370370366E-3</v>
      </c>
      <c r="I234">
        <v>2023</v>
      </c>
      <c r="J234" t="s">
        <v>83</v>
      </c>
      <c r="K234" s="2" t="str">
        <f>HYPERLINK("https://www.nba.com/stats/events?CFID=&amp;CFPARAMS=&amp;GameEventID=369&amp;GameID=0022300235&amp;Season=2023-24&amp;flag=1&amp;title=Leonard%20driving%20DUNK%20(11%20PTS)%20(J.%20Harden%203%20AST)", "Driving DUNK (11 PTS) (J. Harden 3 AST)")</f>
        <v>Driving DUNK (11 PTS) (J. Harden 3 AST)</v>
      </c>
      <c r="L234" s="2" t="str">
        <f>HYPERLINK("https://www.nba.com/game/...-vs-...-0022300235/play-by-play?watchFullGame=true", "LAC vs SAS - Q3 11:02.00")</f>
        <v>LAC vs SAS - Q3 11:02.00</v>
      </c>
      <c r="M234">
        <v>0.85</v>
      </c>
      <c r="N234">
        <v>6.39</v>
      </c>
      <c r="O234">
        <v>49.26</v>
      </c>
      <c r="P234">
        <v>4</v>
      </c>
      <c r="Q234">
        <v>8</v>
      </c>
      <c r="R234">
        <v>6</v>
      </c>
      <c r="S234">
        <v>49</v>
      </c>
    </row>
    <row r="235" spans="1:19" hidden="1" x14ac:dyDescent="0.25">
      <c r="A235">
        <v>22300511</v>
      </c>
      <c r="B235" t="s">
        <v>18</v>
      </c>
      <c r="C235" t="s">
        <v>88</v>
      </c>
      <c r="D235">
        <v>79</v>
      </c>
      <c r="E235">
        <v>68</v>
      </c>
      <c r="F235">
        <v>11</v>
      </c>
      <c r="G235">
        <v>3</v>
      </c>
      <c r="H235" s="1">
        <v>6.5509259259259262E-3</v>
      </c>
      <c r="I235">
        <v>2023</v>
      </c>
      <c r="J235" t="s">
        <v>83</v>
      </c>
      <c r="K235" s="2" t="str">
        <f>HYPERLINK("https://www.nba.com/stats/events?CFID=&amp;CFPARAMS=&amp;GameEventID=328&amp;GameID=0022300511&amp;Season=2023-24&amp;flag=1&amp;title=Leonard%20running%20DUNK%20(13%20PTS)", "Running DUNK (13 PTS)")</f>
        <v>Running DUNK (13 PTS)</v>
      </c>
      <c r="L235" s="2" t="str">
        <f>HYPERLINK("https://www.nba.com/game/...-vs-...-0022300511/play-by-play?watchFullGame=true", "LAC vs PHX - Q3 09:26.00")</f>
        <v>LAC vs PHX - Q3 09:26.00</v>
      </c>
      <c r="M235">
        <v>0.61</v>
      </c>
      <c r="N235">
        <v>6.09</v>
      </c>
      <c r="O235">
        <v>49.26</v>
      </c>
      <c r="P235">
        <v>4</v>
      </c>
      <c r="Q235">
        <v>5</v>
      </c>
      <c r="R235">
        <v>6</v>
      </c>
      <c r="S235">
        <v>49</v>
      </c>
    </row>
    <row r="236" spans="1:19" hidden="1" x14ac:dyDescent="0.25">
      <c r="A236">
        <v>22000701</v>
      </c>
      <c r="B236" t="s">
        <v>18</v>
      </c>
      <c r="C236" t="s">
        <v>88</v>
      </c>
      <c r="D236">
        <v>20</v>
      </c>
      <c r="E236">
        <v>23</v>
      </c>
      <c r="F236">
        <v>3</v>
      </c>
      <c r="G236">
        <v>1</v>
      </c>
      <c r="H236" s="1">
        <v>1.8634259259259259E-3</v>
      </c>
      <c r="I236">
        <v>2020</v>
      </c>
      <c r="J236" t="s">
        <v>83</v>
      </c>
      <c r="K236" s="2" t="str">
        <f>HYPERLINK("https://www.nba.com/stats/events?CFID=&amp;CFPARAMS=&amp;GameEventID=115&amp;GameID=0022000701&amp;Season=2020-21&amp;flag=1&amp;title=Leonard%20running%20DUNK%20(6%20PTS)", "Running DUNK (6 PTS)")</f>
        <v>Running DUNK (6 PTS)</v>
      </c>
      <c r="L236" s="2" t="str">
        <f>HYPERLINK("https://www.nba.com/game/...-vs-...-0022000701/play-by-play?watchFullGame=true", "LAC vs PHI - Q1 02:41.00")</f>
        <v>LAC vs PHI - Q1 02:41.00</v>
      </c>
      <c r="M236">
        <v>1.22</v>
      </c>
      <c r="N236">
        <v>6.75</v>
      </c>
      <c r="O236">
        <v>48.95</v>
      </c>
      <c r="P236">
        <v>5</v>
      </c>
      <c r="Q236">
        <v>11</v>
      </c>
      <c r="R236">
        <v>6</v>
      </c>
      <c r="S236">
        <v>48</v>
      </c>
    </row>
    <row r="237" spans="1:19" hidden="1" x14ac:dyDescent="0.25">
      <c r="A237">
        <v>22301052</v>
      </c>
      <c r="B237" t="s">
        <v>18</v>
      </c>
      <c r="C237" t="s">
        <v>88</v>
      </c>
      <c r="D237">
        <v>67</v>
      </c>
      <c r="E237">
        <v>66</v>
      </c>
      <c r="F237">
        <v>1</v>
      </c>
      <c r="G237">
        <v>3</v>
      </c>
      <c r="H237" s="1">
        <v>2.3958333333333331E-3</v>
      </c>
      <c r="I237">
        <v>2023</v>
      </c>
      <c r="J237" t="s">
        <v>83</v>
      </c>
      <c r="K237" s="2" t="str">
        <f>HYPERLINK("https://www.nba.com/stats/events?CFID=&amp;CFPARAMS=&amp;GameEventID=432&amp;GameID=0022301052&amp;Season=2023-24&amp;flag=1&amp;title=Leonard%20running%20DUNK%20(7%20PTS)", "Running DUNK (7 PTS)")</f>
        <v>Running DUNK (7 PTS)</v>
      </c>
      <c r="L237" s="2" t="str">
        <f>HYPERLINK("https://www.nba.com/game/...-vs-...-0022301052/play-by-play?watchFullGame=true", "LAC vs PHI - Q3 03:27.00")</f>
        <v>LAC vs PHI - Q3 03:27.00</v>
      </c>
      <c r="M237">
        <v>1.2</v>
      </c>
      <c r="N237">
        <v>6.75</v>
      </c>
      <c r="O237">
        <v>49.02</v>
      </c>
      <c r="P237">
        <v>5</v>
      </c>
      <c r="Q237">
        <v>11</v>
      </c>
      <c r="R237">
        <v>6</v>
      </c>
      <c r="S237">
        <v>49</v>
      </c>
    </row>
    <row r="238" spans="1:19" hidden="1" x14ac:dyDescent="0.25">
      <c r="A238">
        <v>21900251</v>
      </c>
      <c r="B238" t="s">
        <v>18</v>
      </c>
      <c r="C238" t="s">
        <v>92</v>
      </c>
      <c r="D238">
        <v>44</v>
      </c>
      <c r="E238">
        <v>30</v>
      </c>
      <c r="F238">
        <v>14</v>
      </c>
      <c r="G238">
        <v>2</v>
      </c>
      <c r="H238" s="1">
        <v>6.3194444444444444E-3</v>
      </c>
      <c r="I238">
        <v>2019</v>
      </c>
      <c r="J238" t="s">
        <v>83</v>
      </c>
      <c r="K238" s="2" t="str">
        <f>HYPERLINK("https://www.nba.com/stats/events?CFID=&amp;CFPARAMS=&amp;GameEventID=215&amp;GameID=0021900251&amp;Season=2019-20&amp;flag=1&amp;title=Leonard%20dunk%20(6%20PTS)%20(J.%20Green%201%20AST)", "Dunk (6 PTS) (J. Green 1 AST)")</f>
        <v>Dunk (6 PTS) (J. Green 1 AST)</v>
      </c>
      <c r="L238" s="2" t="str">
        <f>HYPERLINK("https://www.nba.com/game/...-vs-...-0021900251/play-by-play?watchFullGame=true", "LAC vs DAL - Q2 09:06.00")</f>
        <v>LAC vs DAL - Q2 09:06.00</v>
      </c>
      <c r="M238">
        <v>1.1599999999999999</v>
      </c>
      <c r="N238">
        <v>6.13</v>
      </c>
      <c r="O238">
        <v>49.09</v>
      </c>
      <c r="P238">
        <v>5</v>
      </c>
      <c r="Q238">
        <v>5</v>
      </c>
      <c r="R238">
        <v>6</v>
      </c>
      <c r="S238">
        <v>49</v>
      </c>
    </row>
    <row r="239" spans="1:19" hidden="1" x14ac:dyDescent="0.25">
      <c r="A239">
        <v>22000701</v>
      </c>
      <c r="B239" t="s">
        <v>18</v>
      </c>
      <c r="C239" t="s">
        <v>88</v>
      </c>
      <c r="D239">
        <v>11</v>
      </c>
      <c r="E239">
        <v>19</v>
      </c>
      <c r="F239">
        <v>8</v>
      </c>
      <c r="G239">
        <v>1</v>
      </c>
      <c r="H239" s="1">
        <v>3.6574074074074074E-3</v>
      </c>
      <c r="I239">
        <v>2020</v>
      </c>
      <c r="J239" t="s">
        <v>83</v>
      </c>
      <c r="K239" s="2" t="str">
        <f>HYPERLINK("https://www.nba.com/stats/events?CFID=&amp;CFPARAMS=&amp;GameEventID=87&amp;GameID=0022000701&amp;Season=2020-21&amp;flag=1&amp;title=Leonard%20driving%20DUNK%20(4%20PTS)%20(P.%20Patterson%201%20AST)", "Driving DUNK (4 PTS) (P. Patterson 1 AST)")</f>
        <v>Driving DUNK (4 PTS) (P. Patterson 1 AST)</v>
      </c>
      <c r="L239" s="2" t="str">
        <f>HYPERLINK("https://www.nba.com/game/...-vs-...-0022000701/play-by-play?watchFullGame=true", "LAC vs PHI - Q1 05:16.00")</f>
        <v>LAC vs PHI - Q1 05:16.00</v>
      </c>
      <c r="M239">
        <v>1</v>
      </c>
      <c r="N239">
        <v>6.49</v>
      </c>
      <c r="O239">
        <v>48.95</v>
      </c>
      <c r="P239">
        <v>5</v>
      </c>
      <c r="Q239">
        <v>8</v>
      </c>
      <c r="R239">
        <v>6</v>
      </c>
      <c r="S239">
        <v>48</v>
      </c>
    </row>
    <row r="240" spans="1:19" hidden="1" x14ac:dyDescent="0.25">
      <c r="A240">
        <v>22200687</v>
      </c>
      <c r="B240" t="s">
        <v>18</v>
      </c>
      <c r="C240" t="s">
        <v>88</v>
      </c>
      <c r="D240">
        <v>131</v>
      </c>
      <c r="E240">
        <v>120</v>
      </c>
      <c r="F240">
        <v>11</v>
      </c>
      <c r="G240">
        <v>4</v>
      </c>
      <c r="H240" s="1">
        <v>5.5324074074074075E-4</v>
      </c>
      <c r="I240">
        <v>2022</v>
      </c>
      <c r="J240" t="s">
        <v>83</v>
      </c>
      <c r="K240" s="2" t="str">
        <f>HYPERLINK("https://www.nba.com/stats/events?CFID=&amp;CFPARAMS=&amp;GameEventID=542&amp;GameID=0022200687&amp;Season=2022-23&amp;flag=1&amp;title=Leonard%20driving%20DUNK%20(36%20PTS)", "Driving DUNK (36 PTS)")</f>
        <v>Driving DUNK (36 PTS)</v>
      </c>
      <c r="L240" s="2" t="str">
        <f>HYPERLINK("https://www.nba.com/game/...-vs-...-0022200687/play-by-play?watchFullGame=true", "LAC vs SAS - Q4 00:47.80")</f>
        <v>LAC vs SAS - Q4 00:47.80</v>
      </c>
      <c r="M240">
        <v>0.9</v>
      </c>
      <c r="N240">
        <v>6.39</v>
      </c>
      <c r="O240">
        <v>49.02</v>
      </c>
      <c r="P240">
        <v>5</v>
      </c>
      <c r="Q240">
        <v>8</v>
      </c>
      <c r="R240">
        <v>6</v>
      </c>
      <c r="S240">
        <v>49</v>
      </c>
    </row>
    <row r="241" spans="1:19" hidden="1" x14ac:dyDescent="0.25">
      <c r="A241">
        <v>21901291</v>
      </c>
      <c r="B241" t="s">
        <v>18</v>
      </c>
      <c r="C241" t="s">
        <v>92</v>
      </c>
      <c r="D241">
        <v>107</v>
      </c>
      <c r="E241">
        <v>116</v>
      </c>
      <c r="F241">
        <v>9</v>
      </c>
      <c r="G241">
        <v>4</v>
      </c>
      <c r="H241" s="1">
        <v>2.7199074074074074E-3</v>
      </c>
      <c r="I241">
        <v>2019</v>
      </c>
      <c r="J241" t="s">
        <v>83</v>
      </c>
      <c r="K241" s="2" t="str">
        <f>HYPERLINK("https://www.nba.com/stats/events?CFID=&amp;CFPARAMS=&amp;GameEventID=624&amp;GameID=0021901291&amp;Season=2019-20&amp;flag=1&amp;title=Leonard%20dunk%20(32%20PTS)", "Dunk (32 PTS)")</f>
        <v>Dunk (32 PTS)</v>
      </c>
      <c r="L241" s="2" t="str">
        <f>HYPERLINK("https://www.nba.com/game/...-vs-...-0021901291/play-by-play?watchFullGame=true", "LAC vs BKN - Q4 03:55.00")</f>
        <v>LAC vs BKN - Q4 03:55.00</v>
      </c>
      <c r="M241">
        <v>1.65</v>
      </c>
      <c r="N241">
        <v>6.65</v>
      </c>
      <c r="O241">
        <v>48.84</v>
      </c>
      <c r="P241">
        <v>6</v>
      </c>
      <c r="Q241">
        <v>10</v>
      </c>
      <c r="R241">
        <v>6</v>
      </c>
      <c r="S241">
        <v>48</v>
      </c>
    </row>
    <row r="242" spans="1:19" hidden="1" x14ac:dyDescent="0.25">
      <c r="A242">
        <v>42300173</v>
      </c>
      <c r="B242" t="s">
        <v>18</v>
      </c>
      <c r="C242" t="s">
        <v>88</v>
      </c>
      <c r="D242">
        <v>47</v>
      </c>
      <c r="E242">
        <v>63</v>
      </c>
      <c r="F242">
        <v>16</v>
      </c>
      <c r="G242">
        <v>3</v>
      </c>
      <c r="H242" s="1">
        <v>5.3587962962962964E-3</v>
      </c>
      <c r="I242" t="s">
        <v>93</v>
      </c>
      <c r="J242" t="s">
        <v>83</v>
      </c>
      <c r="K242" s="2" t="str">
        <f>HYPERLINK("https://www.nba.com/stats/events?CFID=&amp;CFPARAMS=&amp;GameEventID=381&amp;GameID=0042300173&amp;Season=2023-24&amp;flag=1&amp;title=Leonard%20driving%20DUNK%20(5%20PTS)%20(I.%20Zubac%201%20AST)", "Driving DUNK (5 PTS) (I. Zubac 1 AST)")</f>
        <v>Driving DUNK (5 PTS) (I. Zubac 1 AST)</v>
      </c>
      <c r="L242" s="2" t="str">
        <f>HYPERLINK("https://www.nba.com/game/...-vs-...-0042300173/play-by-play?watchFullGame=true", "LAC vs DAL - Q3 07:43.00")</f>
        <v>LAC vs DAL - Q3 07:43.00</v>
      </c>
      <c r="M242">
        <v>1.58</v>
      </c>
      <c r="N242">
        <v>6.78</v>
      </c>
      <c r="O242">
        <v>47.79</v>
      </c>
      <c r="P242">
        <v>6</v>
      </c>
      <c r="Q242">
        <v>47</v>
      </c>
      <c r="R242">
        <v>6</v>
      </c>
      <c r="S242">
        <v>47</v>
      </c>
    </row>
    <row r="243" spans="1:19" hidden="1" x14ac:dyDescent="0.25">
      <c r="A243">
        <v>21900436</v>
      </c>
      <c r="B243" t="s">
        <v>18</v>
      </c>
      <c r="C243" t="s">
        <v>92</v>
      </c>
      <c r="D243">
        <v>60</v>
      </c>
      <c r="E243">
        <v>49</v>
      </c>
      <c r="F243">
        <v>11</v>
      </c>
      <c r="G243">
        <v>2</v>
      </c>
      <c r="H243" s="1">
        <v>3.0439814814814813E-3</v>
      </c>
      <c r="I243">
        <v>2019</v>
      </c>
      <c r="J243" t="s">
        <v>83</v>
      </c>
      <c r="K243" s="2" t="str">
        <f>HYPERLINK("https://www.nba.com/stats/events?CFID=&amp;CFPARAMS=&amp;GameEventID=258&amp;GameID=0021900436&amp;Season=2019-20&amp;flag=1&amp;title=Leonard%20dunk%20(14%20PTS)", "Dunk (14 PTS)")</f>
        <v>Dunk (14 PTS)</v>
      </c>
      <c r="L243" s="2" t="str">
        <f>HYPERLINK("https://www.nba.com/game/...-vs-...-0021900436/play-by-play?watchFullGame=true", "LAC vs SAS - Q2 04:23.00")</f>
        <v>LAC vs SAS - Q2 04:23.00</v>
      </c>
      <c r="M243">
        <v>1.43</v>
      </c>
      <c r="N243">
        <v>6.52</v>
      </c>
      <c r="O243">
        <v>50.07</v>
      </c>
      <c r="P243">
        <v>6</v>
      </c>
      <c r="Q243">
        <v>9</v>
      </c>
      <c r="R243">
        <v>6</v>
      </c>
      <c r="S243">
        <v>50</v>
      </c>
    </row>
    <row r="244" spans="1:19" hidden="1" x14ac:dyDescent="0.25">
      <c r="A244">
        <v>42000177</v>
      </c>
      <c r="B244" t="s">
        <v>18</v>
      </c>
      <c r="C244" t="s">
        <v>88</v>
      </c>
      <c r="D244">
        <v>83</v>
      </c>
      <c r="E244">
        <v>81</v>
      </c>
      <c r="F244">
        <v>2</v>
      </c>
      <c r="G244">
        <v>3</v>
      </c>
      <c r="H244" s="1">
        <v>3.9699074074074072E-3</v>
      </c>
      <c r="I244" t="s">
        <v>91</v>
      </c>
      <c r="J244" t="s">
        <v>83</v>
      </c>
      <c r="K244" s="2" t="str">
        <f>HYPERLINK("https://www.nba.com/stats/events?CFID=&amp;CFPARAMS=&amp;GameEventID=402&amp;GameID=0042000177&amp;Season=2020-21&amp;flag=1&amp;title=Leonard%20driving%20DUNK%20(17%20PTS)%20(P.%20George%209%20AST)", "Driving DUNK (17 PTS) (P. George 9 AST)")</f>
        <v>Driving DUNK (17 PTS) (P. George 9 AST)</v>
      </c>
      <c r="L244" s="2" t="str">
        <f>HYPERLINK("https://www.nba.com/game/...-vs-...-0042000177/play-by-play?watchFullGame=true", "LAC vs DAL - Q3 05:43.00")</f>
        <v>LAC vs DAL - Q3 05:43.00</v>
      </c>
      <c r="M244">
        <v>1.41</v>
      </c>
      <c r="N244">
        <v>6.92</v>
      </c>
      <c r="O244">
        <v>51.29</v>
      </c>
      <c r="P244">
        <v>6</v>
      </c>
      <c r="Q244">
        <v>51</v>
      </c>
      <c r="R244">
        <v>6</v>
      </c>
      <c r="S244">
        <v>51</v>
      </c>
    </row>
    <row r="245" spans="1:19" hidden="1" x14ac:dyDescent="0.25">
      <c r="A245">
        <v>42000171</v>
      </c>
      <c r="B245" t="s">
        <v>18</v>
      </c>
      <c r="C245" t="s">
        <v>88</v>
      </c>
      <c r="D245">
        <v>67</v>
      </c>
      <c r="E245">
        <v>71</v>
      </c>
      <c r="F245">
        <v>4</v>
      </c>
      <c r="G245">
        <v>3</v>
      </c>
      <c r="H245" s="1">
        <v>4.1087962962962962E-3</v>
      </c>
      <c r="I245" t="s">
        <v>91</v>
      </c>
      <c r="J245" t="s">
        <v>83</v>
      </c>
      <c r="K245" s="2" t="str">
        <f>HYPERLINK("https://www.nba.com/stats/events?CFID=&amp;CFPARAMS=&amp;GameEventID=376&amp;GameID=0042000171&amp;Season=2020-21&amp;flag=1&amp;title=Leonard%20driving%20DUNK%20(19%20PTS)", "Driving DUNK (19 PTS)")</f>
        <v>Driving DUNK (19 PTS)</v>
      </c>
      <c r="L245" s="2" t="str">
        <f>HYPERLINK("https://www.nba.com/game/...-vs-...-0042000171/play-by-play?watchFullGame=true", "LAC vs DAL - Q3 05:55.00")</f>
        <v>LAC vs DAL - Q3 05:55.00</v>
      </c>
      <c r="M245">
        <v>1.26</v>
      </c>
      <c r="N245">
        <v>6.65</v>
      </c>
      <c r="O245">
        <v>51.54</v>
      </c>
      <c r="P245">
        <v>6</v>
      </c>
      <c r="Q245">
        <v>51</v>
      </c>
      <c r="R245">
        <v>6</v>
      </c>
      <c r="S245">
        <v>51</v>
      </c>
    </row>
    <row r="246" spans="1:19" hidden="1" x14ac:dyDescent="0.25">
      <c r="A246">
        <v>42300172</v>
      </c>
      <c r="B246" t="s">
        <v>18</v>
      </c>
      <c r="C246" t="s">
        <v>88</v>
      </c>
      <c r="D246">
        <v>43</v>
      </c>
      <c r="E246">
        <v>45</v>
      </c>
      <c r="F246">
        <v>2</v>
      </c>
      <c r="G246">
        <v>3</v>
      </c>
      <c r="H246" s="1">
        <v>8.0787037037037043E-3</v>
      </c>
      <c r="I246" t="s">
        <v>93</v>
      </c>
      <c r="J246" t="s">
        <v>83</v>
      </c>
      <c r="K246" s="2" t="str">
        <f>HYPERLINK("https://www.nba.com/stats/events?CFID=&amp;CFPARAMS=&amp;GameEventID=352&amp;GameID=0042300172&amp;Season=2023-24&amp;flag=1&amp;title=Leonard%20running%20DUNK%20(6%20PTS)", "Running DUNK (6 PTS)")</f>
        <v>Running DUNK (6 PTS)</v>
      </c>
      <c r="L246" s="2" t="str">
        <f>HYPERLINK("https://www.nba.com/game/...-vs-...-0042300172/play-by-play?watchFullGame=true", "LAC vs DAL - Q3 11:38.00")</f>
        <v>LAC vs DAL - Q3 11:38.00</v>
      </c>
      <c r="M246">
        <v>1.23</v>
      </c>
      <c r="N246">
        <v>6.88</v>
      </c>
      <c r="O246">
        <v>49.75</v>
      </c>
      <c r="P246">
        <v>6</v>
      </c>
      <c r="Q246">
        <v>49</v>
      </c>
      <c r="R246">
        <v>6</v>
      </c>
      <c r="S246">
        <v>49</v>
      </c>
    </row>
    <row r="247" spans="1:19" hidden="1" x14ac:dyDescent="0.25">
      <c r="A247">
        <v>42000173</v>
      </c>
      <c r="B247" t="s">
        <v>18</v>
      </c>
      <c r="C247" t="s">
        <v>88</v>
      </c>
      <c r="D247">
        <v>82</v>
      </c>
      <c r="E247">
        <v>77</v>
      </c>
      <c r="F247">
        <v>5</v>
      </c>
      <c r="G247">
        <v>3</v>
      </c>
      <c r="H247" s="1">
        <v>4.0856481481481481E-3</v>
      </c>
      <c r="I247" t="s">
        <v>91</v>
      </c>
      <c r="J247" t="s">
        <v>83</v>
      </c>
      <c r="K247" s="2" t="str">
        <f>HYPERLINK("https://www.nba.com/stats/events?CFID=&amp;CFPARAMS=&amp;GameEventID=353&amp;GameID=0042000173&amp;Season=2020-21&amp;flag=1&amp;title=Leonard%20cutting%20DUNK%20(24%20PTS)%20(R.%20Jackson%202%20AST)", "Cutting DUNK (24 PTS) (R. Jackson 2 AST)")</f>
        <v>Cutting DUNK (24 PTS) (R. Jackson 2 AST)</v>
      </c>
      <c r="L247" s="2" t="str">
        <f>HYPERLINK("https://www.nba.com/game/...-vs-...-0042000173/play-by-play?watchFullGame=true", "LAC vs DAL - Q3 05:53.00")</f>
        <v>LAC vs DAL - Q3 05:53.00</v>
      </c>
      <c r="M247">
        <v>0.82</v>
      </c>
      <c r="N247">
        <v>6.26</v>
      </c>
      <c r="O247">
        <v>51.05</v>
      </c>
      <c r="P247">
        <v>6</v>
      </c>
      <c r="Q247">
        <v>51</v>
      </c>
      <c r="R247">
        <v>6</v>
      </c>
      <c r="S247">
        <v>51</v>
      </c>
    </row>
    <row r="248" spans="1:19" hidden="1" x14ac:dyDescent="0.25">
      <c r="A248">
        <v>42000171</v>
      </c>
      <c r="B248" t="s">
        <v>18</v>
      </c>
      <c r="C248" t="s">
        <v>88</v>
      </c>
      <c r="D248">
        <v>73</v>
      </c>
      <c r="E248">
        <v>75</v>
      </c>
      <c r="F248">
        <v>2</v>
      </c>
      <c r="G248">
        <v>3</v>
      </c>
      <c r="H248" s="1">
        <v>2.7662037037037039E-3</v>
      </c>
      <c r="I248" t="s">
        <v>91</v>
      </c>
      <c r="J248" t="s">
        <v>83</v>
      </c>
      <c r="K248" s="2" t="str">
        <f>HYPERLINK("https://www.nba.com/stats/events?CFID=&amp;CFPARAMS=&amp;GameEventID=396&amp;GameID=0042000171&amp;Season=2020-21&amp;flag=1&amp;title=Leonard%20running%20DUNK%20(21%20PTS)", "Running DUNK (21 PTS)")</f>
        <v>Running DUNK (21 PTS)</v>
      </c>
      <c r="L248" s="2" t="str">
        <f>HYPERLINK("https://www.nba.com/game/...-vs-...-0042000171/play-by-play?watchFullGame=true", "LAC vs DAL - Q3 03:59.00")</f>
        <v>LAC vs DAL - Q3 03:59.00</v>
      </c>
      <c r="M248">
        <v>0.53</v>
      </c>
      <c r="N248">
        <v>6.13</v>
      </c>
      <c r="O248">
        <v>50.31</v>
      </c>
      <c r="P248">
        <v>6</v>
      </c>
      <c r="Q248">
        <v>50</v>
      </c>
      <c r="R248">
        <v>6</v>
      </c>
      <c r="S248">
        <v>50</v>
      </c>
    </row>
    <row r="249" spans="1:19" hidden="1" x14ac:dyDescent="0.25">
      <c r="A249">
        <v>21900436</v>
      </c>
      <c r="B249" t="s">
        <v>18</v>
      </c>
      <c r="C249" t="s">
        <v>92</v>
      </c>
      <c r="D249">
        <v>23</v>
      </c>
      <c r="E249">
        <v>20</v>
      </c>
      <c r="F249">
        <v>3</v>
      </c>
      <c r="G249">
        <v>1</v>
      </c>
      <c r="H249" s="1">
        <v>3.0787037037037037E-3</v>
      </c>
      <c r="I249">
        <v>2019</v>
      </c>
      <c r="J249" t="s">
        <v>83</v>
      </c>
      <c r="K249" s="2" t="str">
        <f>HYPERLINK("https://www.nba.com/stats/events?CFID=&amp;CFPARAMS=&amp;GameEventID=91&amp;GameID=0021900436&amp;Season=2019-20&amp;flag=1&amp;title=Leonard%20dunk%20(9%20PTS)", "Dunk (9 PTS)")</f>
        <v>Dunk (9 PTS)</v>
      </c>
      <c r="L249" s="2" t="str">
        <f>HYPERLINK("https://www.nba.com/game/...-vs-...-0021900436/play-by-play?watchFullGame=true", "LAC vs SAS - Q1 04:26.00")</f>
        <v>LAC vs SAS - Q1 04:26.00</v>
      </c>
      <c r="M249">
        <v>1.37</v>
      </c>
      <c r="N249">
        <v>6.26</v>
      </c>
      <c r="O249">
        <v>48.6</v>
      </c>
      <c r="P249">
        <v>7</v>
      </c>
      <c r="Q249">
        <v>6</v>
      </c>
      <c r="R249">
        <v>6</v>
      </c>
      <c r="S249">
        <v>48</v>
      </c>
    </row>
    <row r="250" spans="1:19" hidden="1" x14ac:dyDescent="0.25">
      <c r="A250">
        <v>22300264</v>
      </c>
      <c r="B250" t="s">
        <v>18</v>
      </c>
      <c r="C250" t="s">
        <v>88</v>
      </c>
      <c r="D250">
        <v>47</v>
      </c>
      <c r="E250">
        <v>37</v>
      </c>
      <c r="F250">
        <v>10</v>
      </c>
      <c r="G250">
        <v>2</v>
      </c>
      <c r="H250" s="1">
        <v>5.3125000000000004E-3</v>
      </c>
      <c r="I250">
        <v>2023</v>
      </c>
      <c r="J250" t="s">
        <v>83</v>
      </c>
      <c r="K250" s="2" t="str">
        <f>HYPERLINK("https://www.nba.com/stats/events?CFID=&amp;CFPARAMS=&amp;GameEventID=256&amp;GameID=0022300264&amp;Season=2023-24&amp;flag=1&amp;title=Leonard%20cutting%20DUNK%20(6%20PTS)%20(R.%20Westbrook%204%20AST)", "Cutting DUNK (6 PTS) (R. Westbrook 4 AST)")</f>
        <v>Cutting DUNK (6 PTS) (R. Westbrook 4 AST)</v>
      </c>
      <c r="L250" s="2" t="str">
        <f>HYPERLINK("https://www.nba.com/game/...-vs-...-0022300264/play-by-play?watchFullGame=true", "LAC vs SAC - Q2 07:39.00")</f>
        <v>LAC vs SAC - Q2 07:39.00</v>
      </c>
      <c r="M250">
        <v>1.35</v>
      </c>
      <c r="N250">
        <v>6.78</v>
      </c>
      <c r="O250">
        <v>48.53</v>
      </c>
      <c r="P250">
        <v>7</v>
      </c>
      <c r="Q250">
        <v>11</v>
      </c>
      <c r="R250">
        <v>6</v>
      </c>
      <c r="S250">
        <v>48</v>
      </c>
    </row>
    <row r="251" spans="1:19" hidden="1" x14ac:dyDescent="0.25">
      <c r="A251">
        <v>21900653</v>
      </c>
      <c r="B251" t="s">
        <v>18</v>
      </c>
      <c r="C251" t="s">
        <v>92</v>
      </c>
      <c r="D251">
        <v>37</v>
      </c>
      <c r="E251">
        <v>39</v>
      </c>
      <c r="F251">
        <v>2</v>
      </c>
      <c r="G251">
        <v>2</v>
      </c>
      <c r="H251" s="1">
        <v>3.9351851851851848E-3</v>
      </c>
      <c r="I251">
        <v>2019</v>
      </c>
      <c r="J251" t="s">
        <v>83</v>
      </c>
      <c r="K251" s="2" t="str">
        <f>HYPERLINK("https://www.nba.com/stats/events?CFID=&amp;CFPARAMS=&amp;GameEventID=261&amp;GameID=0021900653&amp;Season=2019-20&amp;flag=1&amp;title=Leonard%20dunk%20(10%20PTS)%20(P.%20Beverley%203%20AST)", "Dunk (10 PTS) (P. Beverley 3 AST)")</f>
        <v>Dunk (10 PTS) (P. Beverley 3 AST)</v>
      </c>
      <c r="L251" s="2" t="str">
        <f>HYPERLINK("https://www.nba.com/game/...-vs-...-0021900653/play-by-play?watchFullGame=true", "LAC vs DAL - Q2 05:40.00")</f>
        <v>LAC vs DAL - Q2 05:40.00</v>
      </c>
      <c r="M251">
        <v>1.27</v>
      </c>
      <c r="N251">
        <v>6.13</v>
      </c>
      <c r="O251">
        <v>48.6</v>
      </c>
      <c r="P251">
        <v>7</v>
      </c>
      <c r="Q251">
        <v>5</v>
      </c>
      <c r="R251">
        <v>6</v>
      </c>
      <c r="S251">
        <v>48</v>
      </c>
    </row>
    <row r="252" spans="1:19" hidden="1" x14ac:dyDescent="0.25">
      <c r="A252">
        <v>22000675</v>
      </c>
      <c r="B252" t="s">
        <v>18</v>
      </c>
      <c r="C252" t="s">
        <v>88</v>
      </c>
      <c r="D252">
        <v>58</v>
      </c>
      <c r="E252">
        <v>48</v>
      </c>
      <c r="F252">
        <v>10</v>
      </c>
      <c r="G252">
        <v>2</v>
      </c>
      <c r="H252" s="1">
        <v>1.7708333333333332E-3</v>
      </c>
      <c r="I252">
        <v>2020</v>
      </c>
      <c r="J252" t="s">
        <v>83</v>
      </c>
      <c r="K252" s="2" t="str">
        <f>HYPERLINK("https://www.nba.com/stats/events?CFID=&amp;CFPARAMS=&amp;GameEventID=295&amp;GameID=0022000675&amp;Season=2020-21&amp;flag=1&amp;title=Leonard%20putback%20DUNK%20(14%20PTS)", "Putback DUNK (14 PTS)")</f>
        <v>Putback DUNK (14 PTS)</v>
      </c>
      <c r="L252" s="2" t="str">
        <f>HYPERLINK("https://www.nba.com/game/...-vs-...-0022000675/play-by-play?watchFullGame=true", "LAC vs SAS - Q2 02:33.00")</f>
        <v>LAC vs SAS - Q2 02:33.00</v>
      </c>
      <c r="M252">
        <v>1.22</v>
      </c>
      <c r="N252">
        <v>6.65</v>
      </c>
      <c r="O252">
        <v>48.6</v>
      </c>
      <c r="P252">
        <v>7</v>
      </c>
      <c r="Q252">
        <v>10</v>
      </c>
      <c r="R252">
        <v>6</v>
      </c>
      <c r="S252">
        <v>48</v>
      </c>
    </row>
    <row r="253" spans="1:19" hidden="1" x14ac:dyDescent="0.25">
      <c r="A253">
        <v>22300658</v>
      </c>
      <c r="B253" t="s">
        <v>18</v>
      </c>
      <c r="C253" t="s">
        <v>88</v>
      </c>
      <c r="D253">
        <v>99</v>
      </c>
      <c r="E253">
        <v>109</v>
      </c>
      <c r="F253">
        <v>10</v>
      </c>
      <c r="G253">
        <v>4</v>
      </c>
      <c r="H253" s="1">
        <v>3.7731481481481483E-3</v>
      </c>
      <c r="I253">
        <v>2023</v>
      </c>
      <c r="J253" t="s">
        <v>83</v>
      </c>
      <c r="K253" s="2" t="str">
        <f>HYPERLINK("https://www.nba.com/stats/events?CFID=&amp;CFPARAMS=&amp;GameEventID=588&amp;GameID=0022300658&amp;Season=2023-24&amp;flag=1&amp;title=Leonard%20driving%20DUNK%20(28%20PTS)", "Driving DUNK (28 PTS)")</f>
        <v>Driving DUNK (28 PTS)</v>
      </c>
      <c r="L253" s="2" t="str">
        <f>HYPERLINK("https://www.nba.com/game/...-vs-...-0022300658/play-by-play?watchFullGame=true", "LAC vs CLE - Q4 05:26.00")</f>
        <v>LAC vs CLE - Q4 05:26.00</v>
      </c>
      <c r="M253">
        <v>1.1499999999999999</v>
      </c>
      <c r="N253">
        <v>6.52</v>
      </c>
      <c r="O253">
        <v>48.53</v>
      </c>
      <c r="P253">
        <v>7</v>
      </c>
      <c r="Q253">
        <v>9</v>
      </c>
      <c r="R253">
        <v>6</v>
      </c>
      <c r="S253">
        <v>48</v>
      </c>
    </row>
    <row r="254" spans="1:19" hidden="1" x14ac:dyDescent="0.25">
      <c r="A254">
        <v>22300151</v>
      </c>
      <c r="B254" t="s">
        <v>18</v>
      </c>
      <c r="C254" t="s">
        <v>88</v>
      </c>
      <c r="D254">
        <v>48</v>
      </c>
      <c r="E254">
        <v>42</v>
      </c>
      <c r="F254">
        <v>6</v>
      </c>
      <c r="G254">
        <v>3</v>
      </c>
      <c r="H254" s="1">
        <v>8.2060185185185187E-3</v>
      </c>
      <c r="I254">
        <v>2023</v>
      </c>
      <c r="J254" t="s">
        <v>83</v>
      </c>
      <c r="K254" s="2" t="str">
        <f>HYPERLINK("https://www.nba.com/stats/events?CFID=&amp;CFPARAMS=&amp;GameEventID=291&amp;GameID=0022300151&amp;Season=2023-24&amp;flag=1&amp;title=Leonard%20driving%20DUNK%20(6%20PTS)%20(J.%20Harden%204%20AST)", "Driving DUNK (6 PTS) (J. Harden 4 AST)")</f>
        <v>Driving DUNK (6 PTS) (J. Harden 4 AST)</v>
      </c>
      <c r="L254" s="2" t="str">
        <f>HYPERLINK("https://www.nba.com/game/...-vs-...-0022300151/play-by-play?watchFullGame=true", "LAC vs NYK - Q3 11:49.00")</f>
        <v>LAC vs NYK - Q3 11:49.00</v>
      </c>
      <c r="M254">
        <v>1.06</v>
      </c>
      <c r="N254">
        <v>6.39</v>
      </c>
      <c r="O254">
        <v>48.53</v>
      </c>
      <c r="P254">
        <v>7</v>
      </c>
      <c r="Q254">
        <v>8</v>
      </c>
      <c r="R254">
        <v>6</v>
      </c>
      <c r="S254">
        <v>48</v>
      </c>
    </row>
    <row r="255" spans="1:19" hidden="1" x14ac:dyDescent="0.25">
      <c r="A255">
        <v>22301003</v>
      </c>
      <c r="B255" t="s">
        <v>18</v>
      </c>
      <c r="C255" t="s">
        <v>88</v>
      </c>
      <c r="D255">
        <v>81</v>
      </c>
      <c r="E255">
        <v>60</v>
      </c>
      <c r="F255">
        <v>21</v>
      </c>
      <c r="G255">
        <v>3</v>
      </c>
      <c r="H255" s="1">
        <v>3.2870370370370371E-3</v>
      </c>
      <c r="I255">
        <v>2023</v>
      </c>
      <c r="J255" t="s">
        <v>83</v>
      </c>
      <c r="K255" s="2" t="str">
        <f>HYPERLINK("https://www.nba.com/stats/events?CFID=&amp;CFPARAMS=&amp;GameEventID=358&amp;GameID=0022301003&amp;Season=2023-24&amp;flag=1&amp;title=Leonard%20running%20DUNK%20(20%20PTS)", "Running DUNK (20 PTS)")</f>
        <v>Running DUNK (20 PTS)</v>
      </c>
      <c r="L255" s="2" t="str">
        <f>HYPERLINK("https://www.nba.com/game/...-vs-...-0022301003/play-by-play?watchFullGame=true", "LAC vs POR - Q3 04:44.00")</f>
        <v>LAC vs POR - Q3 04:44.00</v>
      </c>
      <c r="M255">
        <v>0.9</v>
      </c>
      <c r="N255">
        <v>6.13</v>
      </c>
      <c r="O255">
        <v>48.53</v>
      </c>
      <c r="P255">
        <v>7</v>
      </c>
      <c r="Q255">
        <v>5</v>
      </c>
      <c r="R255">
        <v>6</v>
      </c>
      <c r="S255">
        <v>48</v>
      </c>
    </row>
    <row r="256" spans="1:19" hidden="1" x14ac:dyDescent="0.25">
      <c r="A256">
        <v>22201229</v>
      </c>
      <c r="B256" t="s">
        <v>18</v>
      </c>
      <c r="C256" t="s">
        <v>88</v>
      </c>
      <c r="D256">
        <v>102</v>
      </c>
      <c r="E256">
        <v>100</v>
      </c>
      <c r="F256">
        <v>2</v>
      </c>
      <c r="G256">
        <v>4</v>
      </c>
      <c r="H256" s="1">
        <v>4.6180555555555558E-3</v>
      </c>
      <c r="I256">
        <v>2022</v>
      </c>
      <c r="J256" t="s">
        <v>83</v>
      </c>
      <c r="K256" s="2" t="str">
        <f>HYPERLINK("https://www.nba.com/stats/events?CFID=&amp;CFPARAMS=&amp;GameEventID=582&amp;GameID=0022201229&amp;Season=2022-23&amp;flag=1&amp;title=Leonard%20running%20alley-oop%20DUNK%20(17%20PTS)%20(R.%20Westbrook%207%20AST)", "Running alley-oop DUNK (17 PTS) (R. Westbrook 7 AST)")</f>
        <v>Running alley-oop DUNK (17 PTS) (R. Westbrook 7 AST)</v>
      </c>
      <c r="L256" s="2" t="str">
        <f>HYPERLINK("https://www.nba.com/game/...-vs-...-0022201229/play-by-play?watchFullGame=true", "LAC vs PHX - Q4 06:39.00")</f>
        <v>LAC vs PHX - Q4 06:39.00</v>
      </c>
      <c r="M256">
        <v>1.07</v>
      </c>
      <c r="N256">
        <v>6.26</v>
      </c>
      <c r="O256">
        <v>48.28</v>
      </c>
      <c r="P256">
        <v>9</v>
      </c>
      <c r="Q256">
        <v>6</v>
      </c>
      <c r="R256">
        <v>6</v>
      </c>
      <c r="S256">
        <v>48</v>
      </c>
    </row>
    <row r="257" spans="1:19" hidden="1" x14ac:dyDescent="0.25">
      <c r="A257">
        <v>21900276</v>
      </c>
      <c r="B257" t="s">
        <v>18</v>
      </c>
      <c r="C257" t="s">
        <v>92</v>
      </c>
      <c r="D257">
        <v>13</v>
      </c>
      <c r="E257">
        <v>7</v>
      </c>
      <c r="F257">
        <v>6</v>
      </c>
      <c r="G257">
        <v>1</v>
      </c>
      <c r="H257" s="1">
        <v>4.4560185185185189E-3</v>
      </c>
      <c r="I257">
        <v>2019</v>
      </c>
      <c r="J257" t="s">
        <v>83</v>
      </c>
      <c r="K257" s="2" t="str">
        <f>HYPERLINK("https://www.nba.com/stats/events?CFID=&amp;CFPARAMS=&amp;GameEventID=61&amp;GameID=0021900276&amp;Season=2019-20&amp;flag=1&amp;title=Leonard%20dunk%20(2%20PTS)", "Dunk (2 PTS)")</f>
        <v>Dunk (2 PTS)</v>
      </c>
      <c r="L257" s="2" t="str">
        <f>HYPERLINK("https://www.nba.com/game/...-vs-...-0021900276/play-by-play?watchFullGame=true", "LAC vs SAS - Q1 06:25.00")</f>
        <v>LAC vs SAS - Q1 06:25.00</v>
      </c>
      <c r="M257">
        <v>1.99</v>
      </c>
      <c r="N257">
        <v>6.78</v>
      </c>
      <c r="O257">
        <v>47.86</v>
      </c>
      <c r="P257">
        <v>11</v>
      </c>
      <c r="Q257">
        <v>11</v>
      </c>
      <c r="R257">
        <v>6</v>
      </c>
      <c r="S257">
        <v>47</v>
      </c>
    </row>
    <row r="258" spans="1:19" hidden="1" x14ac:dyDescent="0.25">
      <c r="A258">
        <v>22400679</v>
      </c>
      <c r="B258" t="s">
        <v>18</v>
      </c>
      <c r="C258" t="s">
        <v>88</v>
      </c>
      <c r="D258">
        <v>66</v>
      </c>
      <c r="E258">
        <v>56</v>
      </c>
      <c r="F258">
        <v>10</v>
      </c>
      <c r="G258">
        <v>3</v>
      </c>
      <c r="H258" s="1">
        <v>6.2268518518518515E-3</v>
      </c>
      <c r="I258">
        <v>2024</v>
      </c>
      <c r="J258" t="s">
        <v>83</v>
      </c>
      <c r="K258" s="2" t="str">
        <f>HYPERLINK("https://www.nba.com/stats/events?CFID=&amp;CFPARAMS=&amp;GameEventID=348&amp;GameID=0022400679&amp;Season=2024-25&amp;flag=1&amp;title=Leonard%20running%20alley-oop%20DUNK%20(13%20PTS)%20(N.%20Powell%203%20AST)", "Running alley-oop DUNK (13 PTS) (N. Powell 3 AST)")</f>
        <v>Running alley-oop DUNK (13 PTS) (N. Powell 3 AST)</v>
      </c>
      <c r="L258" s="2" t="str">
        <f>HYPERLINK("https://www.nba.com/game/...-vs-...-0022400679/play-by-play?watchFullGame=true", "LAC vs CHA - Q3 08:58.00")</f>
        <v>LAC vs CHA - Q3 08:58.00</v>
      </c>
      <c r="M258">
        <v>1.58</v>
      </c>
      <c r="N258">
        <v>6.78</v>
      </c>
      <c r="O258">
        <v>47.79</v>
      </c>
      <c r="P258">
        <v>11</v>
      </c>
      <c r="Q258">
        <v>11</v>
      </c>
      <c r="R258">
        <v>6</v>
      </c>
      <c r="S258">
        <v>47</v>
      </c>
    </row>
    <row r="259" spans="1:19" hidden="1" x14ac:dyDescent="0.25">
      <c r="A259">
        <v>22000675</v>
      </c>
      <c r="B259" t="s">
        <v>18</v>
      </c>
      <c r="C259" t="s">
        <v>88</v>
      </c>
      <c r="D259">
        <v>38</v>
      </c>
      <c r="E259">
        <v>21</v>
      </c>
      <c r="F259">
        <v>17</v>
      </c>
      <c r="G259">
        <v>1</v>
      </c>
      <c r="H259" s="1">
        <v>1.3657407407407407E-3</v>
      </c>
      <c r="I259">
        <v>2020</v>
      </c>
      <c r="J259" t="s">
        <v>83</v>
      </c>
      <c r="K259" s="2" t="str">
        <f>HYPERLINK("https://www.nba.com/stats/events?CFID=&amp;CFPARAMS=&amp;GameEventID=122&amp;GameID=0022000675&amp;Season=2020-21&amp;flag=1&amp;title=Leonard%20driving%20DUNK%20(12%20PTS)", "Driving DUNK (12 PTS)")</f>
        <v>Driving DUNK (12 PTS)</v>
      </c>
      <c r="L259" s="2" t="str">
        <f>HYPERLINK("https://www.nba.com/game/...-vs-...-0022000675/play-by-play?watchFullGame=true", "LAC vs SAS - Q1 01:58.00")</f>
        <v>LAC vs SAS - Q1 01:58.00</v>
      </c>
      <c r="M259">
        <v>1.24</v>
      </c>
      <c r="N259">
        <v>6.26</v>
      </c>
      <c r="O259">
        <v>47.86</v>
      </c>
      <c r="P259">
        <v>11</v>
      </c>
      <c r="Q259">
        <v>6</v>
      </c>
      <c r="R259">
        <v>6</v>
      </c>
      <c r="S259">
        <v>47</v>
      </c>
    </row>
    <row r="260" spans="1:19" hidden="1" x14ac:dyDescent="0.25">
      <c r="A260">
        <v>22300372</v>
      </c>
      <c r="B260" t="s">
        <v>18</v>
      </c>
      <c r="C260" t="s">
        <v>88</v>
      </c>
      <c r="D260">
        <v>116</v>
      </c>
      <c r="E260">
        <v>110</v>
      </c>
      <c r="F260">
        <v>6</v>
      </c>
      <c r="G260">
        <v>4</v>
      </c>
      <c r="H260" s="1">
        <v>1.238425925925926E-3</v>
      </c>
      <c r="I260">
        <v>2023</v>
      </c>
      <c r="J260" t="s">
        <v>83</v>
      </c>
      <c r="K260" s="2" t="str">
        <f>HYPERLINK("https://www.nba.com/stats/events?CFID=&amp;CFPARAMS=&amp;GameEventID=588&amp;GameID=0022300372&amp;Season=2023-24&amp;flag=1&amp;title=Leonard%20driving%20DUNK%20(26%20PTS)", "Driving DUNK (26 PTS)")</f>
        <v>Driving DUNK (26 PTS)</v>
      </c>
      <c r="L260" s="2" t="str">
        <f>HYPERLINK("https://www.nba.com/game/...-vs-...-0022300372/play-by-play?watchFullGame=true", "LAC vs DAL - Q4 01:47.00")</f>
        <v>LAC vs DAL - Q4 01:47.00</v>
      </c>
      <c r="M260">
        <v>1.38</v>
      </c>
      <c r="N260">
        <v>6.26</v>
      </c>
      <c r="O260">
        <v>47.55</v>
      </c>
      <c r="P260">
        <v>12</v>
      </c>
      <c r="Q260">
        <v>6</v>
      </c>
      <c r="R260">
        <v>6</v>
      </c>
      <c r="S260">
        <v>47</v>
      </c>
    </row>
    <row r="261" spans="1:19" hidden="1" x14ac:dyDescent="0.25">
      <c r="A261">
        <v>21900157</v>
      </c>
      <c r="B261" t="s">
        <v>18</v>
      </c>
      <c r="C261" t="s">
        <v>92</v>
      </c>
      <c r="D261">
        <v>45</v>
      </c>
      <c r="E261">
        <v>51</v>
      </c>
      <c r="F261">
        <v>6</v>
      </c>
      <c r="G261">
        <v>3</v>
      </c>
      <c r="H261" s="1">
        <v>6.1689814814814819E-3</v>
      </c>
      <c r="I261">
        <v>2019</v>
      </c>
      <c r="J261" t="s">
        <v>83</v>
      </c>
      <c r="K261" s="2" t="str">
        <f>HYPERLINK("https://www.nba.com/stats/events?CFID=&amp;CFPARAMS=&amp;GameEventID=373&amp;GameID=0021900157&amp;Season=2019-20&amp;flag=1&amp;title=Leonard%20dunk%20(16%20PTS)%20(L.%20Williams%203%20AST)", "Dunk (16 PTS) (L. Williams 3 AST)")</f>
        <v>Dunk (16 PTS) (L. Williams 3 AST)</v>
      </c>
      <c r="L261" s="2" t="str">
        <f>HYPERLINK("https://www.nba.com/game/...-vs-...-0021900157/play-by-play?watchFullGame=true", "LAC vs HOU - Q3 08:53.00")</f>
        <v>LAC vs HOU - Q3 08:53.00</v>
      </c>
      <c r="M261">
        <v>1.8</v>
      </c>
      <c r="N261">
        <v>6.23</v>
      </c>
      <c r="O261">
        <v>47.23</v>
      </c>
      <c r="P261">
        <v>14</v>
      </c>
      <c r="Q261">
        <v>6</v>
      </c>
      <c r="R261">
        <v>6</v>
      </c>
      <c r="S261">
        <v>47</v>
      </c>
    </row>
    <row r="262" spans="1:19" hidden="1" x14ac:dyDescent="0.25">
      <c r="A262">
        <v>21901232</v>
      </c>
      <c r="B262" t="s">
        <v>18</v>
      </c>
      <c r="C262" t="s">
        <v>92</v>
      </c>
      <c r="D262">
        <v>31</v>
      </c>
      <c r="E262">
        <v>41</v>
      </c>
      <c r="F262">
        <v>10</v>
      </c>
      <c r="G262">
        <v>2</v>
      </c>
      <c r="H262" s="1">
        <v>6.6782407407407407E-3</v>
      </c>
      <c r="I262">
        <v>2019</v>
      </c>
      <c r="J262" t="s">
        <v>83</v>
      </c>
      <c r="K262" s="2" t="str">
        <f>HYPERLINK("https://www.nba.com/stats/events?CFID=&amp;CFPARAMS=&amp;GameEventID=231&amp;GameID=0021901232&amp;Season=2019-20&amp;flag=1&amp;title=Leonard%20dunk%20(8%20PTS)%20(P.%20Patterson%201%20AST)", "Dunk (8 PTS) (P. Patterson 1 AST)")</f>
        <v>Dunk (8 PTS) (P. Patterson 1 AST)</v>
      </c>
      <c r="L262" s="2" t="str">
        <f>HYPERLINK("https://www.nba.com/game/...-vs-...-0021901232/play-by-play?watchFullGame=true", "LAC vs LAL - Q2 09:37.00")</f>
        <v>LAC vs LAL - Q2 09:37.00</v>
      </c>
      <c r="M262">
        <v>2.2000000000000002</v>
      </c>
      <c r="N262">
        <v>6.65</v>
      </c>
      <c r="O262">
        <v>46.88</v>
      </c>
      <c r="P262">
        <v>16</v>
      </c>
      <c r="Q262">
        <v>10</v>
      </c>
      <c r="R262">
        <v>6</v>
      </c>
      <c r="S262">
        <v>46</v>
      </c>
    </row>
    <row r="263" spans="1:19" hidden="1" x14ac:dyDescent="0.25">
      <c r="A263">
        <v>22200639</v>
      </c>
      <c r="B263" t="s">
        <v>18</v>
      </c>
      <c r="C263" t="s">
        <v>88</v>
      </c>
      <c r="D263">
        <v>76</v>
      </c>
      <c r="E263">
        <v>81</v>
      </c>
      <c r="F263">
        <v>5</v>
      </c>
      <c r="G263">
        <v>3</v>
      </c>
      <c r="H263" s="1">
        <v>1.4467592592592592E-3</v>
      </c>
      <c r="I263">
        <v>2022</v>
      </c>
      <c r="J263" t="s">
        <v>83</v>
      </c>
      <c r="K263" s="2" t="str">
        <f>HYPERLINK("https://www.nba.com/stats/events?CFID=&amp;CFPARAMS=&amp;GameEventID=385&amp;GameID=0022200639&amp;Season=2022-23&amp;flag=1&amp;title=Leonard%20driving%20DUNK%20(20%20PTS)%20(J.%20Wall%202%20AST)", "Driving DUNK (20 PTS) (J. Wall 2 AST)")</f>
        <v>Driving DUNK (20 PTS) (J. Wall 2 AST)</v>
      </c>
      <c r="L263" s="2" t="str">
        <f>HYPERLINK("https://www.nba.com/game/...-vs-...-0022200639/play-by-play?watchFullGame=true", "LAC vs DEN - Q3 02:05.00")</f>
        <v>LAC vs DEN - Q3 02:05.00</v>
      </c>
      <c r="M263">
        <v>2.0499999999999998</v>
      </c>
      <c r="N263">
        <v>6.44</v>
      </c>
      <c r="O263">
        <v>46.22</v>
      </c>
      <c r="P263">
        <v>19</v>
      </c>
      <c r="Q263">
        <v>8</v>
      </c>
      <c r="R263">
        <v>6</v>
      </c>
      <c r="S263">
        <v>46</v>
      </c>
    </row>
    <row r="264" spans="1:19" hidden="1" x14ac:dyDescent="0.25">
      <c r="A264">
        <v>22400659</v>
      </c>
      <c r="B264" t="s">
        <v>18</v>
      </c>
      <c r="C264" t="s">
        <v>88</v>
      </c>
      <c r="D264">
        <v>67</v>
      </c>
      <c r="E264">
        <v>66</v>
      </c>
      <c r="F264">
        <v>1</v>
      </c>
      <c r="G264">
        <v>3</v>
      </c>
      <c r="H264" s="1">
        <v>3.8078703703703703E-3</v>
      </c>
      <c r="I264">
        <v>2024</v>
      </c>
      <c r="J264" t="s">
        <v>83</v>
      </c>
      <c r="K264" s="2" t="str">
        <f>HYPERLINK("https://www.nba.com/stats/events?CFID=&amp;CFPARAMS=&amp;GameEventID=373&amp;GameID=0022400659&amp;Season=2024-25&amp;flag=1&amp;title=Leonard%20running%20DUNK%20(11%20PTS)%20(J.%20Harden%207%20AST)", "Running DUNK (11 PTS) (J. Harden 7 AST)")</f>
        <v>Running DUNK (11 PTS) (J. Harden 7 AST)</v>
      </c>
      <c r="L264" s="2" t="str">
        <f>HYPERLINK("https://www.nba.com/game/...-vs-...-0022400659/play-by-play?watchFullGame=true", "LAC vs PHX - Q3 05:29.00")</f>
        <v>LAC vs PHX - Q3 05:29.00</v>
      </c>
      <c r="M264">
        <v>3.4</v>
      </c>
      <c r="N264">
        <v>6.39</v>
      </c>
      <c r="O264">
        <v>43.38</v>
      </c>
      <c r="P264">
        <v>33</v>
      </c>
      <c r="Q264">
        <v>8</v>
      </c>
      <c r="R264">
        <v>6</v>
      </c>
      <c r="S264">
        <v>43</v>
      </c>
    </row>
    <row r="265" spans="1:19" hidden="1" x14ac:dyDescent="0.25">
      <c r="A265">
        <v>22300770</v>
      </c>
      <c r="B265" t="s">
        <v>18</v>
      </c>
      <c r="C265" t="s">
        <v>88</v>
      </c>
      <c r="D265">
        <v>22</v>
      </c>
      <c r="E265">
        <v>28</v>
      </c>
      <c r="F265">
        <v>6</v>
      </c>
      <c r="G265">
        <v>1</v>
      </c>
      <c r="H265" s="1">
        <v>3.5300925925925924E-4</v>
      </c>
      <c r="I265">
        <v>2023</v>
      </c>
      <c r="J265" t="s">
        <v>83</v>
      </c>
      <c r="K265" s="2" t="str">
        <f>HYPERLINK("https://www.nba.com/stats/events?CFID=&amp;CFPARAMS=&amp;GameEventID=190&amp;GameID=0022300770&amp;Season=2023-24&amp;flag=1&amp;title=Leonard%20driving%20DUNK%20(9%20PTS)", "Driving DUNK (9 PTS)")</f>
        <v>Driving DUNK (9 PTS)</v>
      </c>
      <c r="L265" s="2" t="str">
        <f>HYPERLINK("https://www.nba.com/game/...-vs-...-0022300770/play-by-play?watchFullGame=true", "LAC vs MIN - Q1 00:30.50")</f>
        <v>LAC vs MIN - Q1 00:30.50</v>
      </c>
      <c r="M265">
        <v>2.86</v>
      </c>
      <c r="N265">
        <v>7.67</v>
      </c>
      <c r="O265">
        <v>54.17</v>
      </c>
      <c r="P265">
        <v>-21</v>
      </c>
      <c r="Q265">
        <v>20</v>
      </c>
      <c r="R265">
        <v>7</v>
      </c>
      <c r="S265">
        <v>54</v>
      </c>
    </row>
    <row r="266" spans="1:19" hidden="1" x14ac:dyDescent="0.25">
      <c r="A266">
        <v>42000224</v>
      </c>
      <c r="B266" t="s">
        <v>26</v>
      </c>
      <c r="C266" t="s">
        <v>19</v>
      </c>
      <c r="D266">
        <v>3</v>
      </c>
      <c r="E266">
        <v>2</v>
      </c>
      <c r="F266">
        <v>1</v>
      </c>
      <c r="G266">
        <v>1</v>
      </c>
      <c r="H266" s="1">
        <v>7.7546296296296295E-3</v>
      </c>
      <c r="I266" t="s">
        <v>94</v>
      </c>
      <c r="J266" t="s">
        <v>83</v>
      </c>
      <c r="K266" s="2" t="str">
        <f>HYPERLINK("https://www.nba.com/stats/events?CFID=&amp;CFPARAMS=&amp;GameEventID=11&amp;GameID=0042000224&amp;Season=2020-21&amp;flag=1&amp;title=Leonard%2024'%203PT%20%20(3%20PTS)%20(P.%20George%201%20AST)", "24' 3PT  (3 PTS) (P. George 1 AST)")</f>
        <v>24' 3PT  (3 PTS) (P. George 1 AST)</v>
      </c>
      <c r="L266" s="2" t="str">
        <f>HYPERLINK("https://www.nba.com/game/...-vs-...-0042000224/play-by-play?watchFullGame=true", "LAC vs UTA - Q1 11:10.00")</f>
        <v>LAC vs UTA - Q1 11:10.00</v>
      </c>
      <c r="M266">
        <v>24.02</v>
      </c>
      <c r="N266">
        <v>7.8</v>
      </c>
      <c r="O266">
        <v>2.14</v>
      </c>
      <c r="P266">
        <v>7</v>
      </c>
      <c r="Q266">
        <v>2</v>
      </c>
      <c r="R266">
        <v>7</v>
      </c>
      <c r="S266">
        <v>2</v>
      </c>
    </row>
    <row r="267" spans="1:19" hidden="1" x14ac:dyDescent="0.25">
      <c r="A267">
        <v>22400679</v>
      </c>
      <c r="B267" t="s">
        <v>26</v>
      </c>
      <c r="C267" t="s">
        <v>19</v>
      </c>
      <c r="D267">
        <v>90</v>
      </c>
      <c r="E267">
        <v>81</v>
      </c>
      <c r="F267">
        <v>9</v>
      </c>
      <c r="G267">
        <v>4</v>
      </c>
      <c r="H267" s="1">
        <v>7.4189814814814813E-3</v>
      </c>
      <c r="I267">
        <v>2024</v>
      </c>
      <c r="J267" t="s">
        <v>83</v>
      </c>
      <c r="K267" s="2" t="str">
        <f>HYPERLINK("https://www.nba.com/stats/events?CFID=&amp;CFPARAMS=&amp;GameEventID=520&amp;GameID=0022400679&amp;Season=2024-25&amp;flag=1&amp;title=Leonard%203PT%20running%20(16%20PTS)%20(A.%20Coffey%201%20AST)", "3PT running (16 PTS) (A. Coffey 1 AST)")</f>
        <v>3PT running (16 PTS) (A. Coffey 1 AST)</v>
      </c>
      <c r="L267" s="2" t="str">
        <f>HYPERLINK("https://www.nba.com/game/...-vs-...-0022400679/play-by-play?watchFullGame=true", "LAC vs CHA - Q4 10:41.00")</f>
        <v>LAC vs CHA - Q4 10:41.00</v>
      </c>
      <c r="M267">
        <v>23.81</v>
      </c>
      <c r="N267">
        <v>7.05</v>
      </c>
      <c r="O267">
        <v>2.4500000000000002</v>
      </c>
      <c r="P267">
        <v>238</v>
      </c>
      <c r="Q267">
        <v>14</v>
      </c>
      <c r="R267">
        <v>7</v>
      </c>
      <c r="S267">
        <v>2</v>
      </c>
    </row>
    <row r="268" spans="1:19" hidden="1" x14ac:dyDescent="0.25">
      <c r="A268">
        <v>22200363</v>
      </c>
      <c r="B268" t="s">
        <v>26</v>
      </c>
      <c r="C268" t="s">
        <v>19</v>
      </c>
      <c r="D268">
        <v>21</v>
      </c>
      <c r="E268">
        <v>6</v>
      </c>
      <c r="F268">
        <v>15</v>
      </c>
      <c r="G268">
        <v>1</v>
      </c>
      <c r="H268" s="1">
        <v>3.6342592592592594E-3</v>
      </c>
      <c r="I268">
        <v>2022</v>
      </c>
      <c r="J268" t="s">
        <v>83</v>
      </c>
      <c r="K268" s="2" t="str">
        <f>HYPERLINK("https://www.nba.com/stats/events?CFID=&amp;CFPARAMS=&amp;GameEventID=86&amp;GameID=0022200363&amp;Season=2022-23&amp;flag=1&amp;title=Leonard%203PT%20%20(5%20PTS)", "3PT  (5 PTS)")</f>
        <v>3PT  (5 PTS)</v>
      </c>
      <c r="L268" s="2" t="str">
        <f>HYPERLINK("https://www.nba.com/game/...-vs-...-0022200363/play-by-play?watchFullGame=true", "LAC vs ORL - Q1 05:14.00")</f>
        <v>LAC vs ORL - Q1 05:14.00</v>
      </c>
      <c r="M268">
        <v>23.26</v>
      </c>
      <c r="N268">
        <v>7.84</v>
      </c>
      <c r="O268">
        <v>3.68</v>
      </c>
      <c r="P268">
        <v>232</v>
      </c>
      <c r="Q268">
        <v>21</v>
      </c>
      <c r="R268">
        <v>7</v>
      </c>
      <c r="S268">
        <v>3</v>
      </c>
    </row>
    <row r="269" spans="1:19" hidden="1" x14ac:dyDescent="0.25">
      <c r="A269">
        <v>22300897</v>
      </c>
      <c r="B269" t="s">
        <v>26</v>
      </c>
      <c r="C269" t="s">
        <v>19</v>
      </c>
      <c r="D269">
        <v>99</v>
      </c>
      <c r="E269">
        <v>101</v>
      </c>
      <c r="F269">
        <v>2</v>
      </c>
      <c r="G269">
        <v>4</v>
      </c>
      <c r="H269" s="1">
        <v>4.3518518518518515E-3</v>
      </c>
      <c r="I269">
        <v>2023</v>
      </c>
      <c r="J269" t="s">
        <v>83</v>
      </c>
      <c r="K269" s="2" t="str">
        <f>HYPERLINK("https://www.nba.com/stats/events?CFID=&amp;CFPARAMS=&amp;GameEventID=515&amp;GameID=0022300897&amp;Season=2023-24&amp;flag=1&amp;title=Leonard%203PT%20%20(21%20PTS)%20(J.%20Harden%205%20AST)", "3PT  (21 PTS) (J. Harden 5 AST)")</f>
        <v>3PT  (21 PTS) (J. Harden 5 AST)</v>
      </c>
      <c r="L269" s="2" t="str">
        <f>HYPERLINK("https://www.nba.com/game/...-vs-...-0022300897/play-by-play?watchFullGame=true", "LAC vs HOU - Q4 06:16.00")</f>
        <v>LAC vs HOU - Q4 06:16.00</v>
      </c>
      <c r="M269">
        <v>23.14</v>
      </c>
      <c r="N269">
        <v>7.84</v>
      </c>
      <c r="O269">
        <v>3.92</v>
      </c>
      <c r="P269">
        <v>230</v>
      </c>
      <c r="Q269">
        <v>21</v>
      </c>
      <c r="R269">
        <v>7</v>
      </c>
      <c r="S269">
        <v>3</v>
      </c>
    </row>
    <row r="270" spans="1:19" hidden="1" x14ac:dyDescent="0.25">
      <c r="A270">
        <v>22000328</v>
      </c>
      <c r="B270" t="s">
        <v>26</v>
      </c>
      <c r="C270" t="s">
        <v>19</v>
      </c>
      <c r="D270">
        <v>16</v>
      </c>
      <c r="E270">
        <v>9</v>
      </c>
      <c r="F270">
        <v>7</v>
      </c>
      <c r="G270">
        <v>1</v>
      </c>
      <c r="H270" s="1">
        <v>5.324074074074074E-3</v>
      </c>
      <c r="I270">
        <v>2020</v>
      </c>
      <c r="J270" t="s">
        <v>83</v>
      </c>
      <c r="K270" s="2" t="str">
        <f>HYPERLINK("https://www.nba.com/stats/events?CFID=&amp;CFPARAMS=&amp;GameEventID=46&amp;GameID=0022000328&amp;Season=2020-21&amp;flag=1&amp;title=Leonard%203PT%20%20(6%20PTS)%20(P.%20George%202%20AST)", "3PT  (6 PTS) (P. George 2 AST)")</f>
        <v>3PT  (6 PTS) (P. George 2 AST)</v>
      </c>
      <c r="L270" s="2" t="str">
        <f>HYPERLINK("https://www.nba.com/game/...-vs-...-0022000328/play-by-play?watchFullGame=true", "LAC vs CLE - Q1 07:40.00")</f>
        <v>LAC vs CLE - Q1 07:40.00</v>
      </c>
      <c r="M270">
        <v>22.86</v>
      </c>
      <c r="N270">
        <v>7.84</v>
      </c>
      <c r="O270">
        <v>4.4800000000000004</v>
      </c>
      <c r="P270">
        <v>228</v>
      </c>
      <c r="Q270">
        <v>21</v>
      </c>
      <c r="R270">
        <v>7</v>
      </c>
      <c r="S270">
        <v>4</v>
      </c>
    </row>
    <row r="271" spans="1:19" hidden="1" x14ac:dyDescent="0.25">
      <c r="A271">
        <v>22000675</v>
      </c>
      <c r="B271" t="s">
        <v>26</v>
      </c>
      <c r="C271" t="s">
        <v>19</v>
      </c>
      <c r="D271">
        <v>19</v>
      </c>
      <c r="E271">
        <v>7</v>
      </c>
      <c r="F271">
        <v>12</v>
      </c>
      <c r="G271">
        <v>1</v>
      </c>
      <c r="H271" s="1">
        <v>5.0810185185185186E-3</v>
      </c>
      <c r="I271">
        <v>2020</v>
      </c>
      <c r="J271" t="s">
        <v>83</v>
      </c>
      <c r="K271" s="2" t="str">
        <f>HYPERLINK("https://www.nba.com/stats/events?CFID=&amp;CFPARAMS=&amp;GameEventID=51&amp;GameID=0022000675&amp;Season=2020-21&amp;flag=1&amp;title=Leonard%203PT%20%20(5%20PTS)%20(R.%20Jackson%203%20AST)", "3PT  (5 PTS) (R. Jackson 3 AST)")</f>
        <v>3PT  (5 PTS) (R. Jackson 3 AST)</v>
      </c>
      <c r="L271" s="2" t="str">
        <f>HYPERLINK("https://www.nba.com/game/...-vs-...-0022000675/play-by-play?watchFullGame=true", "LAC vs SAS - Q1 07:19.00")</f>
        <v>LAC vs SAS - Q1 07:19.00</v>
      </c>
      <c r="M271">
        <v>22.13</v>
      </c>
      <c r="N271">
        <v>7.05</v>
      </c>
      <c r="O271">
        <v>94.19</v>
      </c>
      <c r="P271">
        <v>-221</v>
      </c>
      <c r="Q271">
        <v>14</v>
      </c>
      <c r="R271">
        <v>7</v>
      </c>
      <c r="S271">
        <v>94</v>
      </c>
    </row>
    <row r="272" spans="1:19" hidden="1" x14ac:dyDescent="0.25">
      <c r="A272">
        <v>22200745</v>
      </c>
      <c r="B272" t="s">
        <v>26</v>
      </c>
      <c r="C272" t="s">
        <v>19</v>
      </c>
      <c r="D272">
        <v>84</v>
      </c>
      <c r="E272">
        <v>79</v>
      </c>
      <c r="F272">
        <v>5</v>
      </c>
      <c r="G272">
        <v>3</v>
      </c>
      <c r="H272" s="1">
        <v>1.4004629629629629E-3</v>
      </c>
      <c r="I272">
        <v>2022</v>
      </c>
      <c r="J272" t="s">
        <v>83</v>
      </c>
      <c r="K272" s="2" t="str">
        <f>HYPERLINK("https://www.nba.com/stats/events?CFID=&amp;CFPARAMS=&amp;GameEventID=404&amp;GameID=0022200745&amp;Season=2022-23&amp;flag=1&amp;title=Leonard%203PT%20%20(25%20PTS)%20(N.%20Powell%201%20AST)", "3PT  (25 PTS) (N. Powell 1 AST)")</f>
        <v>3PT  (25 PTS) (N. Powell 1 AST)</v>
      </c>
      <c r="L272" s="2" t="str">
        <f>HYPERLINK("https://www.nba.com/game/...-vs-...-0022200745/play-by-play?watchFullGame=true", "LAC vs ATL - Q3 02:01.00")</f>
        <v>LAC vs ATL - Q3 02:01.00</v>
      </c>
      <c r="M272">
        <v>22.66</v>
      </c>
      <c r="N272">
        <v>7.97</v>
      </c>
      <c r="O272">
        <v>95.1</v>
      </c>
      <c r="P272">
        <v>-225</v>
      </c>
      <c r="Q272">
        <v>22</v>
      </c>
      <c r="R272">
        <v>7</v>
      </c>
      <c r="S272">
        <v>95</v>
      </c>
    </row>
    <row r="273" spans="1:19" hidden="1" x14ac:dyDescent="0.25">
      <c r="A273">
        <v>22001019</v>
      </c>
      <c r="B273" t="s">
        <v>26</v>
      </c>
      <c r="C273" t="s">
        <v>19</v>
      </c>
      <c r="D273">
        <v>65</v>
      </c>
      <c r="E273">
        <v>64</v>
      </c>
      <c r="F273">
        <v>1</v>
      </c>
      <c r="G273">
        <v>3</v>
      </c>
      <c r="H273" s="1">
        <v>4.5023148148148149E-3</v>
      </c>
      <c r="I273">
        <v>2020</v>
      </c>
      <c r="J273" t="s">
        <v>83</v>
      </c>
      <c r="K273" s="2" t="str">
        <f>HYPERLINK("https://www.nba.com/stats/events?CFID=&amp;CFPARAMS=&amp;GameEventID=351&amp;GameID=0022001019&amp;Season=2020-21&amp;flag=1&amp;title=Leonard%203PT%20%20(16%20PTS)%20(I.%20Zubac%201%20AST)", "3PT  (16 PTS) (I. Zubac 1 AST)")</f>
        <v>3PT  (16 PTS) (I. Zubac 1 AST)</v>
      </c>
      <c r="L273" s="2" t="str">
        <f>HYPERLINK("https://www.nba.com/game/...-vs-...-0022001019/play-by-play?watchFullGame=true", "LAC vs NYK - Q3 06:29.00")</f>
        <v>LAC vs NYK - Q3 06:29.00</v>
      </c>
      <c r="M273">
        <v>22.68</v>
      </c>
      <c r="N273">
        <v>7.84</v>
      </c>
      <c r="O273">
        <v>95.17</v>
      </c>
      <c r="P273">
        <v>-226</v>
      </c>
      <c r="Q273">
        <v>21</v>
      </c>
      <c r="R273">
        <v>7</v>
      </c>
      <c r="S273">
        <v>95</v>
      </c>
    </row>
    <row r="274" spans="1:19" hidden="1" x14ac:dyDescent="0.25">
      <c r="A274">
        <v>22300716</v>
      </c>
      <c r="B274" t="s">
        <v>26</v>
      </c>
      <c r="C274" t="s">
        <v>19</v>
      </c>
      <c r="D274">
        <v>81</v>
      </c>
      <c r="E274">
        <v>76</v>
      </c>
      <c r="F274">
        <v>5</v>
      </c>
      <c r="G274">
        <v>3</v>
      </c>
      <c r="H274" s="1">
        <v>5.4050925925925924E-3</v>
      </c>
      <c r="I274">
        <v>2023</v>
      </c>
      <c r="J274" t="s">
        <v>83</v>
      </c>
      <c r="K274" s="2" t="str">
        <f>HYPERLINK("https://www.nba.com/stats/events?CFID=&amp;CFPARAMS=&amp;GameEventID=351&amp;GameID=0022300716&amp;Season=2023-24&amp;flag=1&amp;title=Leonard%203PT%20%20(20%20PTS)%20(P.%20George%202%20AST)", "3PT  (20 PTS) (P. George 2 AST)")</f>
        <v>3PT  (20 PTS) (P. George 2 AST)</v>
      </c>
      <c r="L274" s="2" t="str">
        <f>HYPERLINK("https://www.nba.com/game/...-vs-...-0022300716/play-by-play?watchFullGame=true", "LAC vs ATL - Q3 07:47.00")</f>
        <v>LAC vs ATL - Q3 07:47.00</v>
      </c>
      <c r="M274">
        <v>22.71</v>
      </c>
      <c r="N274">
        <v>7.05</v>
      </c>
      <c r="O274">
        <v>95.34</v>
      </c>
      <c r="P274">
        <v>-227</v>
      </c>
      <c r="Q274">
        <v>14</v>
      </c>
      <c r="R274">
        <v>7</v>
      </c>
      <c r="S274">
        <v>95</v>
      </c>
    </row>
    <row r="275" spans="1:19" hidden="1" x14ac:dyDescent="0.25">
      <c r="A275">
        <v>22200701</v>
      </c>
      <c r="B275" t="s">
        <v>26</v>
      </c>
      <c r="C275" t="s">
        <v>19</v>
      </c>
      <c r="D275">
        <v>63</v>
      </c>
      <c r="E275">
        <v>60</v>
      </c>
      <c r="F275">
        <v>3</v>
      </c>
      <c r="G275">
        <v>3</v>
      </c>
      <c r="H275" s="1">
        <v>5.1273148148148146E-3</v>
      </c>
      <c r="I275">
        <v>2022</v>
      </c>
      <c r="J275" t="s">
        <v>83</v>
      </c>
      <c r="K275" s="2" t="str">
        <f>HYPERLINK("https://www.nba.com/stats/events?CFID=&amp;CFPARAMS=&amp;GameEventID=367&amp;GameID=0022200701&amp;Season=2022-23&amp;flag=1&amp;title=Leonard%203PT%20%20(15%20PTS)%20(M.%20Morris%20Sr.%203%20AST)", "3PT  (15 PTS) (M. Morris Sr. 3 AST)")</f>
        <v>3PT  (15 PTS) (M. Morris Sr. 3 AST)</v>
      </c>
      <c r="L275" s="2" t="str">
        <f>HYPERLINK("https://www.nba.com/game/...-vs-...-0022200701/play-by-play?watchFullGame=true", "LAC vs DAL - Q3 07:23.00")</f>
        <v>LAC vs DAL - Q3 07:23.00</v>
      </c>
      <c r="M275">
        <v>22.9</v>
      </c>
      <c r="N275">
        <v>7.75</v>
      </c>
      <c r="O275">
        <v>95.61</v>
      </c>
      <c r="P275">
        <v>-228</v>
      </c>
      <c r="Q275">
        <v>20</v>
      </c>
      <c r="R275">
        <v>7</v>
      </c>
      <c r="S275">
        <v>95</v>
      </c>
    </row>
    <row r="276" spans="1:19" hidden="1" x14ac:dyDescent="0.25">
      <c r="A276">
        <v>42200171</v>
      </c>
      <c r="B276" t="s">
        <v>26</v>
      </c>
      <c r="C276" t="s">
        <v>19</v>
      </c>
      <c r="D276">
        <v>77</v>
      </c>
      <c r="E276">
        <v>78</v>
      </c>
      <c r="F276">
        <v>1</v>
      </c>
      <c r="G276">
        <v>3</v>
      </c>
      <c r="H276" s="1">
        <v>9.6064814814814819E-4</v>
      </c>
      <c r="I276" t="s">
        <v>96</v>
      </c>
      <c r="J276" t="s">
        <v>83</v>
      </c>
      <c r="K276" s="2" t="str">
        <f>HYPERLINK("https://www.nba.com/stats/events?CFID=&amp;CFPARAMS=&amp;GameEventID=488&amp;GameID=0042200171&amp;Season=2022-23&amp;flag=1&amp;title=Leonard%203PT%20%20(25%20PTS)%20(N.%20Powell%202%20AST)", "3PT  (25 PTS) (N. Powell 2 AST)")</f>
        <v>3PT  (25 PTS) (N. Powell 2 AST)</v>
      </c>
      <c r="L276" s="2" t="str">
        <f>HYPERLINK("https://www.nba.com/game/...-vs-...-0042200171/play-by-play?watchFullGame=true", "LAC vs PHX - Q3 01:23.00")</f>
        <v>LAC vs PHX - Q3 01:23.00</v>
      </c>
      <c r="M276">
        <v>22.98</v>
      </c>
      <c r="N276">
        <v>7.31</v>
      </c>
      <c r="O276">
        <v>95.83</v>
      </c>
      <c r="P276">
        <v>7</v>
      </c>
      <c r="Q276">
        <v>95</v>
      </c>
      <c r="R276">
        <v>7</v>
      </c>
      <c r="S276">
        <v>95</v>
      </c>
    </row>
    <row r="277" spans="1:19" hidden="1" x14ac:dyDescent="0.25">
      <c r="A277">
        <v>22201156</v>
      </c>
      <c r="B277" t="s">
        <v>26</v>
      </c>
      <c r="C277" t="s">
        <v>19</v>
      </c>
      <c r="D277">
        <v>41</v>
      </c>
      <c r="E277">
        <v>42</v>
      </c>
      <c r="F277">
        <v>1</v>
      </c>
      <c r="G277">
        <v>2</v>
      </c>
      <c r="H277" s="1">
        <v>4.363425925925926E-3</v>
      </c>
      <c r="I277">
        <v>2022</v>
      </c>
      <c r="J277" t="s">
        <v>83</v>
      </c>
      <c r="K277" s="2" t="str">
        <f>HYPERLINK("https://www.nba.com/stats/events?CFID=&amp;CFPARAMS=&amp;GameEventID=248&amp;GameID=0022201156&amp;Season=2022-23&amp;flag=1&amp;title=Leonard%203PT%20%20(10%20PTS)%20(E.%20Gordon%202%20AST)", "3PT  (10 PTS) (E. Gordon 2 AST)")</f>
        <v>3PT  (10 PTS) (E. Gordon 2 AST)</v>
      </c>
      <c r="L277" s="2" t="str">
        <f>HYPERLINK("https://www.nba.com/game/...-vs-...-0022201156/play-by-play?watchFullGame=true", "LAC vs MEM - Q2 06:17.00")</f>
        <v>LAC vs MEM - Q2 06:17.00</v>
      </c>
      <c r="M277">
        <v>23.11</v>
      </c>
      <c r="N277">
        <v>7.44</v>
      </c>
      <c r="O277">
        <v>96.08</v>
      </c>
      <c r="P277">
        <v>-230</v>
      </c>
      <c r="Q277">
        <v>17</v>
      </c>
      <c r="R277">
        <v>7</v>
      </c>
      <c r="S277">
        <v>96</v>
      </c>
    </row>
    <row r="278" spans="1:19" hidden="1" x14ac:dyDescent="0.25">
      <c r="A278">
        <v>21900603</v>
      </c>
      <c r="B278" t="s">
        <v>18</v>
      </c>
      <c r="C278" t="s">
        <v>84</v>
      </c>
      <c r="D278">
        <v>26</v>
      </c>
      <c r="E278">
        <v>20</v>
      </c>
      <c r="F278">
        <v>6</v>
      </c>
      <c r="G278">
        <v>1</v>
      </c>
      <c r="H278" s="1">
        <v>2.7199074074074074E-3</v>
      </c>
      <c r="I278">
        <v>2019</v>
      </c>
      <c r="J278" t="s">
        <v>83</v>
      </c>
      <c r="K278" s="2" t="str">
        <f>HYPERLINK("https://www.nba.com/stats/events?CFID=&amp;CFPARAMS=&amp;GameEventID=103&amp;GameID=0021900603&amp;Season=2019-20&amp;flag=1&amp;title=Leonard%2014'%20jumpshot%20(11%20PTS)%20(L.%20Williams%201%20AST)", "14' jumpshot (11 PTS) (L. Williams 1 AST)")</f>
        <v>14' jumpshot (11 PTS) (L. Williams 1 AST)</v>
      </c>
      <c r="L278" s="2" t="str">
        <f>HYPERLINK("https://www.nba.com/game/...-vs-...-0021900603/play-by-play?watchFullGame=true", "LAC vs CLE - Q1 03:55.00")</f>
        <v>LAC vs CLE - Q1 03:55.00</v>
      </c>
      <c r="M278">
        <v>14.26</v>
      </c>
      <c r="N278">
        <v>7.01</v>
      </c>
      <c r="O278">
        <v>21.74</v>
      </c>
      <c r="P278">
        <v>141</v>
      </c>
      <c r="Q278">
        <v>13</v>
      </c>
      <c r="R278">
        <v>7</v>
      </c>
      <c r="S278">
        <v>21</v>
      </c>
    </row>
    <row r="279" spans="1:19" hidden="1" x14ac:dyDescent="0.25">
      <c r="A279">
        <v>22001034</v>
      </c>
      <c r="B279" t="s">
        <v>18</v>
      </c>
      <c r="C279" t="s">
        <v>19</v>
      </c>
      <c r="D279">
        <v>53</v>
      </c>
      <c r="E279">
        <v>39</v>
      </c>
      <c r="F279">
        <v>14</v>
      </c>
      <c r="G279">
        <v>2</v>
      </c>
      <c r="H279" s="1">
        <v>2.685185185185185E-3</v>
      </c>
      <c r="I279">
        <v>2020</v>
      </c>
      <c r="J279" t="s">
        <v>83</v>
      </c>
      <c r="K279" s="2" t="str">
        <f>HYPERLINK("https://www.nba.com/stats/events?CFID=&amp;CFPARAMS=&amp;GameEventID=281&amp;GameID=0022001034&amp;Season=2020-21&amp;flag=1&amp;title=Leonard%2012'%20turnaround%20fadeaway%20Jump%20Shot%20(14%20PTS)", "12' turnaround fadeaway Jump Shot (14 PTS)")</f>
        <v>12' turnaround fadeaway Jump Shot (14 PTS)</v>
      </c>
      <c r="L279" s="2" t="str">
        <f>HYPERLINK("https://www.nba.com/game/...-vs-...-0022001034/play-by-play?watchFullGame=true", "LAC vs TOR - Q2 03:52.00")</f>
        <v>LAC vs TOR - Q2 03:52.00</v>
      </c>
      <c r="M279">
        <v>12.6</v>
      </c>
      <c r="N279">
        <v>7.05</v>
      </c>
      <c r="O279">
        <v>75.069999999999993</v>
      </c>
      <c r="P279">
        <v>-125</v>
      </c>
      <c r="Q279">
        <v>14</v>
      </c>
      <c r="R279">
        <v>7</v>
      </c>
      <c r="S279">
        <v>75</v>
      </c>
    </row>
    <row r="280" spans="1:19" hidden="1" x14ac:dyDescent="0.25">
      <c r="A280">
        <v>21900016</v>
      </c>
      <c r="B280" t="s">
        <v>18</v>
      </c>
      <c r="C280" t="s">
        <v>84</v>
      </c>
      <c r="D280">
        <v>52</v>
      </c>
      <c r="E280">
        <v>42</v>
      </c>
      <c r="F280">
        <v>10</v>
      </c>
      <c r="G280">
        <v>2</v>
      </c>
      <c r="H280" s="1">
        <v>4.7222222222222223E-3</v>
      </c>
      <c r="I280">
        <v>2019</v>
      </c>
      <c r="J280" t="s">
        <v>83</v>
      </c>
      <c r="K280" s="2" t="str">
        <f>HYPERLINK("https://www.nba.com/stats/events?CFID=&amp;CFPARAMS=&amp;GameEventID=254&amp;GameID=0021900016&amp;Season=2019-20&amp;flag=1&amp;title=[LAC]%20Leonard%20jumpshot:%20Made%20(8%20PTS)%20assist:%20Harkless%20(1%20AST)", "[LAC] Leonard jumpshot: Made (8 PTS) assist: Harkless (1 AST)")</f>
        <v>[LAC] Leonard jumpshot: Made (8 PTS) assist: Harkless (1 AST)</v>
      </c>
      <c r="L280" s="2" t="str">
        <f>HYPERLINK("https://www.nba.com/game/...-vs-...-0021900016/play-by-play?watchFullGame=true", "LAC vs GSW - Q2 06:48.00")</f>
        <v>LAC vs GSW - Q2 06:48.00</v>
      </c>
      <c r="M280">
        <v>12.51</v>
      </c>
      <c r="N280">
        <v>7.18</v>
      </c>
      <c r="O280">
        <v>25.31</v>
      </c>
      <c r="P280">
        <v>123</v>
      </c>
      <c r="Q280">
        <v>15</v>
      </c>
      <c r="R280">
        <v>7</v>
      </c>
      <c r="S280">
        <v>25</v>
      </c>
    </row>
    <row r="281" spans="1:19" hidden="1" x14ac:dyDescent="0.25">
      <c r="A281">
        <v>22000366</v>
      </c>
      <c r="B281" t="s">
        <v>18</v>
      </c>
      <c r="C281" t="s">
        <v>19</v>
      </c>
      <c r="D281">
        <v>106</v>
      </c>
      <c r="E281">
        <v>107</v>
      </c>
      <c r="F281">
        <v>1</v>
      </c>
      <c r="G281">
        <v>4</v>
      </c>
      <c r="H281" s="1">
        <v>8.6805555555555551E-4</v>
      </c>
      <c r="I281">
        <v>2020</v>
      </c>
      <c r="J281" t="s">
        <v>83</v>
      </c>
      <c r="K281" s="2" t="str">
        <f>HYPERLINK("https://www.nba.com/stats/events?CFID=&amp;CFPARAMS=&amp;GameEventID=622&amp;GameID=0022000366&amp;Season=2020-21&amp;flag=1&amp;title=Leonard%2010'%20turnaround%20Jump%20Shot%20(18%20PTS)%20(N.%20Batum%203%20AST)", "10' turnaround Jump Shot (18 PTS) (N. Batum 3 AST)")</f>
        <v>10' turnaround Jump Shot (18 PTS) (N. Batum 3 AST)</v>
      </c>
      <c r="L281" s="2" t="str">
        <f>HYPERLINK("https://www.nba.com/game/...-vs-...-0022000366/play-by-play?watchFullGame=true", "LAC vs SAC - Q4 01:15.00")</f>
        <v>LAC vs SAC - Q4 01:15.00</v>
      </c>
      <c r="M281">
        <v>10.54</v>
      </c>
      <c r="N281">
        <v>7.05</v>
      </c>
      <c r="O281">
        <v>70.900000000000006</v>
      </c>
      <c r="P281">
        <v>-105</v>
      </c>
      <c r="Q281">
        <v>14</v>
      </c>
      <c r="R281">
        <v>7</v>
      </c>
      <c r="S281">
        <v>70</v>
      </c>
    </row>
    <row r="282" spans="1:19" hidden="1" x14ac:dyDescent="0.25">
      <c r="A282">
        <v>22200538</v>
      </c>
      <c r="B282" t="s">
        <v>18</v>
      </c>
      <c r="C282" t="s">
        <v>19</v>
      </c>
      <c r="D282">
        <v>69</v>
      </c>
      <c r="E282">
        <v>76</v>
      </c>
      <c r="F282">
        <v>7</v>
      </c>
      <c r="G282">
        <v>3</v>
      </c>
      <c r="H282" s="1">
        <v>5.115740740740741E-3</v>
      </c>
      <c r="I282">
        <v>2022</v>
      </c>
      <c r="J282" t="s">
        <v>83</v>
      </c>
      <c r="K282" s="2" t="str">
        <f>HYPERLINK("https://www.nba.com/stats/events?CFID=&amp;CFPARAMS=&amp;GameEventID=341&amp;GameID=0022200538&amp;Season=2022-23&amp;flag=1&amp;title=Leonard%2010'%20fadeaway%20Jump%20Shot%20(11%20PTS)", "10' fadeaway Jump Shot (11 PTS)")</f>
        <v>10' fadeaway Jump Shot (11 PTS)</v>
      </c>
      <c r="L282" s="2" t="str">
        <f>HYPERLINK("https://www.nba.com/game/...-vs-...-0022200538/play-by-play?watchFullGame=true", "LAC vs IND - Q3 07:22.00")</f>
        <v>LAC vs IND - Q3 07:22.00</v>
      </c>
      <c r="M282">
        <v>10.46</v>
      </c>
      <c r="N282">
        <v>7.57</v>
      </c>
      <c r="O282">
        <v>29.41</v>
      </c>
      <c r="P282">
        <v>103</v>
      </c>
      <c r="Q282">
        <v>19</v>
      </c>
      <c r="R282">
        <v>7</v>
      </c>
      <c r="S282">
        <v>29</v>
      </c>
    </row>
    <row r="283" spans="1:19" hidden="1" x14ac:dyDescent="0.25">
      <c r="A283">
        <v>22300897</v>
      </c>
      <c r="B283" t="s">
        <v>18</v>
      </c>
      <c r="C283" t="s">
        <v>19</v>
      </c>
      <c r="D283">
        <v>103</v>
      </c>
      <c r="E283">
        <v>106</v>
      </c>
      <c r="F283">
        <v>3</v>
      </c>
      <c r="G283">
        <v>4</v>
      </c>
      <c r="H283" s="1">
        <v>3.4837962962962965E-3</v>
      </c>
      <c r="I283">
        <v>2023</v>
      </c>
      <c r="J283" t="s">
        <v>83</v>
      </c>
      <c r="K283" s="2" t="str">
        <f>HYPERLINK("https://www.nba.com/stats/events?CFID=&amp;CFPARAMS=&amp;GameEventID=533&amp;GameID=0022300897&amp;Season=2023-24&amp;flag=1&amp;title=Leonard%2010'%20pullup%20Jump%20Shot%20(23%20PTS)", "10' pullup Jump Shot (23 PTS)")</f>
        <v>10' pullup Jump Shot (23 PTS)</v>
      </c>
      <c r="L283" s="2" t="str">
        <f>HYPERLINK("https://www.nba.com/game/...-vs-...-0022300897/play-by-play?watchFullGame=true", "LAC vs HOU - Q4 05:01.00")</f>
        <v>LAC vs HOU - Q4 05:01.00</v>
      </c>
      <c r="M283">
        <v>10.16</v>
      </c>
      <c r="N283">
        <v>7.18</v>
      </c>
      <c r="O283">
        <v>70.099999999999994</v>
      </c>
      <c r="P283">
        <v>-100</v>
      </c>
      <c r="Q283">
        <v>15</v>
      </c>
      <c r="R283">
        <v>7</v>
      </c>
      <c r="S283">
        <v>70</v>
      </c>
    </row>
    <row r="284" spans="1:19" hidden="1" x14ac:dyDescent="0.25">
      <c r="A284">
        <v>22300235</v>
      </c>
      <c r="B284" t="s">
        <v>18</v>
      </c>
      <c r="C284" t="s">
        <v>19</v>
      </c>
      <c r="D284">
        <v>102</v>
      </c>
      <c r="E284">
        <v>93</v>
      </c>
      <c r="F284">
        <v>9</v>
      </c>
      <c r="G284">
        <v>4</v>
      </c>
      <c r="H284" s="1">
        <v>1.7592592592592592E-3</v>
      </c>
      <c r="I284">
        <v>2023</v>
      </c>
      <c r="J284" t="s">
        <v>83</v>
      </c>
      <c r="K284" s="2" t="str">
        <f>HYPERLINK("https://www.nba.com/stats/events?CFID=&amp;CFPARAMS=&amp;GameEventID=643&amp;GameID=0022300235&amp;Season=2023-24&amp;flag=1&amp;title=Leonard%209'%20turnaround%20fadeaway%20Jump%20Shot%20(26%20PTS)", "9' turnaround fadeaway Jump Shot (26 PTS)")</f>
        <v>9' turnaround fadeaway Jump Shot (26 PTS)</v>
      </c>
      <c r="L284" s="2" t="str">
        <f>HYPERLINK("https://www.nba.com/game/...-vs-...-0022300235/play-by-play?watchFullGame=true", "LAC vs SAS - Q4 02:32.00")</f>
        <v>LAC vs SAS - Q4 02:32.00</v>
      </c>
      <c r="M284">
        <v>9.82</v>
      </c>
      <c r="N284">
        <v>7.97</v>
      </c>
      <c r="O284">
        <v>30.88</v>
      </c>
      <c r="P284">
        <v>96</v>
      </c>
      <c r="Q284">
        <v>22</v>
      </c>
      <c r="R284">
        <v>7</v>
      </c>
      <c r="S284">
        <v>30</v>
      </c>
    </row>
    <row r="285" spans="1:19" hidden="1" x14ac:dyDescent="0.25">
      <c r="A285">
        <v>21900251</v>
      </c>
      <c r="B285" t="s">
        <v>18</v>
      </c>
      <c r="C285" t="s">
        <v>84</v>
      </c>
      <c r="D285">
        <v>50</v>
      </c>
      <c r="E285">
        <v>35</v>
      </c>
      <c r="F285">
        <v>15</v>
      </c>
      <c r="G285">
        <v>2</v>
      </c>
      <c r="H285" s="1">
        <v>4.7453703703703703E-3</v>
      </c>
      <c r="I285">
        <v>2019</v>
      </c>
      <c r="J285" t="s">
        <v>83</v>
      </c>
      <c r="K285" s="2" t="str">
        <f>HYPERLINK("https://www.nba.com/stats/events?CFID=&amp;CFPARAMS=&amp;GameEventID=249&amp;GameID=0021900251&amp;Season=2019-20&amp;flag=1&amp;title=Leonard%208'%20jumpshot%20(8%20PTS)", "8' jumpshot (8 PTS)")</f>
        <v>8' jumpshot (8 PTS)</v>
      </c>
      <c r="L285" s="2" t="str">
        <f>HYPERLINK("https://www.nba.com/game/...-vs-...-0021900251/play-by-play?watchFullGame=true", "LAC vs DAL - Q2 06:50.00")</f>
        <v>LAC vs DAL - Q2 06:50.00</v>
      </c>
      <c r="M285">
        <v>7.86</v>
      </c>
      <c r="N285">
        <v>7.7</v>
      </c>
      <c r="O285">
        <v>35.119999999999997</v>
      </c>
      <c r="P285">
        <v>74</v>
      </c>
      <c r="Q285">
        <v>20</v>
      </c>
      <c r="R285">
        <v>7</v>
      </c>
      <c r="S285">
        <v>35</v>
      </c>
    </row>
    <row r="286" spans="1:19" hidden="1" x14ac:dyDescent="0.25">
      <c r="A286">
        <v>22200810</v>
      </c>
      <c r="B286" t="s">
        <v>18</v>
      </c>
      <c r="C286" t="s">
        <v>19</v>
      </c>
      <c r="D286">
        <v>79</v>
      </c>
      <c r="E286">
        <v>79</v>
      </c>
      <c r="F286">
        <v>0</v>
      </c>
      <c r="G286">
        <v>3</v>
      </c>
      <c r="H286" s="1">
        <v>3.0671296296296297E-3</v>
      </c>
      <c r="I286">
        <v>2022</v>
      </c>
      <c r="J286" t="s">
        <v>83</v>
      </c>
      <c r="K286" s="2" t="str">
        <f>HYPERLINK("https://www.nba.com/stats/events?CFID=&amp;CFPARAMS=&amp;GameEventID=407&amp;GameID=0022200810&amp;Season=2022-23&amp;flag=1&amp;title=Leonard%207'%20pullup%20bank%20Jump%20Shot%20(15%20PTS)", "7' pullup bank Jump Shot (15 PTS)")</f>
        <v>7' pullup bank Jump Shot (15 PTS)</v>
      </c>
      <c r="L286" s="2" t="str">
        <f>HYPERLINK("https://www.nba.com/game/...-vs-...-0022200810/play-by-play?watchFullGame=true", "LAC vs BKN - Q3 04:25.00")</f>
        <v>LAC vs BKN - Q3 04:25.00</v>
      </c>
      <c r="M286">
        <v>7.8</v>
      </c>
      <c r="N286">
        <v>7.44</v>
      </c>
      <c r="O286">
        <v>34.799999999999997</v>
      </c>
      <c r="P286">
        <v>76</v>
      </c>
      <c r="Q286">
        <v>17</v>
      </c>
      <c r="R286">
        <v>7</v>
      </c>
      <c r="S286">
        <v>34</v>
      </c>
    </row>
    <row r="287" spans="1:19" hidden="1" x14ac:dyDescent="0.25">
      <c r="A287">
        <v>22300085</v>
      </c>
      <c r="B287" t="s">
        <v>18</v>
      </c>
      <c r="C287" t="s">
        <v>89</v>
      </c>
      <c r="D287">
        <v>56</v>
      </c>
      <c r="E287">
        <v>63</v>
      </c>
      <c r="F287">
        <v>7</v>
      </c>
      <c r="G287">
        <v>3</v>
      </c>
      <c r="H287" s="1">
        <v>8.1365740740740738E-3</v>
      </c>
      <c r="I287">
        <v>2023</v>
      </c>
      <c r="J287" t="s">
        <v>83</v>
      </c>
      <c r="K287" s="2" t="str">
        <f>HYPERLINK("https://www.nba.com/stats/events?CFID=&amp;CFPARAMS=&amp;GameEventID=330&amp;GameID=0022300085&amp;Season=2023-24&amp;flag=1&amp;title=Leonard%206'%20turnaround%20Hook%20(14%20PTS)", "6' turnaround Hook (14 PTS)")</f>
        <v>6' turnaround Hook (14 PTS)</v>
      </c>
      <c r="L287" s="2" t="str">
        <f>HYPERLINK("https://www.nba.com/game/...-vs-...-0022300085/play-by-play?watchFullGame=true", "LAC vs UTA - Q3 11:43.00")</f>
        <v>LAC vs UTA - Q3 11:43.00</v>
      </c>
      <c r="M287">
        <v>6.49</v>
      </c>
      <c r="N287">
        <v>7.44</v>
      </c>
      <c r="O287">
        <v>37.5</v>
      </c>
      <c r="P287">
        <v>62</v>
      </c>
      <c r="Q287">
        <v>17</v>
      </c>
      <c r="R287">
        <v>7</v>
      </c>
      <c r="S287">
        <v>37</v>
      </c>
    </row>
    <row r="288" spans="1:19" hidden="1" x14ac:dyDescent="0.25">
      <c r="A288">
        <v>41900155</v>
      </c>
      <c r="B288" t="s">
        <v>18</v>
      </c>
      <c r="C288" t="s">
        <v>84</v>
      </c>
      <c r="D288">
        <v>27</v>
      </c>
      <c r="E288">
        <v>16</v>
      </c>
      <c r="F288">
        <v>11</v>
      </c>
      <c r="G288">
        <v>1</v>
      </c>
      <c r="H288" s="1">
        <v>3.3101851851851851E-3</v>
      </c>
      <c r="I288" t="s">
        <v>86</v>
      </c>
      <c r="J288" t="s">
        <v>83</v>
      </c>
      <c r="K288" s="2" t="str">
        <f>HYPERLINK("https://www.nba.com/stats/events?CFID=&amp;CFPARAMS=&amp;GameEventID=74&amp;GameID=0041900155&amp;Season=2019-20&amp;flag=1&amp;title=Leonard%206'%20jumpshot%20(10%20PTS)", "6' jumpshot (10 PTS)")</f>
        <v>6' jumpshot (10 PTS)</v>
      </c>
      <c r="L288" s="2" t="str">
        <f>HYPERLINK("https://www.nba.com/game/...-vs-...-0041900155/play-by-play?watchFullGame=true", "LAC vs DAL - Q1 04:46.00")</f>
        <v>LAC vs DAL - Q1 04:46.00</v>
      </c>
      <c r="M288">
        <v>5.55</v>
      </c>
      <c r="N288">
        <v>7.57</v>
      </c>
      <c r="O288">
        <v>40.020000000000003</v>
      </c>
      <c r="P288">
        <v>50</v>
      </c>
      <c r="Q288">
        <v>19</v>
      </c>
      <c r="R288">
        <v>7</v>
      </c>
      <c r="S288">
        <v>40</v>
      </c>
    </row>
    <row r="289" spans="1:19" hidden="1" x14ac:dyDescent="0.25">
      <c r="A289">
        <v>21900002</v>
      </c>
      <c r="B289" t="s">
        <v>18</v>
      </c>
      <c r="C289" t="s">
        <v>19</v>
      </c>
      <c r="D289">
        <v>106</v>
      </c>
      <c r="E289">
        <v>96</v>
      </c>
      <c r="F289">
        <v>10</v>
      </c>
      <c r="G289">
        <v>4</v>
      </c>
      <c r="H289" s="1">
        <v>2.5578703703703705E-3</v>
      </c>
      <c r="I289">
        <v>2019</v>
      </c>
      <c r="J289" t="s">
        <v>83</v>
      </c>
      <c r="K289" s="2" t="str">
        <f>HYPERLINK("https://www.nba.com/stats/events?CFID=&amp;CFPARAMS=&amp;GameEventID=631&amp;GameID=0021900002&amp;Season=2019-20&amp;flag=1&amp;title=Leonard%20turnaround%20Jump%20Shot%20(28%20PTS)", "Turnaround Jump Shot (28 PTS)")</f>
        <v>Turnaround Jump Shot (28 PTS)</v>
      </c>
      <c r="L289" s="2" t="str">
        <f>HYPERLINK("https://www.nba.com/game/...-vs-...-0021900002/play-by-play?watchFullGame=true", "LAC vs LAL - Q4 03:41.00")</f>
        <v>LAC vs LAL - Q4 03:41.00</v>
      </c>
      <c r="M289">
        <v>5.24</v>
      </c>
      <c r="N289">
        <v>7.93</v>
      </c>
      <c r="O289">
        <v>41.11</v>
      </c>
      <c r="P289">
        <v>44</v>
      </c>
      <c r="Q289">
        <v>22</v>
      </c>
      <c r="R289">
        <v>7</v>
      </c>
      <c r="S289">
        <v>41</v>
      </c>
    </row>
    <row r="290" spans="1:19" hidden="1" x14ac:dyDescent="0.25">
      <c r="A290">
        <v>22000457</v>
      </c>
      <c r="B290" t="s">
        <v>18</v>
      </c>
      <c r="C290" t="s">
        <v>19</v>
      </c>
      <c r="D290">
        <v>53</v>
      </c>
      <c r="E290">
        <v>40</v>
      </c>
      <c r="F290">
        <v>13</v>
      </c>
      <c r="G290">
        <v>2</v>
      </c>
      <c r="H290" s="1">
        <v>2.2916666666666667E-3</v>
      </c>
      <c r="I290">
        <v>2020</v>
      </c>
      <c r="J290" t="s">
        <v>83</v>
      </c>
      <c r="K290" s="2" t="str">
        <f>HYPERLINK("https://www.nba.com/stats/events?CFID=&amp;CFPARAMS=&amp;GameEventID=261&amp;GameID=0022000457&amp;Season=2020-21&amp;flag=1&amp;title=Leonard%20driving%20floating%20Jump%20Shot%20(10%20PTS)", "Driving floating Jump Shot (10 PTS)")</f>
        <v>Driving floating Jump Shot (10 PTS)</v>
      </c>
      <c r="L290" s="2" t="str">
        <f>HYPERLINK("https://www.nba.com/game/...-vs-...-0022000457/play-by-play?watchFullGame=true", "LAC vs UTA - Q2 03:18.00")</f>
        <v>LAC vs UTA - Q2 03:18.00</v>
      </c>
      <c r="M290">
        <v>5.05</v>
      </c>
      <c r="N290">
        <v>7.57</v>
      </c>
      <c r="O290">
        <v>59.38</v>
      </c>
      <c r="P290">
        <v>-47</v>
      </c>
      <c r="Q290">
        <v>19</v>
      </c>
      <c r="R290">
        <v>7</v>
      </c>
      <c r="S290">
        <v>59</v>
      </c>
    </row>
    <row r="291" spans="1:19" hidden="1" x14ac:dyDescent="0.25">
      <c r="A291">
        <v>22000239</v>
      </c>
      <c r="B291" t="s">
        <v>18</v>
      </c>
      <c r="C291" t="s">
        <v>19</v>
      </c>
      <c r="D291">
        <v>89</v>
      </c>
      <c r="E291">
        <v>75</v>
      </c>
      <c r="F291">
        <v>14</v>
      </c>
      <c r="G291">
        <v>3</v>
      </c>
      <c r="H291" s="1">
        <v>1.6435185185185185E-3</v>
      </c>
      <c r="I291">
        <v>2020</v>
      </c>
      <c r="J291" t="s">
        <v>83</v>
      </c>
      <c r="K291" s="2" t="str">
        <f>HYPERLINK("https://www.nba.com/stats/events?CFID=&amp;CFPARAMS=&amp;GameEventID=422&amp;GameID=0022000239&amp;Season=2020-21&amp;flag=1&amp;title=Leonard%20turnaround%20Jump%20Shot%20(25%20PTS)", "Turnaround Jump Shot (25 PTS)")</f>
        <v>Turnaround Jump Shot (25 PTS)</v>
      </c>
      <c r="L291" s="2" t="str">
        <f>HYPERLINK("https://www.nba.com/game/...-vs-...-0022000239/play-by-play?watchFullGame=true", "LAC vs OKC - Q3 02:22.00")</f>
        <v>LAC vs OKC - Q3 02:22.00</v>
      </c>
      <c r="M291">
        <v>4.58</v>
      </c>
      <c r="N291">
        <v>7.7</v>
      </c>
      <c r="O291">
        <v>41.74</v>
      </c>
      <c r="P291">
        <v>41</v>
      </c>
      <c r="Q291">
        <v>20</v>
      </c>
      <c r="R291">
        <v>7</v>
      </c>
      <c r="S291">
        <v>41</v>
      </c>
    </row>
    <row r="292" spans="1:19" hidden="1" x14ac:dyDescent="0.25">
      <c r="A292">
        <v>21900339</v>
      </c>
      <c r="B292" t="s">
        <v>18</v>
      </c>
      <c r="C292" t="s">
        <v>95</v>
      </c>
      <c r="D292">
        <v>80</v>
      </c>
      <c r="E292">
        <v>68</v>
      </c>
      <c r="F292">
        <v>12</v>
      </c>
      <c r="G292">
        <v>3</v>
      </c>
      <c r="H292" s="1">
        <v>5.4745370370370373E-3</v>
      </c>
      <c r="I292">
        <v>2019</v>
      </c>
      <c r="J292" t="s">
        <v>83</v>
      </c>
      <c r="K292" s="2" t="str">
        <f>HYPERLINK("https://www.nba.com/stats/events?CFID=&amp;CFPARAMS=&amp;GameEventID=436&amp;GameID=0021900339&amp;Season=2019-20&amp;flag=1&amp;title=Leonard%20hook%20(20%20PTS)", "Hook (20 PTS)")</f>
        <v>Hook (20 PTS)</v>
      </c>
      <c r="L292" s="2" t="str">
        <f>HYPERLINK("https://www.nba.com/game/...-vs-...-0021900339/play-by-play?watchFullGame=true", "LAC vs WAS - Q3 07:53.00")</f>
        <v>LAC vs WAS - Q3 07:53.00</v>
      </c>
      <c r="M292">
        <v>3.64</v>
      </c>
      <c r="N292">
        <v>7.15</v>
      </c>
      <c r="O292">
        <v>56.06</v>
      </c>
      <c r="P292">
        <v>-30</v>
      </c>
      <c r="Q292">
        <v>15</v>
      </c>
      <c r="R292">
        <v>7</v>
      </c>
      <c r="S292">
        <v>56</v>
      </c>
    </row>
    <row r="293" spans="1:19" hidden="1" x14ac:dyDescent="0.25">
      <c r="A293">
        <v>22300458</v>
      </c>
      <c r="B293" t="s">
        <v>18</v>
      </c>
      <c r="C293" t="s">
        <v>88</v>
      </c>
      <c r="D293">
        <v>99</v>
      </c>
      <c r="E293">
        <v>87</v>
      </c>
      <c r="F293">
        <v>12</v>
      </c>
      <c r="G293">
        <v>4</v>
      </c>
      <c r="H293" s="1">
        <v>7.3726851851851852E-3</v>
      </c>
      <c r="I293">
        <v>2023</v>
      </c>
      <c r="J293" t="s">
        <v>83</v>
      </c>
      <c r="K293" s="2" t="str">
        <f>HYPERLINK("https://www.nba.com/stats/events?CFID=&amp;CFPARAMS=&amp;GameEventID=478&amp;GameID=0022300458&amp;Season=2023-24&amp;flag=1&amp;title=Leonard%20driving%20reverse%20DUNK%20(21%20PTS)%20(R.%20Westbrook%203%20AST)", "Driving reverse DUNK (21 PTS) (R. Westbrook 3 AST)")</f>
        <v>Driving reverse DUNK (21 PTS) (R. Westbrook 3 AST)</v>
      </c>
      <c r="L293" s="2" t="str">
        <f>HYPERLINK("https://www.nba.com/game/...-vs-...-0022300458/play-by-play?watchFullGame=true", "LAC vs MIA - Q4 10:37.00")</f>
        <v>LAC vs MIA - Q4 10:37.00</v>
      </c>
      <c r="M293">
        <v>2.21</v>
      </c>
      <c r="N293">
        <v>7.54</v>
      </c>
      <c r="O293">
        <v>52.45</v>
      </c>
      <c r="P293">
        <v>-12</v>
      </c>
      <c r="Q293">
        <v>18</v>
      </c>
      <c r="R293">
        <v>7</v>
      </c>
      <c r="S293">
        <v>52</v>
      </c>
    </row>
    <row r="294" spans="1:19" hidden="1" x14ac:dyDescent="0.25">
      <c r="A294">
        <v>22000775</v>
      </c>
      <c r="B294" t="s">
        <v>18</v>
      </c>
      <c r="C294" t="s">
        <v>87</v>
      </c>
      <c r="D294">
        <v>125</v>
      </c>
      <c r="E294">
        <v>108</v>
      </c>
      <c r="F294">
        <v>17</v>
      </c>
      <c r="G294">
        <v>4</v>
      </c>
      <c r="H294" s="1">
        <v>3.0671296296296297E-3</v>
      </c>
      <c r="I294">
        <v>2020</v>
      </c>
      <c r="J294" t="s">
        <v>83</v>
      </c>
      <c r="K294" s="2" t="str">
        <f>HYPERLINK("https://www.nba.com/stats/events?CFID=&amp;CFPARAMS=&amp;GameEventID=594&amp;GameID=0022000775&amp;Season=2020-21&amp;flag=1&amp;title=Leonard%20driving%20Layup%20(26%20PTS)%20(P.%20Beverley%202%20AST)", "Driving Layup (26 PTS) (P. Beverley 2 AST)")</f>
        <v>Driving Layup (26 PTS) (P. Beverley 2 AST)</v>
      </c>
      <c r="L294" s="2" t="str">
        <f>HYPERLINK("https://www.nba.com/game/...-vs-...-0022000775/play-by-play?watchFullGame=true", "LAC vs POR - Q4 04:25.00")</f>
        <v>LAC vs POR - Q4 04:25.00</v>
      </c>
      <c r="M294">
        <v>3.39</v>
      </c>
      <c r="N294">
        <v>7.31</v>
      </c>
      <c r="O294">
        <v>55.95</v>
      </c>
      <c r="P294">
        <v>-30</v>
      </c>
      <c r="Q294">
        <v>16</v>
      </c>
      <c r="R294">
        <v>7</v>
      </c>
      <c r="S294">
        <v>55</v>
      </c>
    </row>
    <row r="295" spans="1:19" hidden="1" x14ac:dyDescent="0.25">
      <c r="A295">
        <v>22400646</v>
      </c>
      <c r="B295" t="s">
        <v>18</v>
      </c>
      <c r="C295" t="s">
        <v>87</v>
      </c>
      <c r="D295">
        <v>67</v>
      </c>
      <c r="E295">
        <v>67</v>
      </c>
      <c r="F295">
        <v>0</v>
      </c>
      <c r="G295">
        <v>3</v>
      </c>
      <c r="H295" s="1">
        <v>6.099537037037037E-3</v>
      </c>
      <c r="I295">
        <v>2024</v>
      </c>
      <c r="J295" t="s">
        <v>83</v>
      </c>
      <c r="K295" s="2" t="str">
        <f>HYPERLINK("https://www.nba.com/stats/events?CFID=&amp;CFPARAMS=&amp;GameEventID=378&amp;GameID=0022400646&amp;Season=2024-25&amp;flag=1&amp;title=Leonard%20driving%20reverse%20Layup%20(18%20PTS)", "Driving reverse Layup (18 PTS)")</f>
        <v>Driving reverse Layup (18 PTS)</v>
      </c>
      <c r="L295" s="2" t="str">
        <f>HYPERLINK("https://www.nba.com/game/...-vs-...-0022400646/play-by-play?watchFullGame=true", "LAC vs MIL - Q3 08:47.00")</f>
        <v>LAC vs MIL - Q3 08:47.00</v>
      </c>
      <c r="M295">
        <v>3.32</v>
      </c>
      <c r="N295">
        <v>7.97</v>
      </c>
      <c r="O295">
        <v>54.9</v>
      </c>
      <c r="P295">
        <v>-25</v>
      </c>
      <c r="Q295">
        <v>22</v>
      </c>
      <c r="R295">
        <v>7</v>
      </c>
      <c r="S295">
        <v>54</v>
      </c>
    </row>
    <row r="296" spans="1:19" hidden="1" x14ac:dyDescent="0.25">
      <c r="A296">
        <v>22400715</v>
      </c>
      <c r="B296" t="s">
        <v>18</v>
      </c>
      <c r="C296" t="s">
        <v>87</v>
      </c>
      <c r="D296">
        <v>70</v>
      </c>
      <c r="E296">
        <v>88</v>
      </c>
      <c r="F296">
        <v>18</v>
      </c>
      <c r="G296">
        <v>3</v>
      </c>
      <c r="H296" s="1">
        <v>3.0787037037037037E-3</v>
      </c>
      <c r="I296">
        <v>2024</v>
      </c>
      <c r="J296" t="s">
        <v>83</v>
      </c>
      <c r="K296" s="2" t="str">
        <f>HYPERLINK("https://www.nba.com/stats/events?CFID=&amp;CFPARAMS=&amp;GameEventID=411&amp;GameID=0022400715&amp;Season=2024-25&amp;flag=1&amp;title=Leonard%20driving%20Layup%20(11%20PTS)%20(D.%20Jones%20Jr.%202%20AST)", "Driving Layup (11 PTS) (D. Jones Jr. 2 AST)")</f>
        <v>Driving Layup (11 PTS) (D. Jones Jr. 2 AST)</v>
      </c>
      <c r="L296" s="2" t="str">
        <f>HYPERLINK("https://www.nba.com/game/...-vs-...-0022400715/play-by-play?watchFullGame=true", "LAC vs LAL - Q3 04:26.00")</f>
        <v>LAC vs LAL - Q3 04:26.00</v>
      </c>
      <c r="M296">
        <v>3.23</v>
      </c>
      <c r="N296">
        <v>7.97</v>
      </c>
      <c r="O296">
        <v>45.34</v>
      </c>
      <c r="P296">
        <v>23</v>
      </c>
      <c r="Q296">
        <v>22</v>
      </c>
      <c r="R296">
        <v>7</v>
      </c>
      <c r="S296">
        <v>45</v>
      </c>
    </row>
    <row r="297" spans="1:19" hidden="1" x14ac:dyDescent="0.25">
      <c r="A297">
        <v>22400874</v>
      </c>
      <c r="B297" t="s">
        <v>18</v>
      </c>
      <c r="C297" t="s">
        <v>87</v>
      </c>
      <c r="D297">
        <v>83</v>
      </c>
      <c r="E297">
        <v>91</v>
      </c>
      <c r="F297">
        <v>8</v>
      </c>
      <c r="G297">
        <v>4</v>
      </c>
      <c r="H297" s="1">
        <v>6.4583333333333333E-3</v>
      </c>
      <c r="I297">
        <v>2024</v>
      </c>
      <c r="J297" t="s">
        <v>83</v>
      </c>
      <c r="K297" s="2" t="str">
        <f>HYPERLINK("https://www.nba.com/stats/events?CFID=&amp;CFPARAMS=&amp;GameEventID=503&amp;GameID=0022400874&amp;Season=2024-25&amp;flag=1&amp;title=Leonard%20driving%20Layup%20(25%20PTS)%20(I.%20Zubac%203%20AST)", "Driving Layup (25 PTS) (I. Zubac 3 AST)")</f>
        <v>Driving Layup (25 PTS) (I. Zubac 3 AST)</v>
      </c>
      <c r="L297" s="2" t="str">
        <f>HYPERLINK("https://www.nba.com/game/...-vs-...-0022400874/play-by-play?watchFullGame=true", "LAC vs LAL - Q4 09:18.00")</f>
        <v>LAC vs LAL - Q4 09:18.00</v>
      </c>
      <c r="M297">
        <v>3.23</v>
      </c>
      <c r="N297">
        <v>7.67</v>
      </c>
      <c r="O297">
        <v>44.85</v>
      </c>
      <c r="P297">
        <v>26</v>
      </c>
      <c r="Q297">
        <v>20</v>
      </c>
      <c r="R297">
        <v>7</v>
      </c>
      <c r="S297">
        <v>44</v>
      </c>
    </row>
    <row r="298" spans="1:19" hidden="1" x14ac:dyDescent="0.25">
      <c r="A298">
        <v>22301028</v>
      </c>
      <c r="B298" t="s">
        <v>18</v>
      </c>
      <c r="C298" t="s">
        <v>89</v>
      </c>
      <c r="D298">
        <v>75</v>
      </c>
      <c r="E298">
        <v>79</v>
      </c>
      <c r="F298">
        <v>4</v>
      </c>
      <c r="G298">
        <v>3</v>
      </c>
      <c r="H298" s="1">
        <v>3.0324074074074073E-3</v>
      </c>
      <c r="I298">
        <v>2023</v>
      </c>
      <c r="J298" t="s">
        <v>83</v>
      </c>
      <c r="K298" s="2" t="str">
        <f>HYPERLINK("https://www.nba.com/stats/events?CFID=&amp;CFPARAMS=&amp;GameEventID=379&amp;GameID=0022301028&amp;Season=2023-24&amp;flag=1&amp;title=Leonard%20Hook%20(16%20PTS)%20(J.%20Harden%2012%20AST)", "Hook (16 PTS) (J. Harden 12 AST)")</f>
        <v>Hook (16 PTS) (J. Harden 12 AST)</v>
      </c>
      <c r="L298" s="2" t="str">
        <f>HYPERLINK("https://www.nba.com/game/...-vs-...-0022301028/play-by-play?watchFullGame=true", "LAC vs PHI - Q3 04:22.00")</f>
        <v>LAC vs PHI - Q3 04:22.00</v>
      </c>
      <c r="M298">
        <v>3.21</v>
      </c>
      <c r="N298">
        <v>7.93</v>
      </c>
      <c r="O298">
        <v>54.66</v>
      </c>
      <c r="P298">
        <v>-23</v>
      </c>
      <c r="Q298">
        <v>22</v>
      </c>
      <c r="R298">
        <v>7</v>
      </c>
      <c r="S298">
        <v>54</v>
      </c>
    </row>
    <row r="299" spans="1:19" hidden="1" x14ac:dyDescent="0.25">
      <c r="A299">
        <v>21900051</v>
      </c>
      <c r="B299" t="s">
        <v>18</v>
      </c>
      <c r="C299" t="s">
        <v>92</v>
      </c>
      <c r="D299">
        <v>98</v>
      </c>
      <c r="E299">
        <v>83</v>
      </c>
      <c r="F299">
        <v>15</v>
      </c>
      <c r="G299">
        <v>4</v>
      </c>
      <c r="H299" s="1">
        <v>3.9004629629629628E-3</v>
      </c>
      <c r="I299">
        <v>2019</v>
      </c>
      <c r="J299" t="s">
        <v>83</v>
      </c>
      <c r="K299" s="2" t="str">
        <f>HYPERLINK("https://www.nba.com/stats/events?CFID=&amp;CFPARAMS=&amp;GameEventID=596&amp;GameID=0021900051&amp;Season=2019-20&amp;flag=1&amp;title=[LAC]%20Leonard%20dunk:%20Made%20(27%20PTS)", "[LAC] Leonard dunk: Made (27 PTS)")</f>
        <v>[LAC] Leonard dunk: Made (27 PTS)</v>
      </c>
      <c r="L299" s="2" t="str">
        <f>HYPERLINK("https://www.nba.com/game/...-vs-...-0021900051/play-by-play?watchFullGame=true", "LAC vs CHA - Q4 05:37.00")</f>
        <v>LAC vs CHA - Q4 05:37.00</v>
      </c>
      <c r="M299">
        <v>2.96</v>
      </c>
      <c r="N299">
        <v>7.93</v>
      </c>
      <c r="O299">
        <v>52.14</v>
      </c>
      <c r="P299">
        <v>-11</v>
      </c>
      <c r="Q299">
        <v>22</v>
      </c>
      <c r="R299">
        <v>7</v>
      </c>
      <c r="S299">
        <v>52</v>
      </c>
    </row>
    <row r="300" spans="1:19" hidden="1" x14ac:dyDescent="0.25">
      <c r="A300">
        <v>22000717</v>
      </c>
      <c r="B300" t="s">
        <v>18</v>
      </c>
      <c r="C300" t="s">
        <v>19</v>
      </c>
      <c r="D300">
        <v>41</v>
      </c>
      <c r="E300">
        <v>42</v>
      </c>
      <c r="F300">
        <v>1</v>
      </c>
      <c r="G300">
        <v>2</v>
      </c>
      <c r="H300" s="1">
        <v>4.178240740740741E-3</v>
      </c>
      <c r="I300">
        <v>2020</v>
      </c>
      <c r="J300" t="s">
        <v>83</v>
      </c>
      <c r="K300" s="2" t="str">
        <f>HYPERLINK("https://www.nba.com/stats/events?CFID=&amp;CFPARAMS=&amp;GameEventID=218&amp;GameID=0022000717&amp;Season=2020-21&amp;flag=1&amp;title=Leonard%20turnaround%20Jump%20Shot%20(10%20PTS)", "Turnaround Jump Shot (10 PTS)")</f>
        <v>Turnaround Jump Shot (10 PTS)</v>
      </c>
      <c r="L300" s="2" t="str">
        <f>HYPERLINK("https://www.nba.com/game/...-vs-...-0022000717/play-by-play?watchFullGame=true", "LAC vs MIL - Q2 06:01.00")</f>
        <v>LAC vs MIL - Q2 06:01.00</v>
      </c>
      <c r="M300">
        <v>3.16</v>
      </c>
      <c r="N300">
        <v>7.18</v>
      </c>
      <c r="O300">
        <v>44.43</v>
      </c>
      <c r="P300">
        <v>28</v>
      </c>
      <c r="Q300">
        <v>15</v>
      </c>
      <c r="R300">
        <v>7</v>
      </c>
      <c r="S300">
        <v>44</v>
      </c>
    </row>
    <row r="301" spans="1:19" hidden="1" x14ac:dyDescent="0.25">
      <c r="A301">
        <v>21900576</v>
      </c>
      <c r="B301" t="s">
        <v>18</v>
      </c>
      <c r="C301" t="s">
        <v>90</v>
      </c>
      <c r="D301">
        <v>54</v>
      </c>
      <c r="E301">
        <v>53</v>
      </c>
      <c r="F301">
        <v>1</v>
      </c>
      <c r="G301">
        <v>3</v>
      </c>
      <c r="H301" s="1">
        <v>7.5347222222222222E-3</v>
      </c>
      <c r="I301">
        <v>2019</v>
      </c>
      <c r="J301" t="s">
        <v>83</v>
      </c>
      <c r="K301" s="2" t="str">
        <f>HYPERLINK("https://www.nba.com/stats/events?CFID=&amp;CFPARAMS=&amp;GameEventID=364&amp;GameID=0021900576&amp;Season=2019-20&amp;flag=1&amp;title=Leonard%20layup%20(21%20PTS)", "Layup (21 PTS)")</f>
        <v>Layup (21 PTS)</v>
      </c>
      <c r="L301" s="2" t="str">
        <f>HYPERLINK("https://www.nba.com/game/...-vs-...-0021900576/play-by-play?watchFullGame=true", "LAC vs GSW - Q3 10:51.00")</f>
        <v>LAC vs GSW - Q3 10:51.00</v>
      </c>
      <c r="M301">
        <v>3</v>
      </c>
      <c r="N301">
        <v>7.8</v>
      </c>
      <c r="O301">
        <v>52.87</v>
      </c>
      <c r="P301">
        <v>-14</v>
      </c>
      <c r="Q301">
        <v>21</v>
      </c>
      <c r="R301">
        <v>7</v>
      </c>
      <c r="S301">
        <v>52</v>
      </c>
    </row>
    <row r="302" spans="1:19" hidden="1" x14ac:dyDescent="0.25">
      <c r="A302">
        <v>22201004</v>
      </c>
      <c r="B302" t="s">
        <v>18</v>
      </c>
      <c r="C302" t="s">
        <v>87</v>
      </c>
      <c r="D302">
        <v>91</v>
      </c>
      <c r="E302">
        <v>82</v>
      </c>
      <c r="F302">
        <v>9</v>
      </c>
      <c r="G302">
        <v>4</v>
      </c>
      <c r="H302" s="1">
        <v>4.2476851851851851E-3</v>
      </c>
      <c r="I302">
        <v>2022</v>
      </c>
      <c r="J302" t="s">
        <v>83</v>
      </c>
      <c r="K302" s="2" t="str">
        <f>HYPERLINK("https://www.nba.com/stats/events?CFID=&amp;CFPARAMS=&amp;GameEventID=543&amp;GameID=0022201004&amp;Season=2022-23&amp;flag=1&amp;title=Leonard%20driving%20Layup%20(31%20PTS)", "Driving Layup (31 PTS)")</f>
        <v>Driving Layup (31 PTS)</v>
      </c>
      <c r="L302" s="2" t="str">
        <f>HYPERLINK("https://www.nba.com/game/...-vs-...-0022201004/play-by-play?watchFullGame=true", "LAC vs NYK - Q4 06:07.00")</f>
        <v>LAC vs NYK - Q4 06:07.00</v>
      </c>
      <c r="M302">
        <v>2.99</v>
      </c>
      <c r="N302">
        <v>7.41</v>
      </c>
      <c r="O302">
        <v>54.9</v>
      </c>
      <c r="P302">
        <v>-25</v>
      </c>
      <c r="Q302">
        <v>17</v>
      </c>
      <c r="R302">
        <v>7</v>
      </c>
      <c r="S302">
        <v>54</v>
      </c>
    </row>
    <row r="303" spans="1:19" hidden="1" x14ac:dyDescent="0.25">
      <c r="A303">
        <v>22300646</v>
      </c>
      <c r="B303" t="s">
        <v>18</v>
      </c>
      <c r="C303" t="s">
        <v>88</v>
      </c>
      <c r="D303">
        <v>74</v>
      </c>
      <c r="E303">
        <v>46</v>
      </c>
      <c r="F303">
        <v>28</v>
      </c>
      <c r="G303">
        <v>3</v>
      </c>
      <c r="H303" s="1">
        <v>4.1435185185185186E-3</v>
      </c>
      <c r="I303">
        <v>2023</v>
      </c>
      <c r="J303" t="s">
        <v>83</v>
      </c>
      <c r="K303" s="2" t="str">
        <f>HYPERLINK("https://www.nba.com/stats/events?CFID=&amp;CFPARAMS=&amp;GameEventID=393&amp;GameID=0022300646&amp;Season=2023-24&amp;flag=1&amp;title=Leonard%20driving%20DUNK%20(18%20PTS)%20(J.%20Harden%207%20AST)", "Driving DUNK (18 PTS) (J. Harden 7 AST)")</f>
        <v>Driving DUNK (18 PTS) (J. Harden 7 AST)</v>
      </c>
      <c r="L303" s="2" t="str">
        <f>HYPERLINK("https://www.nba.com/game/...-vs-...-0022300646/play-by-play?watchFullGame=true", "LAC vs BOS - Q3 05:58.00")</f>
        <v>LAC vs BOS - Q3 05:58.00</v>
      </c>
      <c r="M303">
        <v>1.79</v>
      </c>
      <c r="N303">
        <v>7.18</v>
      </c>
      <c r="O303">
        <v>51.96</v>
      </c>
      <c r="P303">
        <v>-10</v>
      </c>
      <c r="Q303">
        <v>15</v>
      </c>
      <c r="R303">
        <v>7</v>
      </c>
      <c r="S303">
        <v>51</v>
      </c>
    </row>
    <row r="304" spans="1:19" hidden="1" x14ac:dyDescent="0.25">
      <c r="A304">
        <v>22300343</v>
      </c>
      <c r="B304" t="s">
        <v>18</v>
      </c>
      <c r="C304" t="s">
        <v>87</v>
      </c>
      <c r="D304">
        <v>86</v>
      </c>
      <c r="E304">
        <v>71</v>
      </c>
      <c r="F304">
        <v>15</v>
      </c>
      <c r="G304">
        <v>3</v>
      </c>
      <c r="H304" s="1">
        <v>6.3888888888888893E-3</v>
      </c>
      <c r="I304">
        <v>2023</v>
      </c>
      <c r="J304" t="s">
        <v>83</v>
      </c>
      <c r="K304" s="2" t="str">
        <f>HYPERLINK("https://www.nba.com/stats/events?CFID=&amp;CFPARAMS=&amp;GameEventID=398&amp;GameID=0022300343&amp;Season=2023-24&amp;flag=1&amp;title=Leonard%20cutting%20Layup%20(25%20PTS)%20(P.%20George%205%20AST)", "Cutting Layup (25 PTS) (P. George 5 AST)")</f>
        <v>Cutting Layup (25 PTS) (P. George 5 AST)</v>
      </c>
      <c r="L304" s="2" t="str">
        <f>HYPERLINK("https://www.nba.com/game/...-vs-...-0022300343/play-by-play?watchFullGame=true", "LAC vs NYK - Q3 09:12.00")</f>
        <v>LAC vs NYK - Q3 09:12.00</v>
      </c>
      <c r="M304">
        <v>2.92</v>
      </c>
      <c r="N304">
        <v>7.28</v>
      </c>
      <c r="O304">
        <v>45.1</v>
      </c>
      <c r="P304">
        <v>25</v>
      </c>
      <c r="Q304">
        <v>16</v>
      </c>
      <c r="R304">
        <v>7</v>
      </c>
      <c r="S304">
        <v>45</v>
      </c>
    </row>
    <row r="305" spans="1:19" hidden="1" x14ac:dyDescent="0.25">
      <c r="A305">
        <v>21900485</v>
      </c>
      <c r="B305" t="s">
        <v>18</v>
      </c>
      <c r="C305" t="s">
        <v>90</v>
      </c>
      <c r="D305">
        <v>46</v>
      </c>
      <c r="E305">
        <v>41</v>
      </c>
      <c r="F305">
        <v>5</v>
      </c>
      <c r="G305">
        <v>2</v>
      </c>
      <c r="H305" s="1">
        <v>4.5023148148148149E-3</v>
      </c>
      <c r="I305">
        <v>2019</v>
      </c>
      <c r="J305" t="s">
        <v>83</v>
      </c>
      <c r="K305" s="2" t="str">
        <f>HYPERLINK("https://www.nba.com/stats/events?CFID=&amp;CFPARAMS=&amp;GameEventID=234&amp;GameID=0021900485&amp;Season=2019-20&amp;flag=1&amp;title=Leonard%20layup%20(4%20PTS)%20(L.%20Williams%205%20AST)", "Layup (4 PTS) (L. Williams 5 AST)")</f>
        <v>Layup (4 PTS) (L. Williams 5 AST)</v>
      </c>
      <c r="L305" s="2" t="str">
        <f>HYPERLINK("https://www.nba.com/game/...-vs-...-0021900485/play-by-play?watchFullGame=true", "LAC vs UTA - Q2 06:29.00")</f>
        <v>LAC vs UTA - Q2 06:29.00</v>
      </c>
      <c r="M305">
        <v>2.88</v>
      </c>
      <c r="N305">
        <v>7.28</v>
      </c>
      <c r="O305">
        <v>53.85</v>
      </c>
      <c r="P305">
        <v>-19</v>
      </c>
      <c r="Q305">
        <v>16</v>
      </c>
      <c r="R305">
        <v>7</v>
      </c>
      <c r="S305">
        <v>53</v>
      </c>
    </row>
    <row r="306" spans="1:19" hidden="1" x14ac:dyDescent="0.25">
      <c r="A306">
        <v>42300172</v>
      </c>
      <c r="B306" t="s">
        <v>18</v>
      </c>
      <c r="C306" t="s">
        <v>87</v>
      </c>
      <c r="D306">
        <v>90</v>
      </c>
      <c r="E306">
        <v>93</v>
      </c>
      <c r="F306">
        <v>3</v>
      </c>
      <c r="G306">
        <v>4</v>
      </c>
      <c r="H306" s="1">
        <v>2.3726851851851852E-4</v>
      </c>
      <c r="I306" t="s">
        <v>93</v>
      </c>
      <c r="J306" t="s">
        <v>83</v>
      </c>
      <c r="K306" s="2" t="str">
        <f>HYPERLINK("https://www.nba.com/stats/events?CFID=&amp;CFPARAMS=&amp;GameEventID=675&amp;GameID=0042300172&amp;Season=2023-24&amp;flag=1&amp;title=Leonard%20cutting%20Layup%20(15%20PTS)%20(J.%20Harden%208%20AST)", "Cutting Layup (15 PTS) (J. Harden 8 AST)")</f>
        <v>Cutting Layup (15 PTS) (J. Harden 8 AST)</v>
      </c>
      <c r="L306" s="2" t="str">
        <f>HYPERLINK("https://www.nba.com/game/...-vs-...-0042300172/play-by-play?watchFullGame=true", "LAC vs DAL - Q4 00:20.50")</f>
        <v>LAC vs DAL - Q4 00:20.50</v>
      </c>
      <c r="M306">
        <v>2.77</v>
      </c>
      <c r="N306">
        <v>7.67</v>
      </c>
      <c r="O306">
        <v>46.08</v>
      </c>
      <c r="P306">
        <v>7</v>
      </c>
      <c r="Q306">
        <v>46</v>
      </c>
      <c r="R306">
        <v>7</v>
      </c>
      <c r="S306">
        <v>46</v>
      </c>
    </row>
    <row r="307" spans="1:19" hidden="1" x14ac:dyDescent="0.25">
      <c r="A307">
        <v>22000867</v>
      </c>
      <c r="B307" t="s">
        <v>18</v>
      </c>
      <c r="C307" t="s">
        <v>87</v>
      </c>
      <c r="D307">
        <v>85</v>
      </c>
      <c r="E307">
        <v>59</v>
      </c>
      <c r="F307">
        <v>26</v>
      </c>
      <c r="G307">
        <v>3</v>
      </c>
      <c r="H307" s="1">
        <v>5.4861111111111109E-3</v>
      </c>
      <c r="I307">
        <v>2020</v>
      </c>
      <c r="J307" t="s">
        <v>83</v>
      </c>
      <c r="K307" s="2" t="str">
        <f>HYPERLINK("https://www.nba.com/stats/events?CFID=&amp;CFPARAMS=&amp;GameEventID=398&amp;GameID=0022000867&amp;Season=2020-21&amp;flag=1&amp;title=Leonard%20driving%20Layup%20(14%20PTS)", "Driving Layup (14 PTS)")</f>
        <v>Driving Layup (14 PTS)</v>
      </c>
      <c r="L307" s="2" t="str">
        <f>HYPERLINK("https://www.nba.com/game/...-vs-...-0022000867/play-by-play?watchFullGame=true", "LAC vs MIN - Q3 07:54.00")</f>
        <v>LAC vs MIN - Q3 07:54.00</v>
      </c>
      <c r="M307">
        <v>2.77</v>
      </c>
      <c r="N307">
        <v>7.57</v>
      </c>
      <c r="O307">
        <v>45.9</v>
      </c>
      <c r="P307">
        <v>20</v>
      </c>
      <c r="Q307">
        <v>19</v>
      </c>
      <c r="R307">
        <v>7</v>
      </c>
      <c r="S307">
        <v>45</v>
      </c>
    </row>
    <row r="308" spans="1:19" hidden="1" x14ac:dyDescent="0.25">
      <c r="A308">
        <v>22301003</v>
      </c>
      <c r="B308" t="s">
        <v>18</v>
      </c>
      <c r="C308" t="s">
        <v>87</v>
      </c>
      <c r="D308">
        <v>72</v>
      </c>
      <c r="E308">
        <v>58</v>
      </c>
      <c r="F308">
        <v>14</v>
      </c>
      <c r="G308">
        <v>3</v>
      </c>
      <c r="H308" s="1">
        <v>4.43287037037037E-3</v>
      </c>
      <c r="I308">
        <v>2023</v>
      </c>
      <c r="J308" t="s">
        <v>83</v>
      </c>
      <c r="K308" s="2" t="str">
        <f>HYPERLINK("https://www.nba.com/stats/events?CFID=&amp;CFPARAMS=&amp;GameEventID=325&amp;GameID=0022301003&amp;Season=2023-24&amp;flag=1&amp;title=Leonard%20running%20finger%20roll%20Layup%20(15%20PTS)%20(J.%20Harden%2010%20AST)", "Running finger roll Layup (15 PTS) (J. Harden 10 AST)")</f>
        <v>Running finger roll Layup (15 PTS) (J. Harden 10 AST)</v>
      </c>
      <c r="L308" s="2" t="str">
        <f>HYPERLINK("https://www.nba.com/game/...-vs-...-0022301003/play-by-play?watchFullGame=true", "LAC vs POR - Q3 06:23.00")</f>
        <v>LAC vs POR - Q3 06:23.00</v>
      </c>
      <c r="M308">
        <v>2.75</v>
      </c>
      <c r="N308">
        <v>7.97</v>
      </c>
      <c r="O308">
        <v>46.81</v>
      </c>
      <c r="P308">
        <v>16</v>
      </c>
      <c r="Q308">
        <v>22</v>
      </c>
      <c r="R308">
        <v>7</v>
      </c>
      <c r="S308">
        <v>46</v>
      </c>
    </row>
    <row r="309" spans="1:19" hidden="1" x14ac:dyDescent="0.25">
      <c r="A309">
        <v>22000775</v>
      </c>
      <c r="B309" t="s">
        <v>18</v>
      </c>
      <c r="C309" t="s">
        <v>87</v>
      </c>
      <c r="D309">
        <v>97</v>
      </c>
      <c r="E309">
        <v>87</v>
      </c>
      <c r="F309">
        <v>10</v>
      </c>
      <c r="G309">
        <v>3</v>
      </c>
      <c r="H309" s="1">
        <v>8.2175925925925927E-4</v>
      </c>
      <c r="I309">
        <v>2020</v>
      </c>
      <c r="J309" t="s">
        <v>83</v>
      </c>
      <c r="K309" s="2" t="str">
        <f>HYPERLINK("https://www.nba.com/stats/events?CFID=&amp;CFPARAMS=&amp;GameEventID=461&amp;GameID=0022000775&amp;Season=2020-21&amp;flag=1&amp;title=Leonard%20driving%20Layup%20(20%20PTS)", "Driving Layup (20 PTS)")</f>
        <v>Driving Layup (20 PTS)</v>
      </c>
      <c r="L309" s="2" t="str">
        <f>HYPERLINK("https://www.nba.com/game/...-vs-...-0022000775/play-by-play?watchFullGame=true", "LAC vs POR - Q3 01:11.00")</f>
        <v>LAC vs POR - Q3 01:11.00</v>
      </c>
      <c r="M309">
        <v>2.74</v>
      </c>
      <c r="N309">
        <v>7.57</v>
      </c>
      <c r="O309">
        <v>53.99</v>
      </c>
      <c r="P309">
        <v>-20</v>
      </c>
      <c r="Q309">
        <v>19</v>
      </c>
      <c r="R309">
        <v>7</v>
      </c>
      <c r="S309">
        <v>53</v>
      </c>
    </row>
    <row r="310" spans="1:19" hidden="1" x14ac:dyDescent="0.25">
      <c r="A310">
        <v>21900051</v>
      </c>
      <c r="B310" t="s">
        <v>18</v>
      </c>
      <c r="C310" t="s">
        <v>90</v>
      </c>
      <c r="D310">
        <v>62</v>
      </c>
      <c r="E310">
        <v>54</v>
      </c>
      <c r="F310">
        <v>8</v>
      </c>
      <c r="G310">
        <v>3</v>
      </c>
      <c r="H310" s="1">
        <v>7.5347222222222222E-3</v>
      </c>
      <c r="I310">
        <v>2019</v>
      </c>
      <c r="J310" t="s">
        <v>83</v>
      </c>
      <c r="K310" s="2" t="str">
        <f>HYPERLINK("https://www.nba.com/stats/events?CFID=&amp;CFPARAMS=&amp;GameEventID=363&amp;GameID=0021900051&amp;Season=2019-20&amp;flag=1&amp;title=[LAC]%20Leonard%20layup:%20Made%20(20%20PTS)", "[LAC] Leonard layup: Made (20 PTS)")</f>
        <v>[LAC] Leonard layup: Made (20 PTS)</v>
      </c>
      <c r="L310" s="2" t="str">
        <f>HYPERLINK("https://www.nba.com/game/...-vs-...-0021900051/play-by-play?watchFullGame=true", "LAC vs CHA - Q3 10:51.00")</f>
        <v>LAC vs CHA - Q3 10:51.00</v>
      </c>
      <c r="M310">
        <v>2.74</v>
      </c>
      <c r="N310">
        <v>7.88</v>
      </c>
      <c r="O310">
        <v>50.77</v>
      </c>
      <c r="P310">
        <v>-4</v>
      </c>
      <c r="Q310">
        <v>22</v>
      </c>
      <c r="R310">
        <v>7</v>
      </c>
      <c r="S310">
        <v>50</v>
      </c>
    </row>
    <row r="311" spans="1:19" hidden="1" x14ac:dyDescent="0.25">
      <c r="A311">
        <v>21900523</v>
      </c>
      <c r="B311" t="s">
        <v>18</v>
      </c>
      <c r="C311" t="s">
        <v>90</v>
      </c>
      <c r="D311">
        <v>10</v>
      </c>
      <c r="E311">
        <v>16</v>
      </c>
      <c r="F311">
        <v>6</v>
      </c>
      <c r="G311">
        <v>1</v>
      </c>
      <c r="H311" s="1">
        <v>4.8726851851851848E-3</v>
      </c>
      <c r="I311">
        <v>2019</v>
      </c>
      <c r="J311" t="s">
        <v>83</v>
      </c>
      <c r="K311" s="2" t="str">
        <f>HYPERLINK("https://www.nba.com/stats/events?CFID=&amp;CFPARAMS=&amp;GameEventID=63&amp;GameID=0021900523&amp;Season=2019-20&amp;flag=1&amp;title=Leonard%20layup%20(4%20PTS)", "Layup (4 PTS)")</f>
        <v>Layup (4 PTS)</v>
      </c>
      <c r="L311" s="2" t="str">
        <f>HYPERLINK("https://www.nba.com/game/...-vs-...-0021900523/play-by-play?watchFullGame=true", "LAC vs MEM - Q1 07:01.00")</f>
        <v>LAC vs MEM - Q1 07:01.00</v>
      </c>
      <c r="M311">
        <v>2.65</v>
      </c>
      <c r="N311">
        <v>7.54</v>
      </c>
      <c r="O311">
        <v>47.73</v>
      </c>
      <c r="P311">
        <v>11</v>
      </c>
      <c r="Q311">
        <v>18</v>
      </c>
      <c r="R311">
        <v>7</v>
      </c>
      <c r="S311">
        <v>47</v>
      </c>
    </row>
    <row r="312" spans="1:19" hidden="1" x14ac:dyDescent="0.25">
      <c r="A312">
        <v>21900523</v>
      </c>
      <c r="B312" t="s">
        <v>18</v>
      </c>
      <c r="C312" t="s">
        <v>90</v>
      </c>
      <c r="D312">
        <v>40</v>
      </c>
      <c r="E312">
        <v>51</v>
      </c>
      <c r="F312">
        <v>11</v>
      </c>
      <c r="G312">
        <v>2</v>
      </c>
      <c r="H312" s="1">
        <v>5.37037037037037E-3</v>
      </c>
      <c r="I312">
        <v>2019</v>
      </c>
      <c r="J312" t="s">
        <v>83</v>
      </c>
      <c r="K312" s="2" t="str">
        <f>HYPERLINK("https://www.nba.com/stats/events?CFID=&amp;CFPARAMS=&amp;GameEventID=233&amp;GameID=0021900523&amp;Season=2019-20&amp;flag=1&amp;title=Leonard%20layup%20(9%20PTS)%20(L.%20Williams%205%20AST)", "Layup (9 PTS) (L. Williams 5 AST)")</f>
        <v>Layup (9 PTS) (L. Williams 5 AST)</v>
      </c>
      <c r="L312" s="2" t="str">
        <f>HYPERLINK("https://www.nba.com/game/...-vs-...-0021900523/play-by-play?watchFullGame=true", "LAC vs MEM - Q2 07:44.00")</f>
        <v>LAC vs MEM - Q2 07:44.00</v>
      </c>
      <c r="M312">
        <v>2.63</v>
      </c>
      <c r="N312">
        <v>7.8</v>
      </c>
      <c r="O312">
        <v>49.69</v>
      </c>
      <c r="P312">
        <v>2</v>
      </c>
      <c r="Q312">
        <v>21</v>
      </c>
      <c r="R312">
        <v>7</v>
      </c>
      <c r="S312">
        <v>49</v>
      </c>
    </row>
    <row r="313" spans="1:19" hidden="1" x14ac:dyDescent="0.25">
      <c r="A313">
        <v>22200701</v>
      </c>
      <c r="B313" t="s">
        <v>18</v>
      </c>
      <c r="C313" t="s">
        <v>87</v>
      </c>
      <c r="D313">
        <v>112</v>
      </c>
      <c r="E313">
        <v>98</v>
      </c>
      <c r="F313">
        <v>14</v>
      </c>
      <c r="G313">
        <v>4</v>
      </c>
      <c r="H313" s="1">
        <v>5.4166666666666664E-4</v>
      </c>
      <c r="I313">
        <v>2022</v>
      </c>
      <c r="J313" t="s">
        <v>83</v>
      </c>
      <c r="K313" s="2" t="str">
        <f>HYPERLINK("https://www.nba.com/stats/events?CFID=&amp;CFPARAMS=&amp;GameEventID=604&amp;GameID=0022200701&amp;Season=2022-23&amp;flag=1&amp;title=Leonard%20Layup%20(30%20PTS)", "Layup (30 PTS)")</f>
        <v>Layup (30 PTS)</v>
      </c>
      <c r="L313" s="2" t="str">
        <f>HYPERLINK("https://www.nba.com/game/...-vs-...-0022200701/play-by-play?watchFullGame=true", "LAC vs DAL - Q4 00:46.80")</f>
        <v>LAC vs DAL - Q4 00:46.80</v>
      </c>
      <c r="M313">
        <v>2.6</v>
      </c>
      <c r="N313">
        <v>7.05</v>
      </c>
      <c r="O313">
        <v>45.59</v>
      </c>
      <c r="P313">
        <v>22</v>
      </c>
      <c r="Q313">
        <v>14</v>
      </c>
      <c r="R313">
        <v>7</v>
      </c>
      <c r="S313">
        <v>45</v>
      </c>
    </row>
    <row r="314" spans="1:19" hidden="1" x14ac:dyDescent="0.25">
      <c r="A314">
        <v>22000308</v>
      </c>
      <c r="B314" t="s">
        <v>18</v>
      </c>
      <c r="C314" t="s">
        <v>89</v>
      </c>
      <c r="D314">
        <v>59</v>
      </c>
      <c r="E314">
        <v>60</v>
      </c>
      <c r="F314">
        <v>1</v>
      </c>
      <c r="G314">
        <v>2</v>
      </c>
      <c r="H314" s="1">
        <v>1.9212962962962964E-3</v>
      </c>
      <c r="I314">
        <v>2020</v>
      </c>
      <c r="J314" t="s">
        <v>83</v>
      </c>
      <c r="K314" s="2" t="str">
        <f>HYPERLINK("https://www.nba.com/stats/events?CFID=&amp;CFPARAMS=&amp;GameEventID=271&amp;GameID=0022000308&amp;Season=2020-21&amp;flag=1&amp;title=Leonard%20driving%20Hook%20(12%20PTS)", "Driving Hook (12 PTS)")</f>
        <v>Driving Hook (12 PTS)</v>
      </c>
      <c r="L314" s="2" t="str">
        <f>HYPERLINK("https://www.nba.com/game/...-vs-...-0022000308/play-by-play?watchFullGame=true", "LAC vs NYK - Q2 02:46.00")</f>
        <v>LAC vs NYK - Q2 02:46.00</v>
      </c>
      <c r="M314">
        <v>2.59</v>
      </c>
      <c r="N314">
        <v>7.97</v>
      </c>
      <c r="O314">
        <v>47.37</v>
      </c>
      <c r="P314">
        <v>13</v>
      </c>
      <c r="Q314">
        <v>22</v>
      </c>
      <c r="R314">
        <v>7</v>
      </c>
      <c r="S314">
        <v>47</v>
      </c>
    </row>
    <row r="315" spans="1:19" hidden="1" x14ac:dyDescent="0.25">
      <c r="A315">
        <v>42000221</v>
      </c>
      <c r="B315" t="s">
        <v>18</v>
      </c>
      <c r="C315" t="s">
        <v>87</v>
      </c>
      <c r="D315">
        <v>9</v>
      </c>
      <c r="E315">
        <v>10</v>
      </c>
      <c r="F315">
        <v>1</v>
      </c>
      <c r="G315">
        <v>1</v>
      </c>
      <c r="H315" s="1">
        <v>5.5787037037037038E-3</v>
      </c>
      <c r="I315" t="s">
        <v>94</v>
      </c>
      <c r="J315" t="s">
        <v>83</v>
      </c>
      <c r="K315" s="2" t="str">
        <f>HYPERLINK("https://www.nba.com/stats/events?CFID=&amp;CFPARAMS=&amp;GameEventID=41&amp;GameID=0042000221&amp;Season=2020-21&amp;flag=1&amp;title=Leonard%20putback%20Layup%20(2%20PTS)", "Putback Layup (2 PTS)")</f>
        <v>Putback Layup (2 PTS)</v>
      </c>
      <c r="L315" s="2" t="str">
        <f>HYPERLINK("https://www.nba.com/game/...-vs-...-0042000221/play-by-play?watchFullGame=true", "LAC vs UTA - Q1 08:02.00")</f>
        <v>LAC vs UTA - Q1 08:02.00</v>
      </c>
      <c r="M315">
        <v>2.5499999999999998</v>
      </c>
      <c r="N315">
        <v>7.84</v>
      </c>
      <c r="O315">
        <v>47.13</v>
      </c>
      <c r="P315">
        <v>7</v>
      </c>
      <c r="Q315">
        <v>47</v>
      </c>
      <c r="R315">
        <v>7</v>
      </c>
      <c r="S315">
        <v>47</v>
      </c>
    </row>
    <row r="316" spans="1:19" hidden="1" x14ac:dyDescent="0.25">
      <c r="A316">
        <v>22301017</v>
      </c>
      <c r="B316" t="s">
        <v>18</v>
      </c>
      <c r="C316" t="s">
        <v>87</v>
      </c>
      <c r="D316">
        <v>83</v>
      </c>
      <c r="E316">
        <v>60</v>
      </c>
      <c r="F316">
        <v>23</v>
      </c>
      <c r="G316">
        <v>3</v>
      </c>
      <c r="H316" s="1">
        <v>5.9259259259259256E-3</v>
      </c>
      <c r="I316">
        <v>2023</v>
      </c>
      <c r="J316" t="s">
        <v>83</v>
      </c>
      <c r="K316" s="2" t="str">
        <f>HYPERLINK("https://www.nba.com/stats/events?CFID=&amp;CFPARAMS=&amp;GameEventID=367&amp;GameID=0022301017&amp;Season=2023-24&amp;flag=1&amp;title=Leonard%20driving%20Layup%20(17%20PTS)%20(J.%20Harden%207%20AST)", "Driving Layup (17 PTS) (J. Harden 7 AST)")</f>
        <v>Driving Layup (17 PTS) (J. Harden 7 AST)</v>
      </c>
      <c r="L316" s="2" t="str">
        <f>HYPERLINK("https://www.nba.com/game/...-vs-...-0022301017/play-by-play?watchFullGame=true", "LAC vs POR - Q3 08:32.00")</f>
        <v>LAC vs POR - Q3 08:32.00</v>
      </c>
      <c r="M316">
        <v>2.5299999999999998</v>
      </c>
      <c r="N316">
        <v>7.44</v>
      </c>
      <c r="O316">
        <v>46.32</v>
      </c>
      <c r="P316">
        <v>18</v>
      </c>
      <c r="Q316">
        <v>17</v>
      </c>
      <c r="R316">
        <v>7</v>
      </c>
      <c r="S316">
        <v>46</v>
      </c>
    </row>
    <row r="317" spans="1:19" hidden="1" x14ac:dyDescent="0.25">
      <c r="A317">
        <v>42000223</v>
      </c>
      <c r="B317" t="s">
        <v>18</v>
      </c>
      <c r="C317" t="s">
        <v>87</v>
      </c>
      <c r="D317">
        <v>12</v>
      </c>
      <c r="E317">
        <v>10</v>
      </c>
      <c r="F317">
        <v>2</v>
      </c>
      <c r="G317">
        <v>1</v>
      </c>
      <c r="H317" s="1">
        <v>3.8888888888888888E-3</v>
      </c>
      <c r="I317" t="s">
        <v>94</v>
      </c>
      <c r="J317" t="s">
        <v>83</v>
      </c>
      <c r="K317" s="2" t="str">
        <f>HYPERLINK("https://www.nba.com/stats/events?CFID=&amp;CFPARAMS=&amp;GameEventID=66&amp;GameID=0042000223&amp;Season=2020-21&amp;flag=1&amp;title=Leonard%20driving%20reverse%20Layup%20(2%20PTS)%20(N.%20Batum%201%20AST)", "Driving reverse Layup (2 PTS) (N. Batum 1 AST)")</f>
        <v>Driving reverse Layup (2 PTS) (N. Batum 1 AST)</v>
      </c>
      <c r="L317" s="2" t="str">
        <f>HYPERLINK("https://www.nba.com/game/...-vs-...-0042000223/play-by-play?watchFullGame=true", "LAC vs UTA - Q1 05:36.00")</f>
        <v>LAC vs UTA - Q1 05:36.00</v>
      </c>
      <c r="M317">
        <v>2.5099999999999998</v>
      </c>
      <c r="N317">
        <v>7.67</v>
      </c>
      <c r="O317">
        <v>53.12</v>
      </c>
      <c r="P317">
        <v>7</v>
      </c>
      <c r="Q317">
        <v>53</v>
      </c>
      <c r="R317">
        <v>7</v>
      </c>
      <c r="S317">
        <v>53</v>
      </c>
    </row>
    <row r="318" spans="1:19" hidden="1" x14ac:dyDescent="0.25">
      <c r="A318">
        <v>22200352</v>
      </c>
      <c r="B318" t="s">
        <v>18</v>
      </c>
      <c r="C318" t="s">
        <v>87</v>
      </c>
      <c r="D318">
        <v>110</v>
      </c>
      <c r="E318">
        <v>105</v>
      </c>
      <c r="F318">
        <v>5</v>
      </c>
      <c r="G318">
        <v>4</v>
      </c>
      <c r="H318" s="1">
        <v>3.414351851851852E-3</v>
      </c>
      <c r="I318">
        <v>2022</v>
      </c>
      <c r="J318" t="s">
        <v>83</v>
      </c>
      <c r="K318" s="2" t="str">
        <f>HYPERLINK("https://www.nba.com/stats/events?CFID=&amp;CFPARAMS=&amp;GameEventID=622&amp;GameID=0022200352&amp;Season=2022-23&amp;flag=1&amp;title=Leonard%20reverse%20Layup%20(10%20PTS)%20(R.%20Jackson%202%20AST)", "Reverse Layup (10 PTS) (R. Jackson 2 AST)")</f>
        <v>Reverse Layup (10 PTS) (R. Jackson 2 AST)</v>
      </c>
      <c r="L318" s="2" t="str">
        <f>HYPERLINK("https://www.nba.com/game/...-vs-...-0022200352/play-by-play?watchFullGame=true", "LAC vs CHA - Q4 04:55.00")</f>
        <v>LAC vs CHA - Q4 04:55.00</v>
      </c>
      <c r="M318">
        <v>2.4900000000000002</v>
      </c>
      <c r="N318">
        <v>7.05</v>
      </c>
      <c r="O318">
        <v>54.17</v>
      </c>
      <c r="P318">
        <v>-21</v>
      </c>
      <c r="Q318">
        <v>14</v>
      </c>
      <c r="R318">
        <v>7</v>
      </c>
      <c r="S318">
        <v>54</v>
      </c>
    </row>
    <row r="319" spans="1:19" hidden="1" x14ac:dyDescent="0.25">
      <c r="A319">
        <v>22000366</v>
      </c>
      <c r="B319" t="s">
        <v>18</v>
      </c>
      <c r="C319" t="s">
        <v>87</v>
      </c>
      <c r="D319">
        <v>108</v>
      </c>
      <c r="E319">
        <v>109</v>
      </c>
      <c r="F319">
        <v>1</v>
      </c>
      <c r="G319">
        <v>4</v>
      </c>
      <c r="H319" s="1">
        <v>5.7638888888888887E-4</v>
      </c>
      <c r="I319">
        <v>2020</v>
      </c>
      <c r="J319" t="s">
        <v>83</v>
      </c>
      <c r="K319" s="2" t="str">
        <f>HYPERLINK("https://www.nba.com/stats/events?CFID=&amp;CFPARAMS=&amp;GameEventID=630&amp;GameID=0022000366&amp;Season=2020-21&amp;flag=1&amp;title=Leonard%20Layup%20(20%20PTS)", "Layup (20 PTS)")</f>
        <v>Layup (20 PTS)</v>
      </c>
      <c r="L319" s="2" t="str">
        <f>HYPERLINK("https://www.nba.com/game/...-vs-...-0022000366/play-by-play?watchFullGame=true", "LAC vs SAC - Q4 00:49.80")</f>
        <v>LAC vs SAC - Q4 00:49.80</v>
      </c>
      <c r="M319">
        <v>2.48</v>
      </c>
      <c r="N319">
        <v>7.97</v>
      </c>
      <c r="O319">
        <v>47.86</v>
      </c>
      <c r="P319">
        <v>11</v>
      </c>
      <c r="Q319">
        <v>22</v>
      </c>
      <c r="R319">
        <v>7</v>
      </c>
      <c r="S319">
        <v>47</v>
      </c>
    </row>
    <row r="320" spans="1:19" hidden="1" x14ac:dyDescent="0.25">
      <c r="A320">
        <v>41900152</v>
      </c>
      <c r="B320" t="s">
        <v>18</v>
      </c>
      <c r="C320" t="s">
        <v>90</v>
      </c>
      <c r="D320">
        <v>12</v>
      </c>
      <c r="E320">
        <v>20</v>
      </c>
      <c r="F320">
        <v>8</v>
      </c>
      <c r="G320">
        <v>1</v>
      </c>
      <c r="H320" s="1">
        <v>3.2523148148148147E-3</v>
      </c>
      <c r="I320" t="s">
        <v>86</v>
      </c>
      <c r="J320" t="s">
        <v>83</v>
      </c>
      <c r="K320" s="2" t="str">
        <f>HYPERLINK("https://www.nba.com/stats/events?CFID=&amp;CFPARAMS=&amp;GameEventID=96&amp;GameID=0041900152&amp;Season=2019-20&amp;flag=1&amp;title=Leonard%20layup%20(4%20PTS)", "Layup (4 PTS)")</f>
        <v>Layup (4 PTS)</v>
      </c>
      <c r="L320" s="2" t="str">
        <f>HYPERLINK("https://www.nba.com/game/...-vs-...-0041900152/play-by-play?watchFullGame=true", "LAC vs DAL - Q1 04:41.00")</f>
        <v>LAC vs DAL - Q1 04:41.00</v>
      </c>
      <c r="M320">
        <v>2.4700000000000002</v>
      </c>
      <c r="N320">
        <v>7.05</v>
      </c>
      <c r="O320">
        <v>46.88</v>
      </c>
      <c r="P320">
        <v>16</v>
      </c>
      <c r="Q320">
        <v>14</v>
      </c>
      <c r="R320">
        <v>7</v>
      </c>
      <c r="S320">
        <v>46</v>
      </c>
    </row>
    <row r="321" spans="1:19" hidden="1" x14ac:dyDescent="0.25">
      <c r="A321">
        <v>21900339</v>
      </c>
      <c r="B321" t="s">
        <v>18</v>
      </c>
      <c r="C321" t="s">
        <v>90</v>
      </c>
      <c r="D321">
        <v>123</v>
      </c>
      <c r="E321">
        <v>112</v>
      </c>
      <c r="F321">
        <v>11</v>
      </c>
      <c r="G321">
        <v>4</v>
      </c>
      <c r="H321" s="1">
        <v>3.0092592592592593E-3</v>
      </c>
      <c r="I321">
        <v>2019</v>
      </c>
      <c r="J321" t="s">
        <v>83</v>
      </c>
      <c r="K321" s="2" t="str">
        <f>HYPERLINK("https://www.nba.com/stats/events?CFID=&amp;CFPARAMS=&amp;GameEventID=664&amp;GameID=0021900339&amp;Season=2019-20&amp;flag=1&amp;title=Leonard%20layup%20(32%20PTS)", "Layup (32 PTS)")</f>
        <v>Layup (32 PTS)</v>
      </c>
      <c r="L321" s="2" t="str">
        <f>HYPERLINK("https://www.nba.com/game/...-vs-...-0021900339/play-by-play?watchFullGame=true", "LAC vs WAS - Q4 04:20.00")</f>
        <v>LAC vs WAS - Q4 04:20.00</v>
      </c>
      <c r="M321">
        <v>2.37</v>
      </c>
      <c r="N321">
        <v>7.28</v>
      </c>
      <c r="O321">
        <v>47.97</v>
      </c>
      <c r="P321">
        <v>10</v>
      </c>
      <c r="Q321">
        <v>16</v>
      </c>
      <c r="R321">
        <v>7</v>
      </c>
      <c r="S321">
        <v>47</v>
      </c>
    </row>
    <row r="322" spans="1:19" hidden="1" x14ac:dyDescent="0.25">
      <c r="A322">
        <v>21900419</v>
      </c>
      <c r="B322" t="s">
        <v>18</v>
      </c>
      <c r="C322" t="s">
        <v>90</v>
      </c>
      <c r="D322">
        <v>113</v>
      </c>
      <c r="E322">
        <v>107</v>
      </c>
      <c r="F322">
        <v>6</v>
      </c>
      <c r="G322">
        <v>4</v>
      </c>
      <c r="H322" s="1">
        <v>3.1134259259259257E-3</v>
      </c>
      <c r="I322">
        <v>2019</v>
      </c>
      <c r="J322" t="s">
        <v>83</v>
      </c>
      <c r="K322" s="2" t="str">
        <f>HYPERLINK("https://www.nba.com/stats/events?CFID=&amp;CFPARAMS=&amp;GameEventID=609&amp;GameID=0021900419&amp;Season=2019-20&amp;flag=1&amp;title=Leonard%20layup%20(25%20PTS)", "Layup (25 PTS)")</f>
        <v>Layup (25 PTS)</v>
      </c>
      <c r="L322" s="2" t="str">
        <f>HYPERLINK("https://www.nba.com/game/...-vs-...-0021900419/play-by-play?watchFullGame=true", "LAC vs HOU - Q4 04:29.00")</f>
        <v>LAC vs HOU - Q4 04:29.00</v>
      </c>
      <c r="M322">
        <v>2.34</v>
      </c>
      <c r="N322">
        <v>7.01</v>
      </c>
      <c r="O322">
        <v>47.23</v>
      </c>
      <c r="P322">
        <v>14</v>
      </c>
      <c r="Q322">
        <v>13</v>
      </c>
      <c r="R322">
        <v>7</v>
      </c>
      <c r="S322">
        <v>47</v>
      </c>
    </row>
    <row r="323" spans="1:19" hidden="1" x14ac:dyDescent="0.25">
      <c r="A323">
        <v>21900292</v>
      </c>
      <c r="B323" t="s">
        <v>18</v>
      </c>
      <c r="C323" t="s">
        <v>90</v>
      </c>
      <c r="D323">
        <v>123</v>
      </c>
      <c r="E323">
        <v>100</v>
      </c>
      <c r="F323">
        <v>23</v>
      </c>
      <c r="G323">
        <v>4</v>
      </c>
      <c r="H323" s="1">
        <v>6.898148148148148E-3</v>
      </c>
      <c r="I323">
        <v>2019</v>
      </c>
      <c r="J323" t="s">
        <v>83</v>
      </c>
      <c r="K323" s="2" t="str">
        <f>HYPERLINK("https://www.nba.com/stats/events?CFID=&amp;CFPARAMS=&amp;GameEventID=606&amp;GameID=0021900292&amp;Season=2019-20&amp;flag=1&amp;title=Leonard%20layup%20(25%20PTS)%20(L.%20Williams%208%20AST)", "Layup (25 PTS) (L. Williams 8 AST)")</f>
        <v>Layup (25 PTS) (L. Williams 8 AST)</v>
      </c>
      <c r="L323" s="2" t="str">
        <f>HYPERLINK("https://www.nba.com/game/...-vs-...-0021900292/play-by-play?watchFullGame=true", "LAC vs WAS - Q4 09:56.00")</f>
        <v>LAC vs WAS - Q4 09:56.00</v>
      </c>
      <c r="M323">
        <v>2.3199999999999998</v>
      </c>
      <c r="N323">
        <v>7.15</v>
      </c>
      <c r="O323">
        <v>47.73</v>
      </c>
      <c r="P323">
        <v>11</v>
      </c>
      <c r="Q323">
        <v>15</v>
      </c>
      <c r="R323">
        <v>7</v>
      </c>
      <c r="S323">
        <v>47</v>
      </c>
    </row>
    <row r="324" spans="1:19" hidden="1" x14ac:dyDescent="0.25">
      <c r="A324">
        <v>22000077</v>
      </c>
      <c r="B324" t="s">
        <v>18</v>
      </c>
      <c r="C324" t="s">
        <v>87</v>
      </c>
      <c r="D324">
        <v>2</v>
      </c>
      <c r="E324">
        <v>0</v>
      </c>
      <c r="F324">
        <v>2</v>
      </c>
      <c r="G324">
        <v>1</v>
      </c>
      <c r="H324" s="1">
        <v>8.0902777777777778E-3</v>
      </c>
      <c r="I324">
        <v>2020</v>
      </c>
      <c r="J324" t="s">
        <v>83</v>
      </c>
      <c r="K324" s="2" t="str">
        <f>HYPERLINK("https://www.nba.com/stats/events?CFID=&amp;CFPARAMS=&amp;GameEventID=7&amp;GameID=0022000077&amp;Season=2020-21&amp;flag=1&amp;title=Leonard%20Layup%20(2%20PTS)", "Layup (2 PTS)")</f>
        <v>Layup (2 PTS)</v>
      </c>
      <c r="L324" s="2" t="str">
        <f>HYPERLINK("https://www.nba.com/game/...-vs-...-0022000077/play-by-play?watchFullGame=true", "LAC vs UTA - Q1 11:39.00")</f>
        <v>LAC vs UTA - Q1 11:39.00</v>
      </c>
      <c r="M324">
        <v>2.2799999999999998</v>
      </c>
      <c r="N324">
        <v>7.97</v>
      </c>
      <c r="O324">
        <v>50.8</v>
      </c>
      <c r="P324">
        <v>-4</v>
      </c>
      <c r="Q324">
        <v>22</v>
      </c>
      <c r="R324">
        <v>7</v>
      </c>
      <c r="S324">
        <v>50</v>
      </c>
    </row>
    <row r="325" spans="1:19" hidden="1" x14ac:dyDescent="0.25">
      <c r="A325">
        <v>22200617</v>
      </c>
      <c r="B325" t="s">
        <v>18</v>
      </c>
      <c r="C325" t="s">
        <v>87</v>
      </c>
      <c r="D325">
        <v>79</v>
      </c>
      <c r="E325">
        <v>57</v>
      </c>
      <c r="F325">
        <v>22</v>
      </c>
      <c r="G325">
        <v>3</v>
      </c>
      <c r="H325" s="1">
        <v>4.9305555555555552E-3</v>
      </c>
      <c r="I325">
        <v>2022</v>
      </c>
      <c r="J325" t="s">
        <v>83</v>
      </c>
      <c r="K325" s="2" t="str">
        <f>HYPERLINK("https://www.nba.com/stats/events?CFID=&amp;CFPARAMS=&amp;GameEventID=396&amp;GameID=0022200617&amp;Season=2022-23&amp;flag=1&amp;title=Leonard%20driving%20Layup%20(24%20PTS)", "Driving Layup (24 PTS)")</f>
        <v>Driving Layup (24 PTS)</v>
      </c>
      <c r="L325" s="2" t="str">
        <f>HYPERLINK("https://www.nba.com/game/...-vs-...-0022200617/play-by-play?watchFullGame=true", "LAC vs DAL - Q3 07:06.00")</f>
        <v>LAC vs DAL - Q3 07:06.00</v>
      </c>
      <c r="M325">
        <v>2.2599999999999998</v>
      </c>
      <c r="N325">
        <v>7.15</v>
      </c>
      <c r="O325">
        <v>46.57</v>
      </c>
      <c r="P325">
        <v>17</v>
      </c>
      <c r="Q325">
        <v>15</v>
      </c>
      <c r="R325">
        <v>7</v>
      </c>
      <c r="S325">
        <v>46</v>
      </c>
    </row>
    <row r="326" spans="1:19" hidden="1" x14ac:dyDescent="0.25">
      <c r="A326">
        <v>42000224</v>
      </c>
      <c r="B326" t="s">
        <v>18</v>
      </c>
      <c r="C326" t="s">
        <v>87</v>
      </c>
      <c r="D326">
        <v>10</v>
      </c>
      <c r="E326">
        <v>2</v>
      </c>
      <c r="F326">
        <v>8</v>
      </c>
      <c r="G326">
        <v>1</v>
      </c>
      <c r="H326" s="1">
        <v>6.8055555555555551E-3</v>
      </c>
      <c r="I326" t="s">
        <v>94</v>
      </c>
      <c r="J326" t="s">
        <v>83</v>
      </c>
      <c r="K326" s="2" t="str">
        <f>HYPERLINK("https://www.nba.com/stats/events?CFID=&amp;CFPARAMS=&amp;GameEventID=26&amp;GameID=0042000224&amp;Season=2020-21&amp;flag=1&amp;title=Leonard%20running%20Layup%20(5%20PTS)%20(P.%20George%202%20AST)", "Running Layup (5 PTS) (P. George 2 AST)")</f>
        <v>Running Layup (5 PTS) (P. George 2 AST)</v>
      </c>
      <c r="L326" s="2" t="str">
        <f>HYPERLINK("https://www.nba.com/game/...-vs-...-0042000224/play-by-play?watchFullGame=true", "LAC vs UTA - Q1 09:48.00")</f>
        <v>LAC vs UTA - Q1 09:48.00</v>
      </c>
      <c r="M326">
        <v>2.21</v>
      </c>
      <c r="N326">
        <v>7.93</v>
      </c>
      <c r="O326">
        <v>50.18</v>
      </c>
      <c r="P326">
        <v>7</v>
      </c>
      <c r="Q326">
        <v>50</v>
      </c>
      <c r="R326">
        <v>7</v>
      </c>
      <c r="S326">
        <v>50</v>
      </c>
    </row>
    <row r="327" spans="1:19" hidden="1" x14ac:dyDescent="0.25">
      <c r="A327">
        <v>22000002</v>
      </c>
      <c r="B327" t="s">
        <v>18</v>
      </c>
      <c r="C327" t="s">
        <v>87</v>
      </c>
      <c r="D327">
        <v>31</v>
      </c>
      <c r="E327">
        <v>15</v>
      </c>
      <c r="F327">
        <v>16</v>
      </c>
      <c r="G327">
        <v>1</v>
      </c>
      <c r="H327" s="1">
        <v>2.5810185185185185E-3</v>
      </c>
      <c r="I327">
        <v>2020</v>
      </c>
      <c r="J327" t="s">
        <v>83</v>
      </c>
      <c r="K327" s="2" t="str">
        <f>HYPERLINK("https://www.nba.com/stats/events?CFID=&amp;CFPARAMS=&amp;GameEventID=121&amp;GameID=0022000002&amp;Season=2020-21&amp;flag=1&amp;title=Leonard%20Layup%20(6%20PTS)", "Layup (6 PTS)")</f>
        <v>Layup (6 PTS)</v>
      </c>
      <c r="L327" s="2" t="str">
        <f>HYPERLINK("https://www.nba.com/game/...-vs-...-0022000002/play-by-play?watchFullGame=true", "LAC vs LAL - Q1 03:43.00")</f>
        <v>LAC vs LAL - Q1 03:43.00</v>
      </c>
      <c r="M327">
        <v>2.1800000000000002</v>
      </c>
      <c r="N327">
        <v>7.44</v>
      </c>
      <c r="O327">
        <v>47.37</v>
      </c>
      <c r="P327">
        <v>13</v>
      </c>
      <c r="Q327">
        <v>17</v>
      </c>
      <c r="R327">
        <v>7</v>
      </c>
      <c r="S327">
        <v>47</v>
      </c>
    </row>
    <row r="328" spans="1:19" hidden="1" x14ac:dyDescent="0.25">
      <c r="A328">
        <v>21900339</v>
      </c>
      <c r="B328" t="s">
        <v>18</v>
      </c>
      <c r="C328" t="s">
        <v>90</v>
      </c>
      <c r="D328">
        <v>119</v>
      </c>
      <c r="E328">
        <v>109</v>
      </c>
      <c r="F328">
        <v>10</v>
      </c>
      <c r="G328">
        <v>4</v>
      </c>
      <c r="H328" s="1">
        <v>3.7499999999999999E-3</v>
      </c>
      <c r="I328">
        <v>2019</v>
      </c>
      <c r="J328" t="s">
        <v>83</v>
      </c>
      <c r="K328" s="2" t="str">
        <f>HYPERLINK("https://www.nba.com/stats/events?CFID=&amp;CFPARAMS=&amp;GameEventID=645&amp;GameID=0021900339&amp;Season=2019-20&amp;flag=1&amp;title=Leonard%20layup%20(28%20PTS)", "Layup (28 PTS)")</f>
        <v>Layup (28 PTS)</v>
      </c>
      <c r="L328" s="2" t="str">
        <f>HYPERLINK("https://www.nba.com/game/...-vs-...-0021900339/play-by-play?watchFullGame=true", "LAC vs WAS - Q4 05:24.00")</f>
        <v>LAC vs WAS - Q4 05:24.00</v>
      </c>
      <c r="M328">
        <v>2.1800000000000002</v>
      </c>
      <c r="N328">
        <v>7.15</v>
      </c>
      <c r="O328">
        <v>51.65</v>
      </c>
      <c r="P328">
        <v>-8</v>
      </c>
      <c r="Q328">
        <v>15</v>
      </c>
      <c r="R328">
        <v>7</v>
      </c>
      <c r="S328">
        <v>51</v>
      </c>
    </row>
    <row r="329" spans="1:19" hidden="1" x14ac:dyDescent="0.25">
      <c r="A329">
        <v>22201112</v>
      </c>
      <c r="B329" t="s">
        <v>18</v>
      </c>
      <c r="C329" t="s">
        <v>87</v>
      </c>
      <c r="D329">
        <v>20</v>
      </c>
      <c r="E329">
        <v>25</v>
      </c>
      <c r="F329">
        <v>5</v>
      </c>
      <c r="G329">
        <v>1</v>
      </c>
      <c r="H329" s="1">
        <v>2.9976851851851853E-3</v>
      </c>
      <c r="I329">
        <v>2022</v>
      </c>
      <c r="J329" t="s">
        <v>83</v>
      </c>
      <c r="K329" s="2" t="str">
        <f>HYPERLINK("https://www.nba.com/stats/events?CFID=&amp;CFPARAMS=&amp;GameEventID=92&amp;GameID=0022201112&amp;Season=2022-23&amp;flag=1&amp;title=Leonard%20driving%20finger%20roll%20Layup%20(2%20PTS)", "Driving finger roll Layup (2 PTS)")</f>
        <v>Driving finger roll Layup (2 PTS)</v>
      </c>
      <c r="L329" s="2" t="str">
        <f>HYPERLINK("https://www.nba.com/game/...-vs-...-0022201112/play-by-play?watchFullGame=true", "LAC vs NOP - Q1 04:19.00")</f>
        <v>LAC vs NOP - Q1 04:19.00</v>
      </c>
      <c r="M329">
        <v>2.17</v>
      </c>
      <c r="N329">
        <v>7.15</v>
      </c>
      <c r="O329">
        <v>46.81</v>
      </c>
      <c r="P329">
        <v>16</v>
      </c>
      <c r="Q329">
        <v>15</v>
      </c>
      <c r="R329">
        <v>7</v>
      </c>
      <c r="S329">
        <v>46</v>
      </c>
    </row>
    <row r="330" spans="1:19" hidden="1" x14ac:dyDescent="0.25">
      <c r="A330">
        <v>22201215</v>
      </c>
      <c r="B330" t="s">
        <v>18</v>
      </c>
      <c r="C330" t="s">
        <v>87</v>
      </c>
      <c r="D330">
        <v>73</v>
      </c>
      <c r="E330">
        <v>72</v>
      </c>
      <c r="F330">
        <v>1</v>
      </c>
      <c r="G330">
        <v>3</v>
      </c>
      <c r="H330" s="1">
        <v>6.9097222222222225E-3</v>
      </c>
      <c r="I330">
        <v>2022</v>
      </c>
      <c r="J330" t="s">
        <v>83</v>
      </c>
      <c r="K330" s="2" t="str">
        <f>HYPERLINK("https://www.nba.com/stats/events?CFID=&amp;CFPARAMS=&amp;GameEventID=370&amp;GameID=0022201215&amp;Season=2022-23&amp;flag=1&amp;title=Leonard%20driving%20Layup%20(16%20PTS)%20(R.%20Westbrook%204%20AST)", "Driving Layup (16 PTS) (R. Westbrook 4 AST)")</f>
        <v>Driving Layup (16 PTS) (R. Westbrook 4 AST)</v>
      </c>
      <c r="L330" s="2" t="str">
        <f>HYPERLINK("https://www.nba.com/game/...-vs-...-0022201215/play-by-play?watchFullGame=true", "LAC vs POR - Q3 09:57.00")</f>
        <v>LAC vs POR - Q3 09:57.00</v>
      </c>
      <c r="M330">
        <v>2.17</v>
      </c>
      <c r="N330">
        <v>7.28</v>
      </c>
      <c r="O330">
        <v>47.06</v>
      </c>
      <c r="P330">
        <v>15</v>
      </c>
      <c r="Q330">
        <v>16</v>
      </c>
      <c r="R330">
        <v>7</v>
      </c>
      <c r="S330">
        <v>47</v>
      </c>
    </row>
    <row r="331" spans="1:19" hidden="1" x14ac:dyDescent="0.25">
      <c r="A331">
        <v>42000175</v>
      </c>
      <c r="B331" t="s">
        <v>18</v>
      </c>
      <c r="C331" t="s">
        <v>87</v>
      </c>
      <c r="D331">
        <v>99</v>
      </c>
      <c r="E331">
        <v>101</v>
      </c>
      <c r="F331">
        <v>2</v>
      </c>
      <c r="G331">
        <v>4</v>
      </c>
      <c r="H331" s="1">
        <v>4.5717592592592592E-4</v>
      </c>
      <c r="I331" t="s">
        <v>91</v>
      </c>
      <c r="J331" t="s">
        <v>83</v>
      </c>
      <c r="K331" s="2" t="str">
        <f>HYPERLINK("https://www.nba.com/stats/events?CFID=&amp;CFPARAMS=&amp;GameEventID=644&amp;GameID=0042000175&amp;Season=2020-21&amp;flag=1&amp;title=Leonard%20driving%20Layup%20(19%20PTS)%20(P.%20George%206%20AST)", "Driving Layup (19 PTS) (P. George 6 AST)")</f>
        <v>Driving Layup (19 PTS) (P. George 6 AST)</v>
      </c>
      <c r="L331" s="2" t="str">
        <f>HYPERLINK("https://www.nba.com/game/...-vs-...-0042000175/play-by-play?watchFullGame=true", "LAC vs DAL - Q4 00:39.50")</f>
        <v>LAC vs DAL - Q4 00:39.50</v>
      </c>
      <c r="M331">
        <v>2.15</v>
      </c>
      <c r="N331">
        <v>7.57</v>
      </c>
      <c r="O331">
        <v>47.86</v>
      </c>
      <c r="P331">
        <v>7</v>
      </c>
      <c r="Q331">
        <v>47</v>
      </c>
      <c r="R331">
        <v>7</v>
      </c>
      <c r="S331">
        <v>47</v>
      </c>
    </row>
    <row r="332" spans="1:19" hidden="1" x14ac:dyDescent="0.25">
      <c r="A332">
        <v>22300223</v>
      </c>
      <c r="B332" t="s">
        <v>18</v>
      </c>
      <c r="C332" t="s">
        <v>87</v>
      </c>
      <c r="D332">
        <v>81</v>
      </c>
      <c r="E332">
        <v>64</v>
      </c>
      <c r="F332">
        <v>17</v>
      </c>
      <c r="G332">
        <v>3</v>
      </c>
      <c r="H332" s="1">
        <v>3.8310185185185183E-3</v>
      </c>
      <c r="I332">
        <v>2023</v>
      </c>
      <c r="J332" t="s">
        <v>83</v>
      </c>
      <c r="K332" s="2" t="str">
        <f>HYPERLINK("https://www.nba.com/stats/events?CFID=&amp;CFPARAMS=&amp;GameEventID=381&amp;GameID=0022300223&amp;Season=2023-24&amp;flag=1&amp;title=Leonard%20Layup%20(18%20PTS)%20(J.%20Harden%208%20AST)", "Layup (18 PTS) (J. Harden 8 AST)")</f>
        <v>Layup (18 PTS) (J. Harden 8 AST)</v>
      </c>
      <c r="L332" s="2" t="str">
        <f>HYPERLINK("https://www.nba.com/game/...-vs-...-0022300223/play-by-play?watchFullGame=true", "LAC vs SAS - Q3 05:31.00")</f>
        <v>LAC vs SAS - Q3 05:31.00</v>
      </c>
      <c r="M332">
        <v>2.14</v>
      </c>
      <c r="N332">
        <v>7.84</v>
      </c>
      <c r="O332">
        <v>49.26</v>
      </c>
      <c r="P332">
        <v>4</v>
      </c>
      <c r="Q332">
        <v>21</v>
      </c>
      <c r="R332">
        <v>7</v>
      </c>
      <c r="S332">
        <v>49</v>
      </c>
    </row>
    <row r="333" spans="1:19" hidden="1" x14ac:dyDescent="0.25">
      <c r="A333">
        <v>22200480</v>
      </c>
      <c r="B333" t="s">
        <v>18</v>
      </c>
      <c r="C333" t="s">
        <v>87</v>
      </c>
      <c r="D333">
        <v>102</v>
      </c>
      <c r="E333">
        <v>103</v>
      </c>
      <c r="F333">
        <v>1</v>
      </c>
      <c r="G333">
        <v>4</v>
      </c>
      <c r="H333" s="1">
        <v>4.1435185185185186E-3</v>
      </c>
      <c r="I333">
        <v>2022</v>
      </c>
      <c r="J333" t="s">
        <v>83</v>
      </c>
      <c r="K333" s="2" t="str">
        <f>HYPERLINK("https://www.nba.com/stats/events?CFID=&amp;CFPARAMS=&amp;GameEventID=527&amp;GameID=0022200480&amp;Season=2022-23&amp;flag=1&amp;title=Leonard%20driving%20Layup%20(26%20PTS)", "Driving Layup (26 PTS)")</f>
        <v>Driving Layup (26 PTS)</v>
      </c>
      <c r="L333" s="2" t="str">
        <f>HYPERLINK("https://www.nba.com/game/...-vs-...-0022200480/play-by-play?watchFullGame=true", "LAC vs PHI - Q4 05:58.00")</f>
        <v>LAC vs PHI - Q4 05:58.00</v>
      </c>
      <c r="M333">
        <v>2.14</v>
      </c>
      <c r="N333">
        <v>7.54</v>
      </c>
      <c r="O333">
        <v>47.79</v>
      </c>
      <c r="P333">
        <v>11</v>
      </c>
      <c r="Q333">
        <v>18</v>
      </c>
      <c r="R333">
        <v>7</v>
      </c>
      <c r="S333">
        <v>47</v>
      </c>
    </row>
    <row r="334" spans="1:19" hidden="1" x14ac:dyDescent="0.25">
      <c r="A334">
        <v>21900576</v>
      </c>
      <c r="B334" t="s">
        <v>18</v>
      </c>
      <c r="C334" t="s">
        <v>90</v>
      </c>
      <c r="D334">
        <v>51</v>
      </c>
      <c r="E334">
        <v>53</v>
      </c>
      <c r="F334">
        <v>2</v>
      </c>
      <c r="G334">
        <v>3</v>
      </c>
      <c r="H334" s="1">
        <v>7.766203703703704E-3</v>
      </c>
      <c r="I334">
        <v>2019</v>
      </c>
      <c r="J334" t="s">
        <v>83</v>
      </c>
      <c r="K334" s="2" t="str">
        <f>HYPERLINK("https://www.nba.com/stats/events?CFID=&amp;CFPARAMS=&amp;GameEventID=355&amp;GameID=0021900576&amp;Season=2019-20&amp;flag=1&amp;title=Leonard%20layup%20(18%20PTS)", "Layup (18 PTS)")</f>
        <v>Layup (18 PTS)</v>
      </c>
      <c r="L334" s="2" t="str">
        <f>HYPERLINK("https://www.nba.com/game/...-vs-...-0021900576/play-by-play?watchFullGame=true", "LAC vs GSW - Q3 11:11.00")</f>
        <v>LAC vs GSW - Q3 11:11.00</v>
      </c>
      <c r="M334">
        <v>2.06</v>
      </c>
      <c r="N334">
        <v>7.15</v>
      </c>
      <c r="O334">
        <v>49.2</v>
      </c>
      <c r="P334">
        <v>4</v>
      </c>
      <c r="Q334">
        <v>15</v>
      </c>
      <c r="R334">
        <v>7</v>
      </c>
      <c r="S334">
        <v>49</v>
      </c>
    </row>
    <row r="335" spans="1:19" hidden="1" x14ac:dyDescent="0.25">
      <c r="A335">
        <v>22000366</v>
      </c>
      <c r="B335" t="s">
        <v>18</v>
      </c>
      <c r="C335" t="s">
        <v>87</v>
      </c>
      <c r="D335">
        <v>68</v>
      </c>
      <c r="E335">
        <v>73</v>
      </c>
      <c r="F335">
        <v>5</v>
      </c>
      <c r="G335">
        <v>3</v>
      </c>
      <c r="H335" s="1">
        <v>2.3263888888888887E-3</v>
      </c>
      <c r="I335">
        <v>2020</v>
      </c>
      <c r="J335" t="s">
        <v>83</v>
      </c>
      <c r="K335" s="2" t="str">
        <f>HYPERLINK("https://www.nba.com/stats/events?CFID=&amp;CFPARAMS=&amp;GameEventID=422&amp;GameID=0022000366&amp;Season=2020-21&amp;flag=1&amp;title=Leonard%20running%20Layup%20(13%20PTS)%20(T.%20Mann%202%20AST)", "Running Layup (13 PTS) (T. Mann 2 AST)")</f>
        <v>Running Layup (13 PTS) (T. Mann 2 AST)</v>
      </c>
      <c r="L335" s="2" t="str">
        <f>HYPERLINK("https://www.nba.com/game/...-vs-...-0022000366/play-by-play?watchFullGame=true", "LAC vs SAC - Q3 03:21.00")</f>
        <v>LAC vs SAC - Q3 03:21.00</v>
      </c>
      <c r="M335">
        <v>2.04</v>
      </c>
      <c r="N335">
        <v>7.18</v>
      </c>
      <c r="O335">
        <v>52.77</v>
      </c>
      <c r="P335">
        <v>-14</v>
      </c>
      <c r="Q335">
        <v>15</v>
      </c>
      <c r="R335">
        <v>7</v>
      </c>
      <c r="S335">
        <v>52</v>
      </c>
    </row>
    <row r="336" spans="1:19" hidden="1" x14ac:dyDescent="0.25">
      <c r="A336">
        <v>22400943</v>
      </c>
      <c r="B336" t="s">
        <v>18</v>
      </c>
      <c r="C336" t="s">
        <v>87</v>
      </c>
      <c r="D336">
        <v>116</v>
      </c>
      <c r="E336">
        <v>119</v>
      </c>
      <c r="F336">
        <v>3</v>
      </c>
      <c r="G336">
        <v>4</v>
      </c>
      <c r="H336" s="1">
        <v>8.6805555555555551E-4</v>
      </c>
      <c r="I336">
        <v>2024</v>
      </c>
      <c r="J336" t="s">
        <v>83</v>
      </c>
      <c r="K336" s="2" t="str">
        <f>HYPERLINK("https://www.nba.com/stats/events?CFID=&amp;CFPARAMS=&amp;GameEventID=613&amp;GameID=0022400943&amp;Season=2024-25&amp;flag=1&amp;title=Leonard%20running%20finger%20roll%20Layup%20(25%20PTS)%20(J.%20Harden%2017%20AST)", "Running finger roll Layup (25 PTS) (J. Harden 17 AST)")</f>
        <v>Running finger roll Layup (25 PTS) (J. Harden 17 AST)</v>
      </c>
      <c r="L336" s="2" t="str">
        <f>HYPERLINK("https://www.nba.com/game/...-vs-...-0022400943/play-by-play?watchFullGame=true", "LAC vs NOP - Q4 01:15.00")</f>
        <v>LAC vs NOP - Q4 01:15.00</v>
      </c>
      <c r="M336">
        <v>2.02</v>
      </c>
      <c r="N336">
        <v>7.7</v>
      </c>
      <c r="O336">
        <v>49.26</v>
      </c>
      <c r="P336">
        <v>4</v>
      </c>
      <c r="Q336">
        <v>20</v>
      </c>
      <c r="R336">
        <v>7</v>
      </c>
      <c r="S336">
        <v>49</v>
      </c>
    </row>
    <row r="337" spans="1:19" hidden="1" x14ac:dyDescent="0.25">
      <c r="A337">
        <v>22300350</v>
      </c>
      <c r="B337" t="s">
        <v>18</v>
      </c>
      <c r="C337" t="s">
        <v>88</v>
      </c>
      <c r="D337">
        <v>102</v>
      </c>
      <c r="E337">
        <v>81</v>
      </c>
      <c r="F337">
        <v>21</v>
      </c>
      <c r="G337">
        <v>3</v>
      </c>
      <c r="H337" s="1">
        <v>2.7083333333333334E-3</v>
      </c>
      <c r="I337">
        <v>2023</v>
      </c>
      <c r="J337" t="s">
        <v>83</v>
      </c>
      <c r="K337" s="2" t="str">
        <f>HYPERLINK("https://www.nba.com/stats/events?CFID=&amp;CFPARAMS=&amp;GameEventID=457&amp;GameID=0022300350&amp;Season=2023-24&amp;flag=1&amp;title=Leonard%20cutting%20DUNK%20(26%20PTS)%20(I.%20Zubac%203%20AST)", "Cutting DUNK (26 PTS) (I. Zubac 3 AST)")</f>
        <v>Cutting DUNK (26 PTS) (I. Zubac 3 AST)</v>
      </c>
      <c r="L337" s="2" t="str">
        <f>HYPERLINK("https://www.nba.com/game/...-vs-...-0022300350/play-by-play?watchFullGame=true", "LAC vs IND - Q3 03:54.00")</f>
        <v>LAC vs IND - Q3 03:54.00</v>
      </c>
      <c r="M337">
        <v>1.81</v>
      </c>
      <c r="N337">
        <v>7.44</v>
      </c>
      <c r="O337">
        <v>50.98</v>
      </c>
      <c r="P337">
        <v>-5</v>
      </c>
      <c r="Q337">
        <v>17</v>
      </c>
      <c r="R337">
        <v>7</v>
      </c>
      <c r="S337">
        <v>50</v>
      </c>
    </row>
    <row r="338" spans="1:19" hidden="1" x14ac:dyDescent="0.25">
      <c r="A338">
        <v>22200871</v>
      </c>
      <c r="B338" t="s">
        <v>18</v>
      </c>
      <c r="C338" t="s">
        <v>88</v>
      </c>
      <c r="D338">
        <v>94</v>
      </c>
      <c r="E338">
        <v>89</v>
      </c>
      <c r="F338">
        <v>5</v>
      </c>
      <c r="G338">
        <v>3</v>
      </c>
      <c r="H338" s="1">
        <v>2.3958333333333331E-3</v>
      </c>
      <c r="I338">
        <v>2022</v>
      </c>
      <c r="J338" t="s">
        <v>83</v>
      </c>
      <c r="K338" s="2" t="str">
        <f>HYPERLINK("https://www.nba.com/stats/events?CFID=&amp;CFPARAMS=&amp;GameEventID=435&amp;GameID=0022200871&amp;Season=2022-23&amp;flag=1&amp;title=Leonard%20driving%20DUNK%20(26%20PTS)", "Driving DUNK (26 PTS)")</f>
        <v>Driving DUNK (26 PTS)</v>
      </c>
      <c r="L338" s="2" t="str">
        <f>HYPERLINK("https://www.nba.com/game/...-vs-...-0022200871/play-by-play?watchFullGame=true", "LAC vs GSW - Q3 03:27.00")</f>
        <v>LAC vs GSW - Q3 03:27.00</v>
      </c>
      <c r="M338">
        <v>1.52</v>
      </c>
      <c r="N338">
        <v>7.15</v>
      </c>
      <c r="O338">
        <v>50.74</v>
      </c>
      <c r="P338">
        <v>-4</v>
      </c>
      <c r="Q338">
        <v>15</v>
      </c>
      <c r="R338">
        <v>7</v>
      </c>
      <c r="S338">
        <v>50</v>
      </c>
    </row>
    <row r="339" spans="1:19" hidden="1" x14ac:dyDescent="0.25">
      <c r="A339">
        <v>22300917</v>
      </c>
      <c r="B339" t="s">
        <v>18</v>
      </c>
      <c r="C339" t="s">
        <v>88</v>
      </c>
      <c r="D339">
        <v>41</v>
      </c>
      <c r="E339">
        <v>48</v>
      </c>
      <c r="F339">
        <v>7</v>
      </c>
      <c r="G339">
        <v>2</v>
      </c>
      <c r="H339" s="1">
        <v>2.488425925925926E-3</v>
      </c>
      <c r="I339">
        <v>2023</v>
      </c>
      <c r="J339" t="s">
        <v>83</v>
      </c>
      <c r="K339" s="2" t="str">
        <f>HYPERLINK("https://www.nba.com/stats/events?CFID=&amp;CFPARAMS=&amp;GameEventID=275&amp;GameID=0022300917&amp;Season=2023-24&amp;flag=1&amp;title=Leonard%20driving%20DUNK%20(7%20PTS)%20(P.%20George%204%20AST)", "Driving DUNK (7 PTS) (P. George 4 AST)")</f>
        <v>Driving DUNK (7 PTS) (P. George 4 AST)</v>
      </c>
      <c r="L339" s="2" t="str">
        <f>HYPERLINK("https://www.nba.com/game/...-vs-...-0022300917/play-by-play?watchFullGame=true", "LAC vs CHI - Q2 03:35.00")</f>
        <v>LAC vs CHI - Q2 03:35.00</v>
      </c>
      <c r="M339">
        <v>1.52</v>
      </c>
      <c r="N339">
        <v>7.15</v>
      </c>
      <c r="O339">
        <v>50.74</v>
      </c>
      <c r="P339">
        <v>-4</v>
      </c>
      <c r="Q339">
        <v>15</v>
      </c>
      <c r="R339">
        <v>7</v>
      </c>
      <c r="S339">
        <v>50</v>
      </c>
    </row>
    <row r="340" spans="1:19" hidden="1" x14ac:dyDescent="0.25">
      <c r="A340">
        <v>22300325</v>
      </c>
      <c r="B340" t="s">
        <v>18</v>
      </c>
      <c r="C340" t="s">
        <v>88</v>
      </c>
      <c r="D340">
        <v>18</v>
      </c>
      <c r="E340">
        <v>14</v>
      </c>
      <c r="F340">
        <v>4</v>
      </c>
      <c r="G340">
        <v>1</v>
      </c>
      <c r="H340" s="1">
        <v>3.1597222222222222E-3</v>
      </c>
      <c r="I340">
        <v>2023</v>
      </c>
      <c r="J340" t="s">
        <v>83</v>
      </c>
      <c r="K340" s="2" t="str">
        <f>HYPERLINK("https://www.nba.com/stats/events?CFID=&amp;CFPARAMS=&amp;GameEventID=118&amp;GameID=0022300325&amp;Season=2023-24&amp;flag=1&amp;title=Leonard%20running%20DUNK%20(8%20PTS)", "Running DUNK (8 PTS)")</f>
        <v>Running DUNK (8 PTS)</v>
      </c>
      <c r="L340" s="2" t="str">
        <f>HYPERLINK("https://www.nba.com/game/...-vs-...-0022300325/play-by-play?watchFullGame=true", "LAC vs GSW - Q1 04:33.00")</f>
        <v>LAC vs GSW - Q1 04:33.00</v>
      </c>
      <c r="M340">
        <v>1.39</v>
      </c>
      <c r="N340">
        <v>7.01</v>
      </c>
      <c r="O340">
        <v>50.74</v>
      </c>
      <c r="P340">
        <v>-4</v>
      </c>
      <c r="Q340">
        <v>13</v>
      </c>
      <c r="R340">
        <v>7</v>
      </c>
      <c r="S340">
        <v>50</v>
      </c>
    </row>
    <row r="341" spans="1:19" hidden="1" x14ac:dyDescent="0.25">
      <c r="A341">
        <v>22000366</v>
      </c>
      <c r="B341" t="s">
        <v>18</v>
      </c>
      <c r="C341" t="s">
        <v>87</v>
      </c>
      <c r="D341">
        <v>53</v>
      </c>
      <c r="E341">
        <v>54</v>
      </c>
      <c r="F341">
        <v>1</v>
      </c>
      <c r="G341">
        <v>3</v>
      </c>
      <c r="H341" s="1">
        <v>8.1365740740740738E-3</v>
      </c>
      <c r="I341">
        <v>2020</v>
      </c>
      <c r="J341" t="s">
        <v>83</v>
      </c>
      <c r="K341" s="2" t="str">
        <f>HYPERLINK("https://www.nba.com/stats/events?CFID=&amp;CFPARAMS=&amp;GameEventID=333&amp;GameID=0022000366&amp;Season=2020-21&amp;flag=1&amp;title=Leonard%20reverse%20Layup%20(9%20PTS)%20(N.%20Batum%202%20AST)", "Reverse Layup (9 PTS) (N. Batum 2 AST)")</f>
        <v>Reverse Layup (9 PTS) (N. Batum 2 AST)</v>
      </c>
      <c r="L341" s="2" t="str">
        <f>HYPERLINK("https://www.nba.com/game/...-vs-...-0022000366/play-by-play?watchFullGame=true", "LAC vs SAC - Q3 11:43.00")</f>
        <v>LAC vs SAC - Q3 11:43.00</v>
      </c>
      <c r="M341">
        <v>1.95</v>
      </c>
      <c r="N341">
        <v>7.44</v>
      </c>
      <c r="O341">
        <v>51.78</v>
      </c>
      <c r="P341">
        <v>-9</v>
      </c>
      <c r="Q341">
        <v>17</v>
      </c>
      <c r="R341">
        <v>7</v>
      </c>
      <c r="S341">
        <v>51</v>
      </c>
    </row>
    <row r="342" spans="1:19" hidden="1" x14ac:dyDescent="0.25">
      <c r="A342">
        <v>22300873</v>
      </c>
      <c r="B342" t="s">
        <v>18</v>
      </c>
      <c r="C342" t="s">
        <v>87</v>
      </c>
      <c r="D342">
        <v>49</v>
      </c>
      <c r="E342">
        <v>46</v>
      </c>
      <c r="F342">
        <v>3</v>
      </c>
      <c r="G342">
        <v>2</v>
      </c>
      <c r="H342" s="1">
        <v>2.9050925925925929E-4</v>
      </c>
      <c r="I342">
        <v>2023</v>
      </c>
      <c r="J342" t="s">
        <v>83</v>
      </c>
      <c r="K342" s="2" t="str">
        <f>HYPERLINK("https://www.nba.com/stats/events?CFID=&amp;CFPARAMS=&amp;GameEventID=267&amp;GameID=0022300873&amp;Season=2023-24&amp;flag=1&amp;title=Leonard%20putback%20Layup%20(15%20PTS)", "Putback Layup (15 PTS)")</f>
        <v>Putback Layup (15 PTS)</v>
      </c>
      <c r="L342" s="2" t="str">
        <f>HYPERLINK("https://www.nba.com/game/...-vs-...-0022300873/play-by-play?watchFullGame=true", "LAC vs MIN - Q2 00:25.10")</f>
        <v>LAC vs MIN - Q2 00:25.10</v>
      </c>
      <c r="M342">
        <v>1.93</v>
      </c>
      <c r="N342">
        <v>7.57</v>
      </c>
      <c r="O342">
        <v>50.98</v>
      </c>
      <c r="P342">
        <v>-5</v>
      </c>
      <c r="Q342">
        <v>19</v>
      </c>
      <c r="R342">
        <v>7</v>
      </c>
      <c r="S342">
        <v>50</v>
      </c>
    </row>
    <row r="343" spans="1:19" hidden="1" x14ac:dyDescent="0.25">
      <c r="A343">
        <v>22000736</v>
      </c>
      <c r="B343" t="s">
        <v>18</v>
      </c>
      <c r="C343" t="s">
        <v>87</v>
      </c>
      <c r="D343">
        <v>90</v>
      </c>
      <c r="E343">
        <v>98</v>
      </c>
      <c r="F343">
        <v>8</v>
      </c>
      <c r="G343">
        <v>4</v>
      </c>
      <c r="H343" s="1">
        <v>9.837962962962962E-4</v>
      </c>
      <c r="I343">
        <v>2020</v>
      </c>
      <c r="J343" t="s">
        <v>83</v>
      </c>
      <c r="K343" s="2" t="str">
        <f>HYPERLINK("https://www.nba.com/stats/events?CFID=&amp;CFPARAMS=&amp;GameEventID=569&amp;GameID=0022000736&amp;Season=2020-21&amp;flag=1&amp;title=Leonard%20driving%20Layup%20(22%20PTS)", "Driving Layup (22 PTS)")</f>
        <v>Driving Layup (22 PTS)</v>
      </c>
      <c r="L343" s="2" t="str">
        <f>HYPERLINK("https://www.nba.com/game/...-vs-...-0022000736/play-by-play?watchFullGame=true", "LAC vs DEN - Q4 01:25.00")</f>
        <v>LAC vs DEN - Q4 01:25.00</v>
      </c>
      <c r="M343">
        <v>1.91</v>
      </c>
      <c r="N343">
        <v>7.18</v>
      </c>
      <c r="O343">
        <v>47.62</v>
      </c>
      <c r="P343">
        <v>12</v>
      </c>
      <c r="Q343">
        <v>15</v>
      </c>
      <c r="R343">
        <v>7</v>
      </c>
      <c r="S343">
        <v>47</v>
      </c>
    </row>
    <row r="344" spans="1:19" hidden="1" x14ac:dyDescent="0.25">
      <c r="A344">
        <v>22301064</v>
      </c>
      <c r="B344" t="s">
        <v>18</v>
      </c>
      <c r="C344" t="s">
        <v>89</v>
      </c>
      <c r="D344">
        <v>45</v>
      </c>
      <c r="E344">
        <v>39</v>
      </c>
      <c r="F344">
        <v>6</v>
      </c>
      <c r="G344">
        <v>2</v>
      </c>
      <c r="H344" s="1">
        <v>3.6689814814814814E-3</v>
      </c>
      <c r="I344">
        <v>2023</v>
      </c>
      <c r="J344" t="s">
        <v>83</v>
      </c>
      <c r="K344" s="2" t="str">
        <f>HYPERLINK("https://www.nba.com/stats/events?CFID=&amp;CFPARAMS=&amp;GameEventID=252&amp;GameID=0022301064&amp;Season=2023-24&amp;flag=1&amp;title=Leonard%20driving%20bank%20Hook%20(6%20PTS)", "Driving bank Hook (6 PTS)")</f>
        <v>Driving bank Hook (6 PTS)</v>
      </c>
      <c r="L344" s="2" t="str">
        <f>HYPERLINK("https://www.nba.com/game/...-vs-...-0022301064/play-by-play?watchFullGame=true", "LAC vs ORL - Q2 05:17.00")</f>
        <v>LAC vs ORL - Q2 05:17.00</v>
      </c>
      <c r="M344">
        <v>1.89</v>
      </c>
      <c r="N344">
        <v>7.44</v>
      </c>
      <c r="O344">
        <v>48.53</v>
      </c>
      <c r="P344">
        <v>7</v>
      </c>
      <c r="Q344">
        <v>17</v>
      </c>
      <c r="R344">
        <v>7</v>
      </c>
      <c r="S344">
        <v>48</v>
      </c>
    </row>
    <row r="345" spans="1:19" hidden="1" x14ac:dyDescent="0.25">
      <c r="A345">
        <v>22000002</v>
      </c>
      <c r="B345" t="s">
        <v>18</v>
      </c>
      <c r="C345" t="s">
        <v>87</v>
      </c>
      <c r="D345">
        <v>33</v>
      </c>
      <c r="E345">
        <v>15</v>
      </c>
      <c r="F345">
        <v>18</v>
      </c>
      <c r="G345">
        <v>1</v>
      </c>
      <c r="H345" s="1">
        <v>2.1875000000000002E-3</v>
      </c>
      <c r="I345">
        <v>2020</v>
      </c>
      <c r="J345" t="s">
        <v>83</v>
      </c>
      <c r="K345" s="2" t="str">
        <f>HYPERLINK("https://www.nba.com/stats/events?CFID=&amp;CFPARAMS=&amp;GameEventID=125&amp;GameID=0022000002&amp;Season=2020-21&amp;flag=1&amp;title=Leonard%20driving%20Layup%20(8%20PTS)%20(L.%20Williams%201%20AST)", "Driving Layup (8 PTS) (L. Williams 1 AST)")</f>
        <v>Driving Layup (8 PTS) (L. Williams 1 AST)</v>
      </c>
      <c r="L345" s="2" t="str">
        <f>HYPERLINK("https://www.nba.com/game/...-vs-...-0022000002/play-by-play?watchFullGame=true", "LAC vs LAL - Q1 03:09.00")</f>
        <v>LAC vs LAL - Q1 03:09.00</v>
      </c>
      <c r="M345">
        <v>1.88</v>
      </c>
      <c r="N345">
        <v>7.31</v>
      </c>
      <c r="O345">
        <v>48.11</v>
      </c>
      <c r="P345">
        <v>9</v>
      </c>
      <c r="Q345">
        <v>16</v>
      </c>
      <c r="R345">
        <v>7</v>
      </c>
      <c r="S345">
        <v>48</v>
      </c>
    </row>
    <row r="346" spans="1:19" hidden="1" x14ac:dyDescent="0.25">
      <c r="A346">
        <v>22000675</v>
      </c>
      <c r="B346" t="s">
        <v>18</v>
      </c>
      <c r="C346" t="s">
        <v>87</v>
      </c>
      <c r="D346">
        <v>2</v>
      </c>
      <c r="E346">
        <v>0</v>
      </c>
      <c r="F346">
        <v>2</v>
      </c>
      <c r="G346">
        <v>1</v>
      </c>
      <c r="H346" s="1">
        <v>7.8819444444444449E-3</v>
      </c>
      <c r="I346">
        <v>2020</v>
      </c>
      <c r="J346" t="s">
        <v>83</v>
      </c>
      <c r="K346" s="2" t="str">
        <f>HYPERLINK("https://www.nba.com/stats/events?CFID=&amp;CFPARAMS=&amp;GameEventID=11&amp;GameID=0022000675&amp;Season=2020-21&amp;flag=1&amp;title=Leonard%20running%20finger%20roll%20Layup%20(2%20PTS)", "Running finger roll Layup (2 PTS)")</f>
        <v>Running finger roll Layup (2 PTS)</v>
      </c>
      <c r="L346" s="2" t="str">
        <f>HYPERLINK("https://www.nba.com/game/...-vs-...-0022000675/play-by-play?watchFullGame=true", "LAC vs SAS - Q1 11:21.00")</f>
        <v>LAC vs SAS - Q1 11:21.00</v>
      </c>
      <c r="M346">
        <v>1.88</v>
      </c>
      <c r="N346">
        <v>7.57</v>
      </c>
      <c r="O346">
        <v>50.31</v>
      </c>
      <c r="P346">
        <v>-2</v>
      </c>
      <c r="Q346">
        <v>19</v>
      </c>
      <c r="R346">
        <v>7</v>
      </c>
      <c r="S346">
        <v>50</v>
      </c>
    </row>
    <row r="347" spans="1:19" hidden="1" x14ac:dyDescent="0.25">
      <c r="A347">
        <v>22300982</v>
      </c>
      <c r="B347" t="s">
        <v>18</v>
      </c>
      <c r="C347" t="s">
        <v>87</v>
      </c>
      <c r="D347">
        <v>52</v>
      </c>
      <c r="E347">
        <v>66</v>
      </c>
      <c r="F347">
        <v>14</v>
      </c>
      <c r="G347">
        <v>3</v>
      </c>
      <c r="H347" s="1">
        <v>6.2037037037037035E-3</v>
      </c>
      <c r="I347">
        <v>2023</v>
      </c>
      <c r="J347" t="s">
        <v>83</v>
      </c>
      <c r="K347" s="2" t="str">
        <f>HYPERLINK("https://www.nba.com/stats/events?CFID=&amp;CFPARAMS=&amp;GameEventID=349&amp;GameID=0022300982&amp;Season=2023-24&amp;flag=1&amp;title=Leonard%20Layup%20(21%20PTS)", "Layup (21 PTS)")</f>
        <v>Layup (21 PTS)</v>
      </c>
      <c r="L347" s="2" t="str">
        <f>HYPERLINK("https://www.nba.com/game/...-vs-...-0022300982/play-by-play?watchFullGame=true", "LAC vs ATL - Q3 08:56.00")</f>
        <v>LAC vs ATL - Q3 08:56.00</v>
      </c>
      <c r="M347">
        <v>1.86</v>
      </c>
      <c r="N347">
        <v>7.54</v>
      </c>
      <c r="O347">
        <v>50.49</v>
      </c>
      <c r="P347">
        <v>-2</v>
      </c>
      <c r="Q347">
        <v>18</v>
      </c>
      <c r="R347">
        <v>7</v>
      </c>
      <c r="S347">
        <v>50</v>
      </c>
    </row>
    <row r="348" spans="1:19" hidden="1" x14ac:dyDescent="0.25">
      <c r="A348">
        <v>22000188</v>
      </c>
      <c r="B348" t="s">
        <v>18</v>
      </c>
      <c r="C348" t="s">
        <v>87</v>
      </c>
      <c r="D348">
        <v>91</v>
      </c>
      <c r="E348">
        <v>69</v>
      </c>
      <c r="F348">
        <v>22</v>
      </c>
      <c r="G348">
        <v>3</v>
      </c>
      <c r="H348" s="1">
        <v>3.6921296296296298E-3</v>
      </c>
      <c r="I348">
        <v>2020</v>
      </c>
      <c r="J348" t="s">
        <v>83</v>
      </c>
      <c r="K348" s="2" t="str">
        <f>HYPERLINK("https://www.nba.com/stats/events?CFID=&amp;CFPARAMS=&amp;GameEventID=401&amp;GameID=0022000188&amp;Season=2020-21&amp;flag=1&amp;title=Leonard%20running%20Layup%20(23%20PTS)%20(R.%20Jackson%203%20AST)", "Running Layup (23 PTS) (R. Jackson 3 AST)")</f>
        <v>Running Layup (23 PTS) (R. Jackson 3 AST)</v>
      </c>
      <c r="L348" s="2" t="str">
        <f>HYPERLINK("https://www.nba.com/game/...-vs-...-0022000188/play-by-play?watchFullGame=true", "LAC vs SAC - Q3 05:19.00")</f>
        <v>LAC vs SAC - Q3 05:19.00</v>
      </c>
      <c r="M348">
        <v>1.84</v>
      </c>
      <c r="N348">
        <v>7.18</v>
      </c>
      <c r="O348">
        <v>47.86</v>
      </c>
      <c r="P348">
        <v>11</v>
      </c>
      <c r="Q348">
        <v>15</v>
      </c>
      <c r="R348">
        <v>7</v>
      </c>
      <c r="S348">
        <v>47</v>
      </c>
    </row>
    <row r="349" spans="1:19" hidden="1" x14ac:dyDescent="0.25">
      <c r="A349">
        <v>22400874</v>
      </c>
      <c r="B349" t="s">
        <v>18</v>
      </c>
      <c r="C349" t="s">
        <v>87</v>
      </c>
      <c r="D349">
        <v>45</v>
      </c>
      <c r="E349">
        <v>56</v>
      </c>
      <c r="F349">
        <v>11</v>
      </c>
      <c r="G349">
        <v>3</v>
      </c>
      <c r="H349" s="1">
        <v>7.9166666666666673E-3</v>
      </c>
      <c r="I349">
        <v>2024</v>
      </c>
      <c r="J349" t="s">
        <v>83</v>
      </c>
      <c r="K349" s="2" t="str">
        <f>HYPERLINK("https://www.nba.com/stats/events?CFID=&amp;CFPARAMS=&amp;GameEventID=314&amp;GameID=0022400874&amp;Season=2024-25&amp;flag=1&amp;title=Leonard%20putback%20Layup%20(17%20PTS)", "Putback Layup (17 PTS)")</f>
        <v>Putback Layup (17 PTS)</v>
      </c>
      <c r="L349" s="2" t="str">
        <f>HYPERLINK("https://www.nba.com/game/...-vs-...-0022400874/play-by-play?watchFullGame=true", "LAC vs LAL - Q3 11:24.00")</f>
        <v>LAC vs LAL - Q3 11:24.00</v>
      </c>
      <c r="M349">
        <v>1.84</v>
      </c>
      <c r="N349">
        <v>7.54</v>
      </c>
      <c r="O349">
        <v>50.25</v>
      </c>
      <c r="P349">
        <v>-1</v>
      </c>
      <c r="Q349">
        <v>18</v>
      </c>
      <c r="R349">
        <v>7</v>
      </c>
      <c r="S349">
        <v>50</v>
      </c>
    </row>
    <row r="350" spans="1:19" hidden="1" x14ac:dyDescent="0.25">
      <c r="A350">
        <v>22200239</v>
      </c>
      <c r="B350" t="s">
        <v>18</v>
      </c>
      <c r="C350" t="s">
        <v>87</v>
      </c>
      <c r="D350">
        <v>93</v>
      </c>
      <c r="E350">
        <v>69</v>
      </c>
      <c r="F350">
        <v>24</v>
      </c>
      <c r="G350">
        <v>4</v>
      </c>
      <c r="H350" s="1">
        <v>8.2291666666666659E-3</v>
      </c>
      <c r="I350">
        <v>2022</v>
      </c>
      <c r="J350" t="s">
        <v>83</v>
      </c>
      <c r="K350" s="2" t="str">
        <f>HYPERLINK("https://www.nba.com/stats/events?CFID=&amp;CFPARAMS=&amp;GameEventID=443&amp;GameID=0022200239&amp;Season=2022-23&amp;flag=1&amp;title=Leonard%20alley-oop%20Layup%20(11%20PTS)%20(J.%20Wall%2013%20AST)", "Alley-oop Layup (11 PTS) (J. Wall 13 AST)")</f>
        <v>Alley-oop Layup (11 PTS) (J. Wall 13 AST)</v>
      </c>
      <c r="L350" s="2" t="str">
        <f>HYPERLINK("https://www.nba.com/game/...-vs-...-0022200239/play-by-play?watchFullGame=true", "LAC vs SAS - Q4 11:51.00")</f>
        <v>LAC vs SAS - Q4 11:51.00</v>
      </c>
      <c r="M350">
        <v>1.81</v>
      </c>
      <c r="N350">
        <v>7.28</v>
      </c>
      <c r="O350">
        <v>51.72</v>
      </c>
      <c r="P350">
        <v>-9</v>
      </c>
      <c r="Q350">
        <v>16</v>
      </c>
      <c r="R350">
        <v>7</v>
      </c>
      <c r="S350">
        <v>51</v>
      </c>
    </row>
    <row r="351" spans="1:19" hidden="1" x14ac:dyDescent="0.25">
      <c r="A351">
        <v>22200701</v>
      </c>
      <c r="B351" t="s">
        <v>18</v>
      </c>
      <c r="C351" t="s">
        <v>87</v>
      </c>
      <c r="D351">
        <v>72</v>
      </c>
      <c r="E351">
        <v>71</v>
      </c>
      <c r="F351">
        <v>1</v>
      </c>
      <c r="G351">
        <v>3</v>
      </c>
      <c r="H351" s="1">
        <v>1.6550925925925926E-3</v>
      </c>
      <c r="I351">
        <v>2022</v>
      </c>
      <c r="J351" t="s">
        <v>83</v>
      </c>
      <c r="K351" s="2" t="str">
        <f>HYPERLINK("https://www.nba.com/stats/events?CFID=&amp;CFPARAMS=&amp;GameEventID=427&amp;GameID=0022200701&amp;Season=2022-23&amp;flag=1&amp;title=Leonard%20finger%20roll%20Layup%20(19%20PTS)", "Finger roll Layup (19 PTS)")</f>
        <v>Finger roll Layup (19 PTS)</v>
      </c>
      <c r="L351" s="2" t="str">
        <f>HYPERLINK("https://www.nba.com/game/...-vs-...-0022200701/play-by-play?watchFullGame=true", "LAC vs DAL - Q3 02:23.00")</f>
        <v>LAC vs DAL - Q3 02:23.00</v>
      </c>
      <c r="M351">
        <v>1.76</v>
      </c>
      <c r="N351">
        <v>7.44</v>
      </c>
      <c r="O351">
        <v>49.51</v>
      </c>
      <c r="P351">
        <v>2</v>
      </c>
      <c r="Q351">
        <v>17</v>
      </c>
      <c r="R351">
        <v>7</v>
      </c>
      <c r="S351">
        <v>49</v>
      </c>
    </row>
    <row r="352" spans="1:19" hidden="1" x14ac:dyDescent="0.25">
      <c r="A352">
        <v>22000366</v>
      </c>
      <c r="B352" t="s">
        <v>18</v>
      </c>
      <c r="C352" t="s">
        <v>88</v>
      </c>
      <c r="D352">
        <v>101</v>
      </c>
      <c r="E352">
        <v>100</v>
      </c>
      <c r="F352">
        <v>1</v>
      </c>
      <c r="G352">
        <v>4</v>
      </c>
      <c r="H352" s="1">
        <v>3.5763888888888889E-3</v>
      </c>
      <c r="I352">
        <v>2020</v>
      </c>
      <c r="J352" t="s">
        <v>83</v>
      </c>
      <c r="K352" s="2" t="str">
        <f>HYPERLINK("https://www.nba.com/stats/events?CFID=&amp;CFPARAMS=&amp;GameEventID=582&amp;GameID=0022000366&amp;Season=2020-21&amp;flag=1&amp;title=Leonard%20running%20DUNK%20(15%20PTS)%20(R.%20Jackson%204%20AST)", "Running DUNK (15 PTS) (R. Jackson 4 AST)")</f>
        <v>Running DUNK (15 PTS) (R. Jackson 4 AST)</v>
      </c>
      <c r="L352" s="2" t="str">
        <f>HYPERLINK("https://www.nba.com/game/...-vs-...-0022000366/play-by-play?watchFullGame=true", "LAC vs SAC - Q4 05:09.00")</f>
        <v>LAC vs SAC - Q4 05:09.00</v>
      </c>
      <c r="M352">
        <v>2.13</v>
      </c>
      <c r="N352">
        <v>7.84</v>
      </c>
      <c r="O352">
        <v>50.56</v>
      </c>
      <c r="P352">
        <v>-3</v>
      </c>
      <c r="Q352">
        <v>21</v>
      </c>
      <c r="R352">
        <v>7</v>
      </c>
      <c r="S352">
        <v>50</v>
      </c>
    </row>
    <row r="353" spans="1:19" hidden="1" x14ac:dyDescent="0.25">
      <c r="A353">
        <v>22300865</v>
      </c>
      <c r="B353" t="s">
        <v>18</v>
      </c>
      <c r="C353" t="s">
        <v>87</v>
      </c>
      <c r="D353">
        <v>96</v>
      </c>
      <c r="E353">
        <v>73</v>
      </c>
      <c r="F353">
        <v>23</v>
      </c>
      <c r="G353">
        <v>3</v>
      </c>
      <c r="H353" s="1">
        <v>3.472222222222222E-3</v>
      </c>
      <c r="I353">
        <v>2023</v>
      </c>
      <c r="J353" t="s">
        <v>83</v>
      </c>
      <c r="K353" s="2" t="str">
        <f>HYPERLINK("https://www.nba.com/stats/events?CFID=&amp;CFPARAMS=&amp;GameEventID=403&amp;GameID=0022300865&amp;Season=2023-24&amp;flag=1&amp;title=Leonard%20driving%20Layup%20(17%20PTS)%20(J.%20Harden%208%20AST)", "Driving Layup (17 PTS) (J. Harden 8 AST)")</f>
        <v>Driving Layup (17 PTS) (J. Harden 8 AST)</v>
      </c>
      <c r="L353" s="2" t="str">
        <f>HYPERLINK("https://www.nba.com/game/...-vs-...-0022300865/play-by-play?watchFullGame=true", "LAC vs WAS - Q3 05:00.00")</f>
        <v>LAC vs WAS - Q3 05:00.00</v>
      </c>
      <c r="M353">
        <v>1.7</v>
      </c>
      <c r="N353">
        <v>7.28</v>
      </c>
      <c r="O353">
        <v>51.23</v>
      </c>
      <c r="P353">
        <v>-6</v>
      </c>
      <c r="Q353">
        <v>16</v>
      </c>
      <c r="R353">
        <v>7</v>
      </c>
      <c r="S353">
        <v>51</v>
      </c>
    </row>
    <row r="354" spans="1:19" hidden="1" x14ac:dyDescent="0.25">
      <c r="A354">
        <v>22000289</v>
      </c>
      <c r="B354" t="s">
        <v>18</v>
      </c>
      <c r="C354" t="s">
        <v>87</v>
      </c>
      <c r="D354">
        <v>86</v>
      </c>
      <c r="E354">
        <v>69</v>
      </c>
      <c r="F354">
        <v>17</v>
      </c>
      <c r="G354">
        <v>3</v>
      </c>
      <c r="H354" s="1">
        <v>1.0763888888888889E-3</v>
      </c>
      <c r="I354">
        <v>2020</v>
      </c>
      <c r="J354" t="s">
        <v>83</v>
      </c>
      <c r="K354" s="2" t="str">
        <f>HYPERLINK("https://www.nba.com/stats/events?CFID=&amp;CFPARAMS=&amp;GameEventID=442&amp;GameID=0022000289&amp;Season=2020-21&amp;flag=1&amp;title=Leonard%20driving%20finger%20roll%20Layup%20(24%20PTS)", "Driving finger roll Layup (24 PTS)")</f>
        <v>Driving finger roll Layup (24 PTS)</v>
      </c>
      <c r="L354" s="2" t="str">
        <f>HYPERLINK("https://www.nba.com/game/...-vs-...-0022000289/play-by-play?watchFullGame=true", "LAC vs ORL - Q3 01:33.00")</f>
        <v>LAC vs ORL - Q3 01:33.00</v>
      </c>
      <c r="M354">
        <v>1.69</v>
      </c>
      <c r="N354">
        <v>7.18</v>
      </c>
      <c r="O354">
        <v>51.54</v>
      </c>
      <c r="P354">
        <v>-8</v>
      </c>
      <c r="Q354">
        <v>15</v>
      </c>
      <c r="R354">
        <v>7</v>
      </c>
      <c r="S354">
        <v>51</v>
      </c>
    </row>
    <row r="355" spans="1:19" hidden="1" x14ac:dyDescent="0.25">
      <c r="A355">
        <v>22000472</v>
      </c>
      <c r="B355" t="s">
        <v>18</v>
      </c>
      <c r="C355" t="s">
        <v>87</v>
      </c>
      <c r="D355">
        <v>101</v>
      </c>
      <c r="E355">
        <v>107</v>
      </c>
      <c r="F355">
        <v>6</v>
      </c>
      <c r="G355">
        <v>4</v>
      </c>
      <c r="H355" s="1">
        <v>1.6550925925925926E-3</v>
      </c>
      <c r="I355">
        <v>2020</v>
      </c>
      <c r="J355" t="s">
        <v>83</v>
      </c>
      <c r="K355" s="2" t="str">
        <f>HYPERLINK("https://www.nba.com/stats/events?CFID=&amp;CFPARAMS=&amp;GameEventID=572&amp;GameID=0022000472&amp;Season=2020-21&amp;flag=1&amp;title=Leonard%20driving%20finger%20roll%20Layup%20(25%20PTS)%20(P.%20Beverley%203%20AST)", "Driving finger roll Layup (25 PTS) (P. Beverley 3 AST)")</f>
        <v>Driving finger roll Layup (25 PTS) (P. Beverley 3 AST)</v>
      </c>
      <c r="L355" s="2" t="str">
        <f>HYPERLINK("https://www.nba.com/game/...-vs-...-0022000472/play-by-play?watchFullGame=true", "LAC vs BKN - Q4 02:23.00")</f>
        <v>LAC vs BKN - Q4 02:23.00</v>
      </c>
      <c r="M355">
        <v>1.66</v>
      </c>
      <c r="N355">
        <v>7.18</v>
      </c>
      <c r="O355">
        <v>48.6</v>
      </c>
      <c r="P355">
        <v>7</v>
      </c>
      <c r="Q355">
        <v>15</v>
      </c>
      <c r="R355">
        <v>7</v>
      </c>
      <c r="S355">
        <v>48</v>
      </c>
    </row>
    <row r="356" spans="1:19" hidden="1" x14ac:dyDescent="0.25">
      <c r="A356">
        <v>42000171</v>
      </c>
      <c r="B356" t="s">
        <v>18</v>
      </c>
      <c r="C356" t="s">
        <v>87</v>
      </c>
      <c r="D356">
        <v>78</v>
      </c>
      <c r="E356">
        <v>82</v>
      </c>
      <c r="F356">
        <v>4</v>
      </c>
      <c r="G356">
        <v>3</v>
      </c>
      <c r="H356" s="1">
        <v>5.6481481481481476E-4</v>
      </c>
      <c r="I356" t="s">
        <v>91</v>
      </c>
      <c r="J356" t="s">
        <v>83</v>
      </c>
      <c r="K356" s="2" t="str">
        <f>HYPERLINK("https://www.nba.com/stats/events?CFID=&amp;CFPARAMS=&amp;GameEventID=430&amp;GameID=0042000171&amp;Season=2020-21&amp;flag=1&amp;title=Leonard%20running%20finger%20roll%20Layup%20(23%20PTS)%20(R.%20Rondo%202%20AST)", "Running finger roll Layup (23 PTS) (R. Rondo 2 AST)")</f>
        <v>Running finger roll Layup (23 PTS) (R. Rondo 2 AST)</v>
      </c>
      <c r="L356" s="2" t="str">
        <f>HYPERLINK("https://www.nba.com/game/...-vs-...-0042000171/play-by-play?watchFullGame=true", "LAC vs DAL - Q3 00:48.80")</f>
        <v>LAC vs DAL - Q3 00:48.80</v>
      </c>
      <c r="M356">
        <v>1.63</v>
      </c>
      <c r="N356">
        <v>7.18</v>
      </c>
      <c r="O356">
        <v>51.29</v>
      </c>
      <c r="P356">
        <v>7</v>
      </c>
      <c r="Q356">
        <v>51</v>
      </c>
      <c r="R356">
        <v>7</v>
      </c>
      <c r="S356">
        <v>51</v>
      </c>
    </row>
    <row r="357" spans="1:19" hidden="1" x14ac:dyDescent="0.25">
      <c r="A357">
        <v>22300676</v>
      </c>
      <c r="B357" t="s">
        <v>18</v>
      </c>
      <c r="C357" t="s">
        <v>87</v>
      </c>
      <c r="D357">
        <v>79</v>
      </c>
      <c r="E357">
        <v>64</v>
      </c>
      <c r="F357">
        <v>15</v>
      </c>
      <c r="G357">
        <v>3</v>
      </c>
      <c r="H357" s="1">
        <v>4.6759259259259263E-3</v>
      </c>
      <c r="I357">
        <v>2023</v>
      </c>
      <c r="J357" t="s">
        <v>83</v>
      </c>
      <c r="K357" s="2" t="str">
        <f>HYPERLINK("https://www.nba.com/stats/events?CFID=&amp;CFPARAMS=&amp;GameEventID=374&amp;GameID=0022300676&amp;Season=2023-24&amp;flag=1&amp;title=Leonard%20running%20Layup%20(23%20PTS)%20(J.%20Harden%205%20AST)", "Running Layup (23 PTS) (J. Harden 5 AST)")</f>
        <v>Running Layup (23 PTS) (J. Harden 5 AST)</v>
      </c>
      <c r="L357" s="2" t="str">
        <f>HYPERLINK("https://www.nba.com/game/...-vs-...-0022300676/play-by-play?watchFullGame=true", "LAC vs WAS - Q3 06:44.00")</f>
        <v>LAC vs WAS - Q3 06:44.00</v>
      </c>
      <c r="M357">
        <v>1.62</v>
      </c>
      <c r="N357">
        <v>7.05</v>
      </c>
      <c r="O357">
        <v>51.72</v>
      </c>
      <c r="P357">
        <v>-9</v>
      </c>
      <c r="Q357">
        <v>14</v>
      </c>
      <c r="R357">
        <v>7</v>
      </c>
      <c r="S357">
        <v>51</v>
      </c>
    </row>
    <row r="358" spans="1:19" hidden="1" x14ac:dyDescent="0.25">
      <c r="A358">
        <v>22200719</v>
      </c>
      <c r="B358" t="s">
        <v>18</v>
      </c>
      <c r="C358" t="s">
        <v>87</v>
      </c>
      <c r="D358">
        <v>115</v>
      </c>
      <c r="E358">
        <v>103</v>
      </c>
      <c r="F358">
        <v>12</v>
      </c>
      <c r="G358">
        <v>4</v>
      </c>
      <c r="H358" s="1">
        <v>4.0740740740740737E-3</v>
      </c>
      <c r="I358">
        <v>2022</v>
      </c>
      <c r="J358" t="s">
        <v>83</v>
      </c>
      <c r="K358" s="2" t="str">
        <f>HYPERLINK("https://www.nba.com/stats/events?CFID=&amp;CFPARAMS=&amp;GameEventID=562&amp;GameID=0022200719&amp;Season=2022-23&amp;flag=1&amp;title=Leonard%20Layup%20(20%20PTS)", "Layup (20 PTS)")</f>
        <v>Layup (20 PTS)</v>
      </c>
      <c r="L358" s="2" t="str">
        <f>HYPERLINK("https://www.nba.com/game/...-vs-...-0022200719/play-by-play?watchFullGame=true", "LAC vs LAL - Q4 05:52.00")</f>
        <v>LAC vs LAL - Q4 05:52.00</v>
      </c>
      <c r="M358">
        <v>1.59</v>
      </c>
      <c r="N358">
        <v>7.28</v>
      </c>
      <c r="O358">
        <v>50</v>
      </c>
      <c r="P358">
        <v>7</v>
      </c>
      <c r="Q358">
        <v>16</v>
      </c>
      <c r="R358">
        <v>7</v>
      </c>
      <c r="S358">
        <v>50</v>
      </c>
    </row>
    <row r="359" spans="1:19" hidden="1" x14ac:dyDescent="0.25">
      <c r="A359">
        <v>22000520</v>
      </c>
      <c r="B359" t="s">
        <v>18</v>
      </c>
      <c r="C359" t="s">
        <v>88</v>
      </c>
      <c r="D359">
        <v>75</v>
      </c>
      <c r="E359">
        <v>73</v>
      </c>
      <c r="F359">
        <v>2</v>
      </c>
      <c r="G359">
        <v>3</v>
      </c>
      <c r="H359" s="1">
        <v>5.9490740740740739E-4</v>
      </c>
      <c r="I359">
        <v>2020</v>
      </c>
      <c r="J359" t="s">
        <v>83</v>
      </c>
      <c r="K359" s="2" t="str">
        <f>HYPERLINK("https://www.nba.com/stats/events?CFID=&amp;CFPARAMS=&amp;GameEventID=452&amp;GameID=0022000520&amp;Season=2020-21&amp;flag=1&amp;title=Leonard%20driving%20DUNK%20(21%20PTS)", "Driving DUNK (21 PTS)")</f>
        <v>Driving DUNK (21 PTS)</v>
      </c>
      <c r="L359" s="2" t="str">
        <f>HYPERLINK("https://www.nba.com/game/...-vs-...-0022000520/play-by-play?watchFullGame=true", "LAC vs MIL - Q3 00:51.40")</f>
        <v>LAC vs MIL - Q3 00:51.40</v>
      </c>
      <c r="M359">
        <v>1.75</v>
      </c>
      <c r="N359">
        <v>7.44</v>
      </c>
      <c r="O359">
        <v>50.31</v>
      </c>
      <c r="P359">
        <v>-2</v>
      </c>
      <c r="Q359">
        <v>17</v>
      </c>
      <c r="R359">
        <v>7</v>
      </c>
      <c r="S359">
        <v>50</v>
      </c>
    </row>
    <row r="360" spans="1:19" hidden="1" x14ac:dyDescent="0.25">
      <c r="A360">
        <v>22200719</v>
      </c>
      <c r="B360" t="s">
        <v>18</v>
      </c>
      <c r="C360" t="s">
        <v>87</v>
      </c>
      <c r="D360">
        <v>81</v>
      </c>
      <c r="E360">
        <v>59</v>
      </c>
      <c r="F360">
        <v>22</v>
      </c>
      <c r="G360">
        <v>3</v>
      </c>
      <c r="H360" s="1">
        <v>7.1180555555555554E-3</v>
      </c>
      <c r="I360">
        <v>2022</v>
      </c>
      <c r="J360" t="s">
        <v>83</v>
      </c>
      <c r="K360" s="2" t="str">
        <f>HYPERLINK("https://www.nba.com/stats/events?CFID=&amp;CFPARAMS=&amp;GameEventID=351&amp;GameID=0022200719&amp;Season=2022-23&amp;flag=1&amp;title=Leonard%20driving%20Layup%20(14%20PTS)%20(N.%20Batum%205%20AST)", "Driving Layup (14 PTS) (N. Batum 5 AST)")</f>
        <v>Driving Layup (14 PTS) (N. Batum 5 AST)</v>
      </c>
      <c r="L360" s="2" t="str">
        <f>HYPERLINK("https://www.nba.com/game/...-vs-...-0022200719/play-by-play?watchFullGame=true", "LAC vs LAL - Q3 10:15.00")</f>
        <v>LAC vs LAL - Q3 10:15.00</v>
      </c>
      <c r="M360">
        <v>1.53</v>
      </c>
      <c r="N360">
        <v>7.01</v>
      </c>
      <c r="O360">
        <v>48.53</v>
      </c>
      <c r="P360">
        <v>7</v>
      </c>
      <c r="Q360">
        <v>13</v>
      </c>
      <c r="R360">
        <v>7</v>
      </c>
      <c r="S360">
        <v>48</v>
      </c>
    </row>
    <row r="361" spans="1:19" hidden="1" x14ac:dyDescent="0.25">
      <c r="A361">
        <v>22000756</v>
      </c>
      <c r="B361" t="s">
        <v>18</v>
      </c>
      <c r="C361" t="s">
        <v>87</v>
      </c>
      <c r="D361">
        <v>62</v>
      </c>
      <c r="E361">
        <v>40</v>
      </c>
      <c r="F361">
        <v>22</v>
      </c>
      <c r="G361">
        <v>3</v>
      </c>
      <c r="H361" s="1">
        <v>7.0023148148148145E-3</v>
      </c>
      <c r="I361">
        <v>2020</v>
      </c>
      <c r="J361" t="s">
        <v>83</v>
      </c>
      <c r="K361" s="2" t="str">
        <f>HYPERLINK("https://www.nba.com/stats/events?CFID=&amp;CFPARAMS=&amp;GameEventID=351&amp;GameID=0022000756&amp;Season=2020-21&amp;flag=1&amp;title=Leonard%20reverse%20Layup%20(10%20PTS)%20(I.%20Zubac%201%20AST)", "Reverse Layup (10 PTS) (I. Zubac 1 AST)")</f>
        <v>Reverse Layup (10 PTS) (I. Zubac 1 AST)</v>
      </c>
      <c r="L361" s="2" t="str">
        <f>HYPERLINK("https://www.nba.com/game/...-vs-...-0022000756/play-by-play?watchFullGame=true", "LAC vs LAL - Q3 10:05.00")</f>
        <v>LAC vs LAL - Q3 10:05.00</v>
      </c>
      <c r="M361">
        <v>1.5</v>
      </c>
      <c r="N361">
        <v>7.18</v>
      </c>
      <c r="O361">
        <v>50.07</v>
      </c>
      <c r="P361">
        <v>7</v>
      </c>
      <c r="Q361">
        <v>15</v>
      </c>
      <c r="R361">
        <v>7</v>
      </c>
      <c r="S361">
        <v>50</v>
      </c>
    </row>
    <row r="362" spans="1:19" hidden="1" x14ac:dyDescent="0.25">
      <c r="A362">
        <v>22200719</v>
      </c>
      <c r="B362" t="s">
        <v>18</v>
      </c>
      <c r="C362" t="s">
        <v>88</v>
      </c>
      <c r="D362">
        <v>121</v>
      </c>
      <c r="E362">
        <v>103</v>
      </c>
      <c r="F362">
        <v>18</v>
      </c>
      <c r="G362">
        <v>4</v>
      </c>
      <c r="H362" s="1">
        <v>3.5532407407407409E-3</v>
      </c>
      <c r="I362">
        <v>2022</v>
      </c>
      <c r="J362" t="s">
        <v>83</v>
      </c>
      <c r="K362" s="2" t="str">
        <f>HYPERLINK("https://www.nba.com/stats/events?CFID=&amp;CFPARAMS=&amp;GameEventID=573&amp;GameID=0022200719&amp;Season=2022-23&amp;flag=1&amp;title=Leonard%20running%20DUNK%20(23%20PTS)%20(N.%20Powell%204%20AST)", "Running DUNK (23 PTS) (N. Powell 4 AST)")</f>
        <v>Running DUNK (23 PTS) (N. Powell 4 AST)</v>
      </c>
      <c r="L362" s="2" t="str">
        <f>HYPERLINK("https://www.nba.com/game/...-vs-...-0022200719/play-by-play?watchFullGame=true", "LAC vs LAL - Q4 05:07.00")</f>
        <v>LAC vs LAL - Q4 05:07.00</v>
      </c>
      <c r="M362">
        <v>2.21</v>
      </c>
      <c r="N362">
        <v>7.93</v>
      </c>
      <c r="O362">
        <v>50.25</v>
      </c>
      <c r="P362">
        <v>-1</v>
      </c>
      <c r="Q362">
        <v>22</v>
      </c>
      <c r="R362">
        <v>7</v>
      </c>
      <c r="S362">
        <v>50</v>
      </c>
    </row>
    <row r="363" spans="1:19" hidden="1" x14ac:dyDescent="0.25">
      <c r="A363">
        <v>22400659</v>
      </c>
      <c r="B363" t="s">
        <v>18</v>
      </c>
      <c r="C363" t="s">
        <v>87</v>
      </c>
      <c r="D363">
        <v>84</v>
      </c>
      <c r="E363">
        <v>90</v>
      </c>
      <c r="F363">
        <v>6</v>
      </c>
      <c r="G363">
        <v>4</v>
      </c>
      <c r="H363" s="1">
        <v>6.3078703703703708E-3</v>
      </c>
      <c r="I363">
        <v>2024</v>
      </c>
      <c r="J363" t="s">
        <v>83</v>
      </c>
      <c r="K363" s="2" t="str">
        <f>HYPERLINK("https://www.nba.com/stats/events?CFID=&amp;CFPARAMS=&amp;GameEventID=484&amp;GameID=0022400659&amp;Season=2024-25&amp;flag=1&amp;title=Leonard%20driving%20Layup%20(17%20PTS)", "Driving Layup (17 PTS)")</f>
        <v>Driving Layup (17 PTS)</v>
      </c>
      <c r="L363" s="2" t="str">
        <f>HYPERLINK("https://www.nba.com/game/...-vs-...-0022400659/play-by-play?watchFullGame=true", "LAC vs PHX - Q4 09:05.00")</f>
        <v>LAC vs PHX - Q4 09:05.00</v>
      </c>
      <c r="M363">
        <v>1.42</v>
      </c>
      <c r="N363">
        <v>7.05</v>
      </c>
      <c r="O363">
        <v>50.74</v>
      </c>
      <c r="P363">
        <v>-4</v>
      </c>
      <c r="Q363">
        <v>14</v>
      </c>
      <c r="R363">
        <v>7</v>
      </c>
      <c r="S363">
        <v>50</v>
      </c>
    </row>
    <row r="364" spans="1:19" hidden="1" x14ac:dyDescent="0.25">
      <c r="A364">
        <v>22300865</v>
      </c>
      <c r="B364" t="s">
        <v>18</v>
      </c>
      <c r="C364" t="s">
        <v>88</v>
      </c>
      <c r="D364">
        <v>100</v>
      </c>
      <c r="E364">
        <v>75</v>
      </c>
      <c r="F364">
        <v>25</v>
      </c>
      <c r="G364">
        <v>3</v>
      </c>
      <c r="H364" s="1">
        <v>2.488425925925926E-3</v>
      </c>
      <c r="I364">
        <v>2023</v>
      </c>
      <c r="J364" t="s">
        <v>83</v>
      </c>
      <c r="K364" s="2" t="str">
        <f>HYPERLINK("https://www.nba.com/stats/events?CFID=&amp;CFPARAMS=&amp;GameEventID=427&amp;GameID=0022300865&amp;Season=2023-24&amp;flag=1&amp;title=Leonard%20driving%20DUNK%20(21%20PTS)%20(B.%20Hyland%201%20AST)", "Driving DUNK (21 PTS) (B. Hyland 1 AST)")</f>
        <v>Driving DUNK (21 PTS) (B. Hyland 1 AST)</v>
      </c>
      <c r="L364" s="2" t="str">
        <f>HYPERLINK("https://www.nba.com/game/...-vs-...-0022300865/play-by-play?watchFullGame=true", "LAC vs WAS - Q3 03:35.00")</f>
        <v>LAC vs WAS - Q3 03:35.00</v>
      </c>
      <c r="M364">
        <v>1.96</v>
      </c>
      <c r="N364">
        <v>7.67</v>
      </c>
      <c r="O364">
        <v>50.25</v>
      </c>
      <c r="P364">
        <v>-1</v>
      </c>
      <c r="Q364">
        <v>20</v>
      </c>
      <c r="R364">
        <v>7</v>
      </c>
      <c r="S364">
        <v>50</v>
      </c>
    </row>
    <row r="365" spans="1:19" hidden="1" x14ac:dyDescent="0.25">
      <c r="A365">
        <v>22300458</v>
      </c>
      <c r="B365" t="s">
        <v>18</v>
      </c>
      <c r="C365" t="s">
        <v>88</v>
      </c>
      <c r="D365">
        <v>97</v>
      </c>
      <c r="E365">
        <v>85</v>
      </c>
      <c r="F365">
        <v>12</v>
      </c>
      <c r="G365">
        <v>4</v>
      </c>
      <c r="H365" s="1">
        <v>7.951388888888888E-3</v>
      </c>
      <c r="I365">
        <v>2023</v>
      </c>
      <c r="J365" t="s">
        <v>83</v>
      </c>
      <c r="K365" s="2" t="str">
        <f>HYPERLINK("https://www.nba.com/stats/events?CFID=&amp;CFPARAMS=&amp;GameEventID=473&amp;GameID=0022300458&amp;Season=2023-24&amp;flag=1&amp;title=Leonard%20DUNK%20(19%20PTS)%20(R.%20Westbrook%202%20AST)", "DUNK (19 PTS) (R. Westbrook 2 AST)")</f>
        <v>DUNK (19 PTS) (R. Westbrook 2 AST)</v>
      </c>
      <c r="L365" s="2" t="str">
        <f>HYPERLINK("https://www.nba.com/game/...-vs-...-0022300458/play-by-play?watchFullGame=true", "LAC vs MIA - Q4 11:27.00")</f>
        <v>LAC vs MIA - Q4 11:27.00</v>
      </c>
      <c r="M365">
        <v>1.47</v>
      </c>
      <c r="N365">
        <v>7.15</v>
      </c>
      <c r="O365">
        <v>50.25</v>
      </c>
      <c r="P365">
        <v>-1</v>
      </c>
      <c r="Q365">
        <v>15</v>
      </c>
      <c r="R365">
        <v>7</v>
      </c>
      <c r="S365">
        <v>50</v>
      </c>
    </row>
    <row r="366" spans="1:19" hidden="1" x14ac:dyDescent="0.25">
      <c r="A366">
        <v>22201156</v>
      </c>
      <c r="B366" t="s">
        <v>18</v>
      </c>
      <c r="C366" t="s">
        <v>87</v>
      </c>
      <c r="D366">
        <v>4</v>
      </c>
      <c r="E366">
        <v>0</v>
      </c>
      <c r="F366">
        <v>4</v>
      </c>
      <c r="G366">
        <v>1</v>
      </c>
      <c r="H366" s="1">
        <v>7.789351851851852E-3</v>
      </c>
      <c r="I366">
        <v>2022</v>
      </c>
      <c r="J366" t="s">
        <v>83</v>
      </c>
      <c r="K366" s="2" t="str">
        <f>HYPERLINK("https://www.nba.com/stats/events?CFID=&amp;CFPARAMS=&amp;GameEventID=11&amp;GameID=0022201156&amp;Season=2022-23&amp;flag=1&amp;title=Leonard%20alley-oop%20Layup%20(2%20PTS)%20(R.%20Westbrook%201%20AST)", "Alley-oop Layup (2 PTS) (R. Westbrook 1 AST)")</f>
        <v>Alley-oop Layup (2 PTS) (R. Westbrook 1 AST)</v>
      </c>
      <c r="L366" s="2" t="str">
        <f>HYPERLINK("https://www.nba.com/game/...-vs-...-0022201156/play-by-play?watchFullGame=true", "LAC vs MEM - Q1 11:13.00")</f>
        <v>LAC vs MEM - Q1 11:13.00</v>
      </c>
      <c r="M366">
        <v>1.39</v>
      </c>
      <c r="N366">
        <v>7.05</v>
      </c>
      <c r="O366">
        <v>49.51</v>
      </c>
      <c r="P366">
        <v>2</v>
      </c>
      <c r="Q366">
        <v>14</v>
      </c>
      <c r="R366">
        <v>7</v>
      </c>
      <c r="S366">
        <v>49</v>
      </c>
    </row>
    <row r="367" spans="1:19" hidden="1" x14ac:dyDescent="0.25">
      <c r="A367">
        <v>22400943</v>
      </c>
      <c r="B367" t="s">
        <v>18</v>
      </c>
      <c r="C367" t="s">
        <v>88</v>
      </c>
      <c r="D367">
        <v>120</v>
      </c>
      <c r="E367">
        <v>125</v>
      </c>
      <c r="F367">
        <v>5</v>
      </c>
      <c r="G367">
        <v>4</v>
      </c>
      <c r="H367" s="1">
        <v>1.0648148148148147E-4</v>
      </c>
      <c r="I367">
        <v>2024</v>
      </c>
      <c r="J367" t="s">
        <v>83</v>
      </c>
      <c r="K367" s="2" t="str">
        <f>HYPERLINK("https://www.nba.com/stats/events?CFID=&amp;CFPARAMS=&amp;GameEventID=648&amp;GameID=0022400943&amp;Season=2024-25&amp;flag=1&amp;title=Leonard%20driving%20DUNK%20(29%20PTS)", "Driving DUNK (29 PTS)")</f>
        <v>Driving DUNK (29 PTS)</v>
      </c>
      <c r="L367" s="2" t="str">
        <f>HYPERLINK("https://www.nba.com/game/...-vs-...-0022400943/play-by-play?watchFullGame=true", "LAC vs NOP - Q4 00:09.20")</f>
        <v>LAC vs NOP - Q4 00:09.20</v>
      </c>
      <c r="M367">
        <v>1.62</v>
      </c>
      <c r="N367">
        <v>7.31</v>
      </c>
      <c r="O367">
        <v>49.75</v>
      </c>
      <c r="P367">
        <v>1</v>
      </c>
      <c r="Q367">
        <v>16</v>
      </c>
      <c r="R367">
        <v>7</v>
      </c>
      <c r="S367">
        <v>49</v>
      </c>
    </row>
    <row r="368" spans="1:19" hidden="1" x14ac:dyDescent="0.25">
      <c r="A368">
        <v>22400943</v>
      </c>
      <c r="B368" t="s">
        <v>18</v>
      </c>
      <c r="C368" t="s">
        <v>88</v>
      </c>
      <c r="D368">
        <v>55</v>
      </c>
      <c r="E368">
        <v>63</v>
      </c>
      <c r="F368">
        <v>8</v>
      </c>
      <c r="G368">
        <v>3</v>
      </c>
      <c r="H368" s="1">
        <v>7.6736111111111111E-3</v>
      </c>
      <c r="I368">
        <v>2024</v>
      </c>
      <c r="J368" t="s">
        <v>83</v>
      </c>
      <c r="K368" s="2" t="str">
        <f>HYPERLINK("https://www.nba.com/stats/events?CFID=&amp;CFPARAMS=&amp;GameEventID=322&amp;GameID=0022400943&amp;Season=2024-25&amp;flag=1&amp;title=Leonard%20cutting%20DUNK%20(17%20PTS)%20(I.%20Zubac%203%20AST)", "Cutting DUNK (17 PTS) (I. Zubac 3 AST)")</f>
        <v>Cutting DUNK (17 PTS) (I. Zubac 3 AST)</v>
      </c>
      <c r="L368" s="2" t="str">
        <f>HYPERLINK("https://www.nba.com/game/...-vs-...-0022400943/play-by-play?watchFullGame=true", "LAC vs NOP - Q3 11:03.00")</f>
        <v>LAC vs NOP - Q3 11:03.00</v>
      </c>
      <c r="M368">
        <v>2.12</v>
      </c>
      <c r="N368">
        <v>7.84</v>
      </c>
      <c r="O368">
        <v>49.51</v>
      </c>
      <c r="P368">
        <v>2</v>
      </c>
      <c r="Q368">
        <v>21</v>
      </c>
      <c r="R368">
        <v>7</v>
      </c>
      <c r="S368">
        <v>49</v>
      </c>
    </row>
    <row r="369" spans="1:19" hidden="1" x14ac:dyDescent="0.25">
      <c r="A369">
        <v>22000251</v>
      </c>
      <c r="B369" t="s">
        <v>18</v>
      </c>
      <c r="C369" t="s">
        <v>88</v>
      </c>
      <c r="D369">
        <v>77</v>
      </c>
      <c r="E369">
        <v>67</v>
      </c>
      <c r="F369">
        <v>10</v>
      </c>
      <c r="G369">
        <v>3</v>
      </c>
      <c r="H369" s="1">
        <v>2.3148148148148147E-3</v>
      </c>
      <c r="I369">
        <v>2020</v>
      </c>
      <c r="J369" t="s">
        <v>83</v>
      </c>
      <c r="K369" s="2" t="str">
        <f>HYPERLINK("https://www.nba.com/stats/events?CFID=&amp;CFPARAMS=&amp;GameEventID=401&amp;GameID=0022000251&amp;Season=2020-21&amp;flag=1&amp;title=Leonard%20driving%20DUNK%20(28%20PTS)", "Driving DUNK (28 PTS)")</f>
        <v>Driving DUNK (28 PTS)</v>
      </c>
      <c r="L369" s="2" t="str">
        <f>HYPERLINK("https://www.nba.com/game/...-vs-...-0022000251/play-by-play?watchFullGame=true", "LAC vs OKC - Q3 03:20.00")</f>
        <v>LAC vs OKC - Q3 03:20.00</v>
      </c>
      <c r="M369">
        <v>1.75</v>
      </c>
      <c r="N369">
        <v>7.44</v>
      </c>
      <c r="O369">
        <v>49.58</v>
      </c>
      <c r="P369">
        <v>2</v>
      </c>
      <c r="Q369">
        <v>17</v>
      </c>
      <c r="R369">
        <v>7</v>
      </c>
      <c r="S369">
        <v>49</v>
      </c>
    </row>
    <row r="370" spans="1:19" hidden="1" x14ac:dyDescent="0.25">
      <c r="A370">
        <v>22301052</v>
      </c>
      <c r="B370" t="s">
        <v>18</v>
      </c>
      <c r="C370" t="s">
        <v>88</v>
      </c>
      <c r="D370">
        <v>89</v>
      </c>
      <c r="E370">
        <v>91</v>
      </c>
      <c r="F370">
        <v>2</v>
      </c>
      <c r="G370">
        <v>4</v>
      </c>
      <c r="H370" s="1">
        <v>4.4791666666666669E-3</v>
      </c>
      <c r="I370">
        <v>2023</v>
      </c>
      <c r="J370" t="s">
        <v>83</v>
      </c>
      <c r="K370" s="2" t="str">
        <f>HYPERLINK("https://www.nba.com/stats/events?CFID=&amp;CFPARAMS=&amp;GameEventID=532&amp;GameID=0022301052&amp;Season=2023-24&amp;flag=1&amp;title=Leonard%20running%20DUNK%20(9%20PTS)%20(J.%20Harden%2011%20AST)", "Running DUNK (9 PTS) (J. Harden 11 AST)")</f>
        <v>Running DUNK (9 PTS) (J. Harden 11 AST)</v>
      </c>
      <c r="L370" s="2" t="str">
        <f>HYPERLINK("https://www.nba.com/game/...-vs-...-0022301052/play-by-play?watchFullGame=true", "LAC vs PHI - Q4 06:27.00")</f>
        <v>LAC vs PHI - Q4 06:27.00</v>
      </c>
      <c r="M370">
        <v>1.49</v>
      </c>
      <c r="N370">
        <v>7.15</v>
      </c>
      <c r="O370">
        <v>49.51</v>
      </c>
      <c r="P370">
        <v>2</v>
      </c>
      <c r="Q370">
        <v>15</v>
      </c>
      <c r="R370">
        <v>7</v>
      </c>
      <c r="S370">
        <v>49</v>
      </c>
    </row>
    <row r="371" spans="1:19" hidden="1" x14ac:dyDescent="0.25">
      <c r="A371">
        <v>22300873</v>
      </c>
      <c r="B371" t="s">
        <v>18</v>
      </c>
      <c r="C371" t="s">
        <v>88</v>
      </c>
      <c r="D371">
        <v>43</v>
      </c>
      <c r="E371">
        <v>43</v>
      </c>
      <c r="F371">
        <v>0</v>
      </c>
      <c r="G371">
        <v>2</v>
      </c>
      <c r="H371" s="1">
        <v>1.9791666666666668E-3</v>
      </c>
      <c r="I371">
        <v>2023</v>
      </c>
      <c r="J371" t="s">
        <v>83</v>
      </c>
      <c r="K371" s="2" t="str">
        <f>HYPERLINK("https://www.nba.com/stats/events?CFID=&amp;CFPARAMS=&amp;GameEventID=237&amp;GameID=0022300873&amp;Season=2023-24&amp;flag=1&amp;title=Leonard%20alley-oop%20DUNK%20(11%20PTS)%20(J.%20Harden%205%20AST)", "Alley-oop DUNK (11 PTS) (J. Harden 5 AST)")</f>
        <v>Alley-oop DUNK (11 PTS) (J. Harden 5 AST)</v>
      </c>
      <c r="L371" s="2" t="str">
        <f>HYPERLINK("https://www.nba.com/game/...-vs-...-0022300873/play-by-play?watchFullGame=true", "LAC vs MIN - Q2 02:51.00")</f>
        <v>LAC vs MIN - Q2 02:51.00</v>
      </c>
      <c r="M371">
        <v>1.39</v>
      </c>
      <c r="N371">
        <v>7.05</v>
      </c>
      <c r="O371">
        <v>49.51</v>
      </c>
      <c r="P371">
        <v>2</v>
      </c>
      <c r="Q371">
        <v>14</v>
      </c>
      <c r="R371">
        <v>7</v>
      </c>
      <c r="S371">
        <v>49</v>
      </c>
    </row>
    <row r="372" spans="1:19" hidden="1" x14ac:dyDescent="0.25">
      <c r="A372">
        <v>22301215</v>
      </c>
      <c r="B372" t="s">
        <v>18</v>
      </c>
      <c r="C372" t="s">
        <v>88</v>
      </c>
      <c r="D372">
        <v>99</v>
      </c>
      <c r="E372">
        <v>93</v>
      </c>
      <c r="F372">
        <v>6</v>
      </c>
      <c r="G372">
        <v>4</v>
      </c>
      <c r="H372" s="1">
        <v>2.5000000000000001E-3</v>
      </c>
      <c r="I372">
        <v>2023</v>
      </c>
      <c r="J372" t="s">
        <v>83</v>
      </c>
      <c r="K372" s="2" t="str">
        <f>HYPERLINK("https://www.nba.com/stats/events?CFID=&amp;CFPARAMS=&amp;GameEventID=582&amp;GameID=0022301215&amp;Season=2023-24&amp;flag=1&amp;title=Leonard%20running%20DUNK%20(15%20PTS)%20(J.%20Harden%2011%20AST)", "Running DUNK (15 PTS) (J. Harden 11 AST)")</f>
        <v>Running DUNK (15 PTS) (J. Harden 11 AST)</v>
      </c>
      <c r="L372" s="2" t="str">
        <f>HYPERLINK("https://www.nba.com/game/...-vs-...-0022301215/play-by-play?watchFullGame=true", "LAC vs DEN - Q4 03:36.00")</f>
        <v>LAC vs DEN - Q4 03:36.00</v>
      </c>
      <c r="M372">
        <v>1.52</v>
      </c>
      <c r="N372">
        <v>7.15</v>
      </c>
      <c r="O372">
        <v>49.26</v>
      </c>
      <c r="P372">
        <v>4</v>
      </c>
      <c r="Q372">
        <v>15</v>
      </c>
      <c r="R372">
        <v>7</v>
      </c>
      <c r="S372">
        <v>49</v>
      </c>
    </row>
    <row r="373" spans="1:19" hidden="1" x14ac:dyDescent="0.25">
      <c r="A373">
        <v>22300325</v>
      </c>
      <c r="B373" t="s">
        <v>18</v>
      </c>
      <c r="C373" t="s">
        <v>88</v>
      </c>
      <c r="D373">
        <v>55</v>
      </c>
      <c r="E373">
        <v>42</v>
      </c>
      <c r="F373">
        <v>13</v>
      </c>
      <c r="G373">
        <v>2</v>
      </c>
      <c r="H373" s="1">
        <v>3.7615740740740739E-3</v>
      </c>
      <c r="I373">
        <v>2023</v>
      </c>
      <c r="J373" t="s">
        <v>83</v>
      </c>
      <c r="K373" s="2" t="str">
        <f>HYPERLINK("https://www.nba.com/stats/events?CFID=&amp;CFPARAMS=&amp;GameEventID=275&amp;GameID=0022300325&amp;Season=2023-24&amp;flag=1&amp;title=Leonard%20running%20alley-oop%20DUNK%20(14%20PTS)%20(T.%20Mann%201%20AST)", "Running alley-oop DUNK (14 PTS) (T. Mann 1 AST)")</f>
        <v>Running alley-oop DUNK (14 PTS) (T. Mann 1 AST)</v>
      </c>
      <c r="L373" s="2" t="str">
        <f>HYPERLINK("https://www.nba.com/game/...-vs-...-0022300325/play-by-play?watchFullGame=true", "LAC vs GSW - Q2 05:25.00")</f>
        <v>LAC vs GSW - Q2 05:25.00</v>
      </c>
      <c r="M373">
        <v>1.39</v>
      </c>
      <c r="N373">
        <v>7.01</v>
      </c>
      <c r="O373">
        <v>49.26</v>
      </c>
      <c r="P373">
        <v>4</v>
      </c>
      <c r="Q373">
        <v>13</v>
      </c>
      <c r="R373">
        <v>7</v>
      </c>
      <c r="S373">
        <v>49</v>
      </c>
    </row>
    <row r="374" spans="1:19" hidden="1" x14ac:dyDescent="0.25">
      <c r="A374">
        <v>22400671</v>
      </c>
      <c r="B374" t="s">
        <v>18</v>
      </c>
      <c r="C374" t="s">
        <v>88</v>
      </c>
      <c r="D374">
        <v>123</v>
      </c>
      <c r="E374">
        <v>110</v>
      </c>
      <c r="F374">
        <v>13</v>
      </c>
      <c r="G374">
        <v>4</v>
      </c>
      <c r="H374" s="1">
        <v>1.0879629629629629E-3</v>
      </c>
      <c r="I374">
        <v>2024</v>
      </c>
      <c r="J374" t="s">
        <v>83</v>
      </c>
      <c r="K374" s="2" t="str">
        <f>HYPERLINK("https://www.nba.com/stats/events?CFID=&amp;CFPARAMS=&amp;GameEventID=629&amp;GameID=0022400671&amp;Season=2024-25&amp;flag=1&amp;title=Leonard%20running%20DUNK%20(27%20PTS)%20(J.%20Harden%2011%20AST)", "Running DUNK (27 PTS) (J. Harden 11 AST)")</f>
        <v>Running DUNK (27 PTS) (J. Harden 11 AST)</v>
      </c>
      <c r="L374" s="2" t="str">
        <f>HYPERLINK("https://www.nba.com/game/...-vs-...-0022400671/play-by-play?watchFullGame=true", "LAC vs SAS - Q4 01:34.00")</f>
        <v>LAC vs SAS - Q4 01:34.00</v>
      </c>
      <c r="M374">
        <v>1.45</v>
      </c>
      <c r="N374">
        <v>7.05</v>
      </c>
      <c r="O374">
        <v>49.02</v>
      </c>
      <c r="P374">
        <v>5</v>
      </c>
      <c r="Q374">
        <v>14</v>
      </c>
      <c r="R374">
        <v>7</v>
      </c>
      <c r="S374">
        <v>49</v>
      </c>
    </row>
    <row r="375" spans="1:19" hidden="1" x14ac:dyDescent="0.25">
      <c r="A375">
        <v>21901241</v>
      </c>
      <c r="B375" t="s">
        <v>18</v>
      </c>
      <c r="C375" t="s">
        <v>92</v>
      </c>
      <c r="D375">
        <v>22</v>
      </c>
      <c r="E375">
        <v>8</v>
      </c>
      <c r="F375">
        <v>14</v>
      </c>
      <c r="G375">
        <v>1</v>
      </c>
      <c r="H375" s="1">
        <v>5.0694444444444441E-3</v>
      </c>
      <c r="I375">
        <v>2019</v>
      </c>
      <c r="J375" t="s">
        <v>83</v>
      </c>
      <c r="K375" s="2" t="str">
        <f>HYPERLINK("https://www.nba.com/stats/events?CFID=&amp;CFPARAMS=&amp;GameEventID=51&amp;GameID=0021901241&amp;Season=2019-20&amp;flag=1&amp;title=Leonard%20dunk%20(7%20PTS)%20(P.%20Beverley%201%20AST)", "Dunk (7 PTS) (P. Beverley 1 AST)")</f>
        <v>Dunk (7 PTS) (P. Beverley 1 AST)</v>
      </c>
      <c r="L375" s="2" t="str">
        <f>HYPERLINK("https://www.nba.com/game/...-vs-...-0021901241/play-by-play?watchFullGame=true", "LAC vs NOP - Q1 07:18.00")</f>
        <v>LAC vs NOP - Q1 07:18.00</v>
      </c>
      <c r="M375">
        <v>2.39</v>
      </c>
      <c r="N375">
        <v>7.44</v>
      </c>
      <c r="O375">
        <v>48.6</v>
      </c>
      <c r="P375">
        <v>7</v>
      </c>
      <c r="Q375">
        <v>17</v>
      </c>
      <c r="R375">
        <v>7</v>
      </c>
      <c r="S375">
        <v>48</v>
      </c>
    </row>
    <row r="376" spans="1:19" hidden="1" x14ac:dyDescent="0.25">
      <c r="A376">
        <v>22201196</v>
      </c>
      <c r="B376" t="s">
        <v>18</v>
      </c>
      <c r="C376" t="s">
        <v>88</v>
      </c>
      <c r="D376">
        <v>112</v>
      </c>
      <c r="E376">
        <v>92</v>
      </c>
      <c r="F376">
        <v>20</v>
      </c>
      <c r="G376">
        <v>4</v>
      </c>
      <c r="H376" s="1">
        <v>4.5717592592592589E-3</v>
      </c>
      <c r="I376">
        <v>2022</v>
      </c>
      <c r="J376" t="s">
        <v>83</v>
      </c>
      <c r="K376" s="2" t="str">
        <f>HYPERLINK("https://www.nba.com/stats/events?CFID=&amp;CFPARAMS=&amp;GameEventID=529&amp;GameID=0022201196&amp;Season=2022-23&amp;flag=1&amp;title=Leonard%20running%20alley-oop%20DUNK%20(23%20PTS)%20(N.%20Powell%204%20AST)", "Running alley-oop DUNK (23 PTS) (N. Powell 4 AST)")</f>
        <v>Running alley-oop DUNK (23 PTS) (N. Powell 4 AST)</v>
      </c>
      <c r="L376" s="2" t="str">
        <f>HYPERLINK("https://www.nba.com/game/...-vs-...-0022201196/play-by-play?watchFullGame=true", "LAC vs LAL - Q4 06:35.00")</f>
        <v>LAC vs LAL - Q4 06:35.00</v>
      </c>
      <c r="M376">
        <v>1.98</v>
      </c>
      <c r="N376">
        <v>7.54</v>
      </c>
      <c r="O376">
        <v>48.53</v>
      </c>
      <c r="P376">
        <v>7</v>
      </c>
      <c r="Q376">
        <v>18</v>
      </c>
      <c r="R376">
        <v>7</v>
      </c>
      <c r="S376">
        <v>48</v>
      </c>
    </row>
    <row r="377" spans="1:19" hidden="1" x14ac:dyDescent="0.25">
      <c r="A377">
        <v>22201004</v>
      </c>
      <c r="B377" t="s">
        <v>18</v>
      </c>
      <c r="C377" t="s">
        <v>88</v>
      </c>
      <c r="D377">
        <v>106</v>
      </c>
      <c r="E377">
        <v>95</v>
      </c>
      <c r="F377">
        <v>11</v>
      </c>
      <c r="G377">
        <v>4</v>
      </c>
      <c r="H377" s="1">
        <v>4.7222222222222218E-4</v>
      </c>
      <c r="I377">
        <v>2022</v>
      </c>
      <c r="J377" t="s">
        <v>83</v>
      </c>
      <c r="K377" s="2" t="str">
        <f>HYPERLINK("https://www.nba.com/stats/events?CFID=&amp;CFPARAMS=&amp;GameEventID=607&amp;GameID=0022201004&amp;Season=2022-23&amp;flag=1&amp;title=Leonard%20driving%20DUNK%20(38%20PTS)", "Driving DUNK (38 PTS)")</f>
        <v>Driving DUNK (38 PTS)</v>
      </c>
      <c r="L377" s="2" t="str">
        <f>HYPERLINK("https://www.nba.com/game/...-vs-...-0022201004/play-by-play?watchFullGame=true", "LAC vs NYK - Q4 00:40.80")</f>
        <v>LAC vs NYK - Q4 00:40.80</v>
      </c>
      <c r="M377">
        <v>1.59</v>
      </c>
      <c r="N377">
        <v>7.28</v>
      </c>
      <c r="O377">
        <v>50</v>
      </c>
      <c r="P377">
        <v>7</v>
      </c>
      <c r="Q377">
        <v>16</v>
      </c>
      <c r="R377">
        <v>7</v>
      </c>
      <c r="S377">
        <v>50</v>
      </c>
    </row>
    <row r="378" spans="1:19" hidden="1" x14ac:dyDescent="0.25">
      <c r="A378">
        <v>22000644</v>
      </c>
      <c r="B378" t="s">
        <v>18</v>
      </c>
      <c r="C378" t="s">
        <v>88</v>
      </c>
      <c r="D378">
        <v>71</v>
      </c>
      <c r="E378">
        <v>44</v>
      </c>
      <c r="F378">
        <v>27</v>
      </c>
      <c r="G378">
        <v>3</v>
      </c>
      <c r="H378" s="1">
        <v>7.8703703703703696E-3</v>
      </c>
      <c r="I378">
        <v>2020</v>
      </c>
      <c r="J378" t="s">
        <v>83</v>
      </c>
      <c r="K378" s="2" t="str">
        <f>HYPERLINK("https://www.nba.com/stats/events?CFID=&amp;CFPARAMS=&amp;GameEventID=347&amp;GameID=0022000644&amp;Season=2020-21&amp;flag=1&amp;title=Leonard%20running%20DUNK%20(12%20PTS)", "Running DUNK (12 PTS)")</f>
        <v>Running DUNK (12 PTS)</v>
      </c>
      <c r="L378" s="2" t="str">
        <f>HYPERLINK("https://www.nba.com/game/...-vs-...-0022000644/play-by-play?watchFullGame=true", "LAC vs CHA - Q3 11:20.00")</f>
        <v>LAC vs CHA - Q3 11:20.00</v>
      </c>
      <c r="M378">
        <v>1.54</v>
      </c>
      <c r="N378">
        <v>7.05</v>
      </c>
      <c r="O378">
        <v>48.6</v>
      </c>
      <c r="P378">
        <v>7</v>
      </c>
      <c r="Q378">
        <v>14</v>
      </c>
      <c r="R378">
        <v>7</v>
      </c>
      <c r="S378">
        <v>48</v>
      </c>
    </row>
    <row r="379" spans="1:19" hidden="1" x14ac:dyDescent="0.25">
      <c r="A379">
        <v>22000328</v>
      </c>
      <c r="B379" t="s">
        <v>18</v>
      </c>
      <c r="C379" t="s">
        <v>88</v>
      </c>
      <c r="D379">
        <v>48</v>
      </c>
      <c r="E379">
        <v>47</v>
      </c>
      <c r="F379">
        <v>1</v>
      </c>
      <c r="G379">
        <v>2</v>
      </c>
      <c r="H379" s="1">
        <v>8.2175925925925927E-4</v>
      </c>
      <c r="I379">
        <v>2020</v>
      </c>
      <c r="J379" t="s">
        <v>83</v>
      </c>
      <c r="K379" s="2" t="str">
        <f>HYPERLINK("https://www.nba.com/stats/events?CFID=&amp;CFPARAMS=&amp;GameEventID=271&amp;GameID=0022000328&amp;Season=2020-21&amp;flag=1&amp;title=Leonard%20alley-oop%20DUNK%20(16%20PTS)%20(N.%20Batum%202%20AST)", "Alley-oop DUNK (16 PTS) (N. Batum 2 AST)")</f>
        <v>Alley-oop DUNK (16 PTS) (N. Batum 2 AST)</v>
      </c>
      <c r="L379" s="2" t="str">
        <f>HYPERLINK("https://www.nba.com/game/...-vs-...-0022000328/play-by-play?watchFullGame=true", "LAC vs CLE - Q2 01:11.00")</f>
        <v>LAC vs CLE - Q2 01:11.00</v>
      </c>
      <c r="M379">
        <v>1.5</v>
      </c>
      <c r="N379">
        <v>7.18</v>
      </c>
      <c r="O379">
        <v>50.07</v>
      </c>
      <c r="P379">
        <v>7</v>
      </c>
      <c r="Q379">
        <v>15</v>
      </c>
      <c r="R379">
        <v>7</v>
      </c>
      <c r="S379">
        <v>50</v>
      </c>
    </row>
    <row r="380" spans="1:19" hidden="1" x14ac:dyDescent="0.25">
      <c r="A380">
        <v>42000224</v>
      </c>
      <c r="B380" t="s">
        <v>18</v>
      </c>
      <c r="C380" t="s">
        <v>88</v>
      </c>
      <c r="D380">
        <v>62</v>
      </c>
      <c r="E380">
        <v>38</v>
      </c>
      <c r="F380">
        <v>24</v>
      </c>
      <c r="G380">
        <v>2</v>
      </c>
      <c r="H380" s="1">
        <v>9.7222222222222219E-4</v>
      </c>
      <c r="I380" t="s">
        <v>94</v>
      </c>
      <c r="J380" t="s">
        <v>83</v>
      </c>
      <c r="K380" s="2" t="str">
        <f>HYPERLINK("https://www.nba.com/stats/events?CFID=&amp;CFPARAMS=&amp;GameEventID=290&amp;GameID=0042000224&amp;Season=2020-21&amp;flag=1&amp;title=Leonard%20driving%20DUNK%20(19%20PTS)%20(P.%20Beverley%202%20AST)", "Driving DUNK (19 PTS) (P. Beverley 2 AST)")</f>
        <v>Driving DUNK (19 PTS) (P. Beverley 2 AST)</v>
      </c>
      <c r="L380" s="2" t="str">
        <f>HYPERLINK("https://www.nba.com/game/...-vs-...-0042000224/play-by-play?watchFullGame=true", "LAC vs UTA - Q2 01:24.00")</f>
        <v>LAC vs UTA - Q2 01:24.00</v>
      </c>
      <c r="M380">
        <v>1.48</v>
      </c>
      <c r="N380">
        <v>7.15</v>
      </c>
      <c r="O380">
        <v>49.69</v>
      </c>
      <c r="P380">
        <v>7</v>
      </c>
      <c r="Q380">
        <v>49</v>
      </c>
      <c r="R380">
        <v>7</v>
      </c>
      <c r="S380">
        <v>49</v>
      </c>
    </row>
    <row r="381" spans="1:19" hidden="1" x14ac:dyDescent="0.25">
      <c r="A381">
        <v>22300350</v>
      </c>
      <c r="B381" t="s">
        <v>26</v>
      </c>
      <c r="C381" t="s">
        <v>19</v>
      </c>
      <c r="D381">
        <v>96</v>
      </c>
      <c r="E381">
        <v>74</v>
      </c>
      <c r="F381">
        <v>22</v>
      </c>
      <c r="G381">
        <v>3</v>
      </c>
      <c r="H381" s="1">
        <v>4.0972222222222226E-3</v>
      </c>
      <c r="I381">
        <v>2023</v>
      </c>
      <c r="J381" t="s">
        <v>83</v>
      </c>
      <c r="K381" s="2" t="str">
        <f>HYPERLINK("https://www.nba.com/stats/events?CFID=&amp;CFPARAMS=&amp;GameEventID=431&amp;GameID=0022300350&amp;Season=2023-24&amp;flag=1&amp;title=Leonard%2024'%203PT%20%20(24%20PTS)%20(R.%20Westbrook%203%20AST)", "24' 3PT  (24 PTS) (R. Westbrook 3 AST)")</f>
        <v>24' 3PT  (24 PTS) (R. Westbrook 3 AST)</v>
      </c>
      <c r="L381" s="2" t="str">
        <f>HYPERLINK("https://www.nba.com/game/...-vs-...-0022300350/play-by-play?watchFullGame=true", "LAC vs IND - Q3 05:54.00")</f>
        <v>LAC vs IND - Q3 05:54.00</v>
      </c>
      <c r="M381">
        <v>24.14</v>
      </c>
      <c r="N381">
        <v>8.1</v>
      </c>
      <c r="O381">
        <v>1.96</v>
      </c>
      <c r="P381">
        <v>240</v>
      </c>
      <c r="Q381">
        <v>24</v>
      </c>
      <c r="R381">
        <v>8</v>
      </c>
      <c r="S381">
        <v>1</v>
      </c>
    </row>
    <row r="382" spans="1:19" hidden="1" x14ac:dyDescent="0.25">
      <c r="A382">
        <v>22000142</v>
      </c>
      <c r="B382" t="s">
        <v>26</v>
      </c>
      <c r="C382" t="s">
        <v>19</v>
      </c>
      <c r="D382">
        <v>10</v>
      </c>
      <c r="E382">
        <v>19</v>
      </c>
      <c r="F382">
        <v>9</v>
      </c>
      <c r="G382">
        <v>1</v>
      </c>
      <c r="H382" s="1">
        <v>4.0625000000000001E-3</v>
      </c>
      <c r="I382">
        <v>2020</v>
      </c>
      <c r="J382" t="s">
        <v>83</v>
      </c>
      <c r="K382" s="2" t="str">
        <f>HYPERLINK("https://www.nba.com/stats/events?CFID=&amp;CFPARAMS=&amp;GameEventID=73&amp;GameID=0022000142&amp;Season=2020-21&amp;flag=1&amp;title=Leonard%203PT%20%20(7%20PTS)%20(P.%20George%201%20AST)", "3PT  (7 PTS) (P. George 1 AST)")</f>
        <v>3PT  (7 PTS) (P. George 1 AST)</v>
      </c>
      <c r="L382" s="2" t="str">
        <f>HYPERLINK("https://www.nba.com/game/...-vs-...-0022000142/play-by-play?watchFullGame=true", "LAC vs CHI - Q1 05:51.00")</f>
        <v>LAC vs CHI - Q1 05:51.00</v>
      </c>
      <c r="M382">
        <v>23.07</v>
      </c>
      <c r="N382">
        <v>8.75</v>
      </c>
      <c r="O382">
        <v>4.24</v>
      </c>
      <c r="P382">
        <v>229</v>
      </c>
      <c r="Q382">
        <v>30</v>
      </c>
      <c r="R382">
        <v>8</v>
      </c>
      <c r="S382">
        <v>4</v>
      </c>
    </row>
    <row r="383" spans="1:19" hidden="1" x14ac:dyDescent="0.25">
      <c r="A383">
        <v>22300099</v>
      </c>
      <c r="B383" t="s">
        <v>26</v>
      </c>
      <c r="C383" t="s">
        <v>19</v>
      </c>
      <c r="D383">
        <v>63</v>
      </c>
      <c r="E383">
        <v>37</v>
      </c>
      <c r="F383">
        <v>26</v>
      </c>
      <c r="G383">
        <v>3</v>
      </c>
      <c r="H383" s="1">
        <v>7.6273148148148151E-3</v>
      </c>
      <c r="I383">
        <v>2023</v>
      </c>
      <c r="J383" t="s">
        <v>83</v>
      </c>
      <c r="K383" s="2" t="str">
        <f>HYPERLINK("https://www.nba.com/stats/events?CFID=&amp;CFPARAMS=&amp;GameEventID=362&amp;GameID=0022300099&amp;Season=2023-24&amp;flag=1&amp;title=Leonard%203PT%20%20(16%20PTS)%20(P.%20George%203%20AST)", "3PT  (16 PTS) (P. George 3 AST)")</f>
        <v>3PT  (16 PTS) (P. George 3 AST)</v>
      </c>
      <c r="L383" s="2" t="str">
        <f>HYPERLINK("https://www.nba.com/game/...-vs-...-0022300099/play-by-play?watchFullGame=true", "LAC vs SAS - Q3 10:59.00")</f>
        <v>LAC vs SAS - Q3 10:59.00</v>
      </c>
      <c r="M383">
        <v>22.94</v>
      </c>
      <c r="N383">
        <v>8.33</v>
      </c>
      <c r="O383">
        <v>4.41</v>
      </c>
      <c r="P383">
        <v>228</v>
      </c>
      <c r="Q383">
        <v>26</v>
      </c>
      <c r="R383">
        <v>8</v>
      </c>
      <c r="S383">
        <v>4</v>
      </c>
    </row>
    <row r="384" spans="1:19" hidden="1" x14ac:dyDescent="0.25">
      <c r="A384">
        <v>22201156</v>
      </c>
      <c r="B384" t="s">
        <v>26</v>
      </c>
      <c r="C384" t="s">
        <v>19</v>
      </c>
      <c r="D384">
        <v>9</v>
      </c>
      <c r="E384">
        <v>2</v>
      </c>
      <c r="F384">
        <v>7</v>
      </c>
      <c r="G384">
        <v>1</v>
      </c>
      <c r="H384" s="1">
        <v>7.1759259259259259E-3</v>
      </c>
      <c r="I384">
        <v>2022</v>
      </c>
      <c r="J384" t="s">
        <v>83</v>
      </c>
      <c r="K384" s="2" t="str">
        <f>HYPERLINK("https://www.nba.com/stats/events?CFID=&amp;CFPARAMS=&amp;GameEventID=18&amp;GameID=0022201156&amp;Season=2022-23&amp;flag=1&amp;title=Leonard%203PT%20%20(5%20PTS)%20(E.%20Gordon%201%20AST)", "3PT  (5 PTS) (E. Gordon 1 AST)")</f>
        <v>3PT  (5 PTS) (E. Gordon 1 AST)</v>
      </c>
      <c r="L384" s="2" t="str">
        <f>HYPERLINK("https://www.nba.com/game/...-vs-...-0022201156/play-by-play?watchFullGame=true", "LAC vs MEM - Q1 10:20.00")</f>
        <v>LAC vs MEM - Q1 10:20.00</v>
      </c>
      <c r="M384">
        <v>22.94</v>
      </c>
      <c r="N384">
        <v>8.36</v>
      </c>
      <c r="O384">
        <v>4.41</v>
      </c>
      <c r="P384">
        <v>228</v>
      </c>
      <c r="Q384">
        <v>26</v>
      </c>
      <c r="R384">
        <v>8</v>
      </c>
      <c r="S384">
        <v>4</v>
      </c>
    </row>
    <row r="385" spans="1:19" hidden="1" x14ac:dyDescent="0.25">
      <c r="A385">
        <v>21900276</v>
      </c>
      <c r="B385" t="s">
        <v>18</v>
      </c>
      <c r="C385" t="s">
        <v>84</v>
      </c>
      <c r="D385">
        <v>53</v>
      </c>
      <c r="E385">
        <v>53</v>
      </c>
      <c r="F385">
        <v>0</v>
      </c>
      <c r="G385">
        <v>2</v>
      </c>
      <c r="H385" s="1">
        <v>7.1759259259259259E-4</v>
      </c>
      <c r="I385">
        <v>2019</v>
      </c>
      <c r="J385" t="s">
        <v>83</v>
      </c>
      <c r="K385" s="2" t="str">
        <f>HYPERLINK("https://www.nba.com/stats/events?CFID=&amp;CFPARAMS=&amp;GameEventID=311&amp;GameID=0021900276&amp;Season=2019-20&amp;flag=1&amp;title=Leonard%2020'%20jumpshot%20(13%20PTS)", "20' jumpshot (13 PTS)")</f>
        <v>20' jumpshot (13 PTS)</v>
      </c>
      <c r="L385" s="2" t="str">
        <f>HYPERLINK("https://www.nba.com/game/...-vs-...-0021900276/play-by-play?watchFullGame=true", "LAC vs SAS - Q2 01:02.00")</f>
        <v>LAC vs SAS - Q2 01:02.00</v>
      </c>
      <c r="M385">
        <v>20.03</v>
      </c>
      <c r="N385">
        <v>8.1</v>
      </c>
      <c r="O385">
        <v>10.36</v>
      </c>
      <c r="P385">
        <v>198</v>
      </c>
      <c r="Q385">
        <v>24</v>
      </c>
      <c r="R385">
        <v>8</v>
      </c>
      <c r="S385">
        <v>10</v>
      </c>
    </row>
    <row r="386" spans="1:19" hidden="1" x14ac:dyDescent="0.25">
      <c r="A386">
        <v>42000173</v>
      </c>
      <c r="B386" t="s">
        <v>18</v>
      </c>
      <c r="C386" t="s">
        <v>19</v>
      </c>
      <c r="D386">
        <v>86</v>
      </c>
      <c r="E386">
        <v>81</v>
      </c>
      <c r="F386">
        <v>5</v>
      </c>
      <c r="G386">
        <v>3</v>
      </c>
      <c r="H386" s="1">
        <v>2.8587962962962963E-3</v>
      </c>
      <c r="I386" t="s">
        <v>91</v>
      </c>
      <c r="J386" t="s">
        <v>83</v>
      </c>
      <c r="K386" s="2" t="str">
        <f>HYPERLINK("https://www.nba.com/stats/events?CFID=&amp;CFPARAMS=&amp;GameEventID=383&amp;GameID=0042000173&amp;Season=2020-21&amp;flag=1&amp;title=Leonard%2018'%20Jump%20Shot%20(26%20PTS)%20(R.%20Rondo%206%20AST)", "18' Jump Shot (26 PTS) (R. Rondo 6 AST)")</f>
        <v>18' Jump Shot (26 PTS) (R. Rondo 6 AST)</v>
      </c>
      <c r="L386" s="2" t="str">
        <f>HYPERLINK("https://www.nba.com/game/...-vs-...-0042000173/play-by-play?watchFullGame=true", "LAC vs DAL - Q3 04:07.00")</f>
        <v>LAC vs DAL - Q3 04:07.00</v>
      </c>
      <c r="M386">
        <v>18.09</v>
      </c>
      <c r="N386">
        <v>8.6199999999999992</v>
      </c>
      <c r="O386">
        <v>14.28</v>
      </c>
      <c r="P386">
        <v>8</v>
      </c>
      <c r="Q386">
        <v>14</v>
      </c>
      <c r="R386">
        <v>8</v>
      </c>
      <c r="S386">
        <v>14</v>
      </c>
    </row>
    <row r="387" spans="1:19" hidden="1" x14ac:dyDescent="0.25">
      <c r="A387">
        <v>22000400</v>
      </c>
      <c r="B387" t="s">
        <v>18</v>
      </c>
      <c r="C387" t="s">
        <v>19</v>
      </c>
      <c r="D387">
        <v>74</v>
      </c>
      <c r="E387">
        <v>69</v>
      </c>
      <c r="F387">
        <v>5</v>
      </c>
      <c r="G387">
        <v>3</v>
      </c>
      <c r="H387" s="1">
        <v>4.0277777777777777E-3</v>
      </c>
      <c r="I387">
        <v>2020</v>
      </c>
      <c r="J387" t="s">
        <v>83</v>
      </c>
      <c r="K387" s="2" t="str">
        <f>HYPERLINK("https://www.nba.com/stats/events?CFID=&amp;CFPARAMS=&amp;GameEventID=366&amp;GameID=0022000400&amp;Season=2020-21&amp;flag=1&amp;title=Leonard%2016'%20Jump%20Shot%20(20%20PTS)", "16' Jump Shot (20 PTS)")</f>
        <v>16' Jump Shot (20 PTS)</v>
      </c>
      <c r="L387" s="2" t="str">
        <f>HYPERLINK("https://www.nba.com/game/...-vs-...-0022000400/play-by-play?watchFullGame=true", "LAC vs CHI - Q3 05:48.00")</f>
        <v>LAC vs CHI - Q3 05:48.00</v>
      </c>
      <c r="M387">
        <v>16.600000000000001</v>
      </c>
      <c r="N387">
        <v>8.36</v>
      </c>
      <c r="O387">
        <v>17.23</v>
      </c>
      <c r="P387">
        <v>164</v>
      </c>
      <c r="Q387">
        <v>26</v>
      </c>
      <c r="R387">
        <v>8</v>
      </c>
      <c r="S387">
        <v>17</v>
      </c>
    </row>
    <row r="388" spans="1:19" hidden="1" x14ac:dyDescent="0.25">
      <c r="A388">
        <v>22300074</v>
      </c>
      <c r="B388" t="s">
        <v>18</v>
      </c>
      <c r="C388" t="s">
        <v>19</v>
      </c>
      <c r="D388">
        <v>108</v>
      </c>
      <c r="E388">
        <v>86</v>
      </c>
      <c r="F388">
        <v>22</v>
      </c>
      <c r="G388">
        <v>4</v>
      </c>
      <c r="H388" s="1">
        <v>4.9884259259259257E-3</v>
      </c>
      <c r="I388">
        <v>2023</v>
      </c>
      <c r="J388" t="s">
        <v>83</v>
      </c>
      <c r="K388" s="2" t="str">
        <f>HYPERLINK("https://www.nba.com/stats/events?CFID=&amp;CFPARAMS=&amp;GameEventID=590&amp;GameID=0022300074&amp;Season=2023-24&amp;flag=1&amp;title=Leonard%2015'%20pullup%20Jump%20Shot%20(23%20PTS)%20(R.%20Westbrook%2011%20AST)", "15' pullup Jump Shot (23 PTS) (R. Westbrook 11 AST)")</f>
        <v>15' pullup Jump Shot (23 PTS) (R. Westbrook 11 AST)</v>
      </c>
      <c r="L388" s="2" t="str">
        <f>HYPERLINK("https://www.nba.com/game/...-vs-...-0022300074/play-by-play?watchFullGame=true", "LAC vs POR - Q4 07:11.00")</f>
        <v>LAC vs POR - Q4 07:11.00</v>
      </c>
      <c r="M388">
        <v>15.74</v>
      </c>
      <c r="N388">
        <v>8.15</v>
      </c>
      <c r="O388">
        <v>81.099999999999994</v>
      </c>
      <c r="P388">
        <v>-156</v>
      </c>
      <c r="Q388">
        <v>24</v>
      </c>
      <c r="R388">
        <v>8</v>
      </c>
      <c r="S388">
        <v>81</v>
      </c>
    </row>
    <row r="389" spans="1:19" hidden="1" x14ac:dyDescent="0.25">
      <c r="A389">
        <v>22200687</v>
      </c>
      <c r="B389" t="s">
        <v>26</v>
      </c>
      <c r="C389" t="s">
        <v>19</v>
      </c>
      <c r="D389">
        <v>81</v>
      </c>
      <c r="E389">
        <v>83</v>
      </c>
      <c r="F389">
        <v>2</v>
      </c>
      <c r="G389">
        <v>3</v>
      </c>
      <c r="H389" s="1">
        <v>4.8032407407407407E-3</v>
      </c>
      <c r="I389">
        <v>2022</v>
      </c>
      <c r="J389" t="s">
        <v>83</v>
      </c>
      <c r="K389" s="2" t="str">
        <f>HYPERLINK("https://www.nba.com/stats/events?CFID=&amp;CFPARAMS=&amp;GameEventID=335&amp;GameID=0022200687&amp;Season=2022-23&amp;flag=1&amp;title=Leonard%203PT%20%20(20%20PTS)%20(P.%20George%208%20AST)", "3PT  (20 PTS) (P. George 8 AST)")</f>
        <v>3PT  (20 PTS) (P. George 8 AST)</v>
      </c>
      <c r="L389" s="2" t="str">
        <f>HYPERLINK("https://www.nba.com/game/...-vs-...-0022200687/play-by-play?watchFullGame=true", "LAC vs SAS - Q3 06:55.00")</f>
        <v>LAC vs SAS - Q3 06:55.00</v>
      </c>
      <c r="M389">
        <v>22.51</v>
      </c>
      <c r="N389">
        <v>8.89</v>
      </c>
      <c r="O389">
        <v>94.61</v>
      </c>
      <c r="P389">
        <v>-223</v>
      </c>
      <c r="Q389">
        <v>31</v>
      </c>
      <c r="R389">
        <v>8</v>
      </c>
      <c r="S389">
        <v>94</v>
      </c>
    </row>
    <row r="390" spans="1:19" hidden="1" x14ac:dyDescent="0.25">
      <c r="A390">
        <v>22000009</v>
      </c>
      <c r="B390" t="s">
        <v>26</v>
      </c>
      <c r="C390" t="s">
        <v>19</v>
      </c>
      <c r="D390">
        <v>56</v>
      </c>
      <c r="E390">
        <v>40</v>
      </c>
      <c r="F390">
        <v>16</v>
      </c>
      <c r="G390">
        <v>2</v>
      </c>
      <c r="H390" s="1">
        <v>4.4675925925925924E-3</v>
      </c>
      <c r="I390">
        <v>2020</v>
      </c>
      <c r="J390" t="s">
        <v>83</v>
      </c>
      <c r="K390" s="2" t="str">
        <f>HYPERLINK("https://www.nba.com/stats/events?CFID=&amp;CFPARAMS=&amp;GameEventID=282&amp;GameID=0022000009&amp;Season=2020-21&amp;flag=1&amp;title=Leonard%203PT%20%20(8%20PTS)%20(N.%20Batum%203%20AST)", "3PT  (8 PTS) (N. Batum 3 AST)")</f>
        <v>3PT  (8 PTS) (N. Batum 3 AST)</v>
      </c>
      <c r="L390" s="2" t="str">
        <f>HYPERLINK("https://www.nba.com/game/...-vs-...-0022000009/play-by-play?watchFullGame=true", "LAC vs DEN - Q2 06:26.00")</f>
        <v>LAC vs DEN - Q2 06:26.00</v>
      </c>
      <c r="M390">
        <v>23.35</v>
      </c>
      <c r="N390">
        <v>8.36</v>
      </c>
      <c r="O390">
        <v>96.39</v>
      </c>
      <c r="P390">
        <v>-232</v>
      </c>
      <c r="Q390">
        <v>26</v>
      </c>
      <c r="R390">
        <v>8</v>
      </c>
      <c r="S390">
        <v>96</v>
      </c>
    </row>
    <row r="391" spans="1:19" hidden="1" x14ac:dyDescent="0.25">
      <c r="A391">
        <v>22000400</v>
      </c>
      <c r="B391" t="s">
        <v>18</v>
      </c>
      <c r="C391" t="s">
        <v>19</v>
      </c>
      <c r="D391">
        <v>82</v>
      </c>
      <c r="E391">
        <v>74</v>
      </c>
      <c r="F391">
        <v>8</v>
      </c>
      <c r="G391">
        <v>3</v>
      </c>
      <c r="H391" s="1">
        <v>2.5925925925925925E-3</v>
      </c>
      <c r="I391">
        <v>2020</v>
      </c>
      <c r="J391" t="s">
        <v>83</v>
      </c>
      <c r="K391" s="2" t="str">
        <f>HYPERLINK("https://www.nba.com/stats/events?CFID=&amp;CFPARAMS=&amp;GameEventID=391&amp;GameID=0022000400&amp;Season=2020-21&amp;flag=1&amp;title=Leonard%2015'%20Jump%20Shot%20(24%20PTS)", "15' Jump Shot (24 PTS)")</f>
        <v>15' Jump Shot (24 PTS)</v>
      </c>
      <c r="L391" s="2" t="str">
        <f>HYPERLINK("https://www.nba.com/game/...-vs-...-0022000400/play-by-play?watchFullGame=true", "LAC vs CHI - Q3 03:44.00")</f>
        <v>LAC vs CHI - Q3 03:44.00</v>
      </c>
      <c r="M391">
        <v>15</v>
      </c>
      <c r="N391">
        <v>8.23</v>
      </c>
      <c r="O391">
        <v>20.41</v>
      </c>
      <c r="P391">
        <v>148</v>
      </c>
      <c r="Q391">
        <v>25</v>
      </c>
      <c r="R391">
        <v>8</v>
      </c>
      <c r="S391">
        <v>20</v>
      </c>
    </row>
    <row r="392" spans="1:19" hidden="1" x14ac:dyDescent="0.25">
      <c r="A392">
        <v>22200871</v>
      </c>
      <c r="B392" t="s">
        <v>18</v>
      </c>
      <c r="C392" t="s">
        <v>19</v>
      </c>
      <c r="D392">
        <v>116</v>
      </c>
      <c r="E392">
        <v>101</v>
      </c>
      <c r="F392">
        <v>15</v>
      </c>
      <c r="G392">
        <v>4</v>
      </c>
      <c r="H392" s="1">
        <v>5.9027777777777776E-3</v>
      </c>
      <c r="I392">
        <v>2022</v>
      </c>
      <c r="J392" t="s">
        <v>83</v>
      </c>
      <c r="K392" s="2" t="str">
        <f>HYPERLINK("https://www.nba.com/stats/events?CFID=&amp;CFPARAMS=&amp;GameEventID=555&amp;GameID=0022200871&amp;Season=2022-23&amp;flag=1&amp;title=Leonard%2014'%20turnaround%20fadeaway%20Jump%20Shot%20(28%20PTS)%20(N.%20Powell%201%20AST)", "14' turnaround fadeaway Jump Shot (28 PTS) (N. Powell 1 AST)")</f>
        <v>14' turnaround fadeaway Jump Shot (28 PTS) (N. Powell 1 AST)</v>
      </c>
      <c r="L392" s="2" t="str">
        <f>HYPERLINK("https://www.nba.com/game/...-vs-...-0022200871/play-by-play?watchFullGame=true", "LAC vs GSW - Q4 08:30.00")</f>
        <v>LAC vs GSW - Q4 08:30.00</v>
      </c>
      <c r="M392">
        <v>14.25</v>
      </c>
      <c r="N392">
        <v>8.59</v>
      </c>
      <c r="O392">
        <v>77.94</v>
      </c>
      <c r="P392">
        <v>-140</v>
      </c>
      <c r="Q392">
        <v>28</v>
      </c>
      <c r="R392">
        <v>8</v>
      </c>
      <c r="S392">
        <v>77</v>
      </c>
    </row>
    <row r="393" spans="1:19" hidden="1" x14ac:dyDescent="0.25">
      <c r="A393">
        <v>22000625</v>
      </c>
      <c r="B393" t="s">
        <v>18</v>
      </c>
      <c r="C393" t="s">
        <v>19</v>
      </c>
      <c r="D393">
        <v>65</v>
      </c>
      <c r="E393">
        <v>77</v>
      </c>
      <c r="F393">
        <v>12</v>
      </c>
      <c r="G393">
        <v>3</v>
      </c>
      <c r="H393" s="1">
        <v>1.1921296296296296E-3</v>
      </c>
      <c r="I393">
        <v>2020</v>
      </c>
      <c r="J393" t="s">
        <v>83</v>
      </c>
      <c r="K393" s="2" t="str">
        <f>HYPERLINK("https://www.nba.com/stats/events?CFID=&amp;CFPARAMS=&amp;GameEventID=454&amp;GameID=0022000625&amp;Season=2020-21&amp;flag=1&amp;title=Leonard%2014'%20Jump%20Shot%20(14%20PTS)%20(L.%20Williams%202%20AST)", "14' Jump Shot (14 PTS) (L. Williams 2 AST)")</f>
        <v>14' Jump Shot (14 PTS) (L. Williams 2 AST)</v>
      </c>
      <c r="L393" s="2" t="str">
        <f>HYPERLINK("https://www.nba.com/game/...-vs-...-0022000625/play-by-play?watchFullGame=true", "LAC vs DAL - Q3 01:43.00")</f>
        <v>LAC vs DAL - Q3 01:43.00</v>
      </c>
      <c r="M393">
        <v>14.03</v>
      </c>
      <c r="N393">
        <v>8.49</v>
      </c>
      <c r="O393">
        <v>77.52</v>
      </c>
      <c r="P393">
        <v>-138</v>
      </c>
      <c r="Q393">
        <v>27</v>
      </c>
      <c r="R393">
        <v>8</v>
      </c>
      <c r="S393">
        <v>77</v>
      </c>
    </row>
    <row r="394" spans="1:19" hidden="1" x14ac:dyDescent="0.25">
      <c r="A394">
        <v>21900458</v>
      </c>
      <c r="B394" t="s">
        <v>18</v>
      </c>
      <c r="C394" t="s">
        <v>84</v>
      </c>
      <c r="D394">
        <v>3</v>
      </c>
      <c r="E394">
        <v>0</v>
      </c>
      <c r="F394">
        <v>3</v>
      </c>
      <c r="G394">
        <v>1</v>
      </c>
      <c r="H394" s="1">
        <v>7.6967592592592591E-3</v>
      </c>
      <c r="I394">
        <v>2019</v>
      </c>
      <c r="J394" t="s">
        <v>83</v>
      </c>
      <c r="K394" s="2" t="str">
        <f>HYPERLINK("https://www.nba.com/stats/events?CFID=&amp;CFPARAMS=&amp;GameEventID=14&amp;GameID=0021900458&amp;Season=2019-20&amp;flag=1&amp;title=Leonard%2013'%20jumpshot%20(2%20PTS)", "13' jumpshot (2 PTS)")</f>
        <v>13' jumpshot (2 PTS)</v>
      </c>
      <c r="L394" s="2" t="str">
        <f>HYPERLINK("https://www.nba.com/game/...-vs-...-0021900458/play-by-play?watchFullGame=true", "LAC vs LAL - Q1 11:05.00")</f>
        <v>LAC vs LAL - Q1 11:05.00</v>
      </c>
      <c r="M394">
        <v>13.13</v>
      </c>
      <c r="N394">
        <v>8.1999999999999993</v>
      </c>
      <c r="O394">
        <v>24.44</v>
      </c>
      <c r="P394">
        <v>128</v>
      </c>
      <c r="Q394">
        <v>25</v>
      </c>
      <c r="R394">
        <v>8</v>
      </c>
      <c r="S394">
        <v>24</v>
      </c>
    </row>
    <row r="395" spans="1:19" hidden="1" x14ac:dyDescent="0.25">
      <c r="A395">
        <v>22300223</v>
      </c>
      <c r="B395" t="s">
        <v>18</v>
      </c>
      <c r="C395" t="s">
        <v>19</v>
      </c>
      <c r="D395">
        <v>70</v>
      </c>
      <c r="E395">
        <v>56</v>
      </c>
      <c r="F395">
        <v>14</v>
      </c>
      <c r="G395">
        <v>3</v>
      </c>
      <c r="H395" s="1">
        <v>7.6967592592592591E-3</v>
      </c>
      <c r="I395">
        <v>2023</v>
      </c>
      <c r="J395" t="s">
        <v>83</v>
      </c>
      <c r="K395" s="2" t="str">
        <f>HYPERLINK("https://www.nba.com/stats/events?CFID=&amp;CFPARAMS=&amp;GameEventID=316&amp;GameID=0022300223&amp;Season=2023-24&amp;flag=1&amp;title=Leonard%2013'%20fadeaway%20Jump%20Shot%20(14%20PTS)%20(J.%20Harden%207%20AST)", "13' fadeaway Jump Shot (14 PTS) (J. Harden 7 AST)")</f>
        <v>13' fadeaway Jump Shot (14 PTS) (J. Harden 7 AST)</v>
      </c>
      <c r="L395" s="2" t="str">
        <f>HYPERLINK("https://www.nba.com/game/...-vs-...-0022300223/play-by-play?watchFullGame=true", "LAC vs SAS - Q3 11:05.00")</f>
        <v>LAC vs SAS - Q3 11:05.00</v>
      </c>
      <c r="M395">
        <v>13.01</v>
      </c>
      <c r="N395">
        <v>8.36</v>
      </c>
      <c r="O395">
        <v>24.51</v>
      </c>
      <c r="P395">
        <v>127</v>
      </c>
      <c r="Q395">
        <v>26</v>
      </c>
      <c r="R395">
        <v>8</v>
      </c>
      <c r="S395">
        <v>24</v>
      </c>
    </row>
    <row r="396" spans="1:19" hidden="1" x14ac:dyDescent="0.25">
      <c r="A396">
        <v>22300244</v>
      </c>
      <c r="B396" t="s">
        <v>18</v>
      </c>
      <c r="C396" t="s">
        <v>19</v>
      </c>
      <c r="D396">
        <v>89</v>
      </c>
      <c r="E396">
        <v>72</v>
      </c>
      <c r="F396">
        <v>17</v>
      </c>
      <c r="G396">
        <v>4</v>
      </c>
      <c r="H396" s="1">
        <v>5.5671296296296293E-3</v>
      </c>
      <c r="I396">
        <v>2023</v>
      </c>
      <c r="J396" t="s">
        <v>83</v>
      </c>
      <c r="K396" s="2" t="str">
        <f>HYPERLINK("https://www.nba.com/stats/events?CFID=&amp;CFPARAMS=&amp;GameEventID=561&amp;GameID=0022300244&amp;Season=2023-24&amp;flag=1&amp;title=Leonard%2012'%20pullup%20Jump%20Shot%20(8%20PTS)", "12' pullup Jump Shot (8 PTS)")</f>
        <v>12' pullup Jump Shot (8 PTS)</v>
      </c>
      <c r="L396" s="2" t="str">
        <f>HYPERLINK("https://www.nba.com/game/...-vs-...-0022300244/play-by-play?watchFullGame=true", "LAC vs DAL - Q4 08:01.00")</f>
        <v>LAC vs DAL - Q4 08:01.00</v>
      </c>
      <c r="M396">
        <v>12.28</v>
      </c>
      <c r="N396">
        <v>8.33</v>
      </c>
      <c r="O396">
        <v>25.98</v>
      </c>
      <c r="P396">
        <v>120</v>
      </c>
      <c r="Q396">
        <v>26</v>
      </c>
      <c r="R396">
        <v>8</v>
      </c>
      <c r="S396">
        <v>25</v>
      </c>
    </row>
    <row r="397" spans="1:19" hidden="1" x14ac:dyDescent="0.25">
      <c r="A397">
        <v>22300257</v>
      </c>
      <c r="B397" t="s">
        <v>18</v>
      </c>
      <c r="C397" t="s">
        <v>19</v>
      </c>
      <c r="D397">
        <v>93</v>
      </c>
      <c r="E397">
        <v>94</v>
      </c>
      <c r="F397">
        <v>1</v>
      </c>
      <c r="G397">
        <v>4</v>
      </c>
      <c r="H397" s="1">
        <v>4.5254629629629629E-3</v>
      </c>
      <c r="I397">
        <v>2023</v>
      </c>
      <c r="J397" t="s">
        <v>83</v>
      </c>
      <c r="K397" s="2" t="str">
        <f>HYPERLINK("https://www.nba.com/stats/events?CFID=&amp;CFPARAMS=&amp;GameEventID=614&amp;GameID=0022300257&amp;Season=2023-24&amp;flag=1&amp;title=Leonard%2010'%20driving%20floating%20Jump%20Shot%20(27%20PTS)", "10' driving floating Jump Shot (27 PTS)")</f>
        <v>10' driving floating Jump Shot (27 PTS)</v>
      </c>
      <c r="L397" s="2" t="str">
        <f>HYPERLINK("https://www.nba.com/game/...-vs-...-0022300257/play-by-play?watchFullGame=true", "LAC vs DEN - Q4 06:31.00")</f>
        <v>LAC vs DEN - Q4 06:31.00</v>
      </c>
      <c r="M397">
        <v>10.39</v>
      </c>
      <c r="N397">
        <v>8.8000000000000007</v>
      </c>
      <c r="O397">
        <v>30.12</v>
      </c>
      <c r="P397">
        <v>99</v>
      </c>
      <c r="Q397">
        <v>30</v>
      </c>
      <c r="R397">
        <v>8</v>
      </c>
      <c r="S397">
        <v>30</v>
      </c>
    </row>
    <row r="398" spans="1:19" hidden="1" x14ac:dyDescent="0.25">
      <c r="A398">
        <v>22200885</v>
      </c>
      <c r="B398" t="s">
        <v>18</v>
      </c>
      <c r="C398" t="s">
        <v>19</v>
      </c>
      <c r="D398">
        <v>115</v>
      </c>
      <c r="E398">
        <v>105</v>
      </c>
      <c r="F398">
        <v>10</v>
      </c>
      <c r="G398">
        <v>4</v>
      </c>
      <c r="H398" s="1">
        <v>6.5972222222222224E-4</v>
      </c>
      <c r="I398">
        <v>2022</v>
      </c>
      <c r="J398" t="s">
        <v>83</v>
      </c>
      <c r="K398" s="2" t="str">
        <f>HYPERLINK("https://www.nba.com/stats/events?CFID=&amp;CFPARAMS=&amp;GameEventID=658&amp;GameID=0022200885&amp;Season=2022-23&amp;flag=1&amp;title=Leonard%2010'%20floating%20Jump%20Shot%20(15%20PTS)", "10' floating Jump Shot (15 PTS)")</f>
        <v>10' floating Jump Shot (15 PTS)</v>
      </c>
      <c r="L398" s="2" t="str">
        <f>HYPERLINK("https://www.nba.com/game/...-vs-...-0022200885/play-by-play?watchFullGame=true", "LAC vs PHX - Q4 00:57.00")</f>
        <v>LAC vs PHX - Q4 00:57.00</v>
      </c>
      <c r="M398">
        <v>10</v>
      </c>
      <c r="N398">
        <v>8.23</v>
      </c>
      <c r="O398">
        <v>30.64</v>
      </c>
      <c r="P398">
        <v>97</v>
      </c>
      <c r="Q398">
        <v>25</v>
      </c>
      <c r="R398">
        <v>8</v>
      </c>
      <c r="S398">
        <v>30</v>
      </c>
    </row>
    <row r="399" spans="1:19" hidden="1" x14ac:dyDescent="0.25">
      <c r="A399">
        <v>22400596</v>
      </c>
      <c r="B399" t="s">
        <v>18</v>
      </c>
      <c r="C399" t="s">
        <v>19</v>
      </c>
      <c r="D399">
        <v>81</v>
      </c>
      <c r="E399">
        <v>62</v>
      </c>
      <c r="F399">
        <v>19</v>
      </c>
      <c r="G399">
        <v>3</v>
      </c>
      <c r="H399" s="1">
        <v>4.2939814814814811E-3</v>
      </c>
      <c r="I399">
        <v>2024</v>
      </c>
      <c r="J399" t="s">
        <v>83</v>
      </c>
      <c r="K399" s="2" t="str">
        <f>HYPERLINK("https://www.nba.com/stats/events?CFID=&amp;CFPARAMS=&amp;GameEventID=350&amp;GameID=0022400596&amp;Season=2024-25&amp;flag=1&amp;title=Leonard%208'%20driving%20floating%20Jump%20Shot%20(17%20PTS)%20(J.%20Harden%209%20AST)", "8' driving floating Jump Shot (17 PTS) (J. Harden 9 AST)")</f>
        <v>8' driving floating Jump Shot (17 PTS) (J. Harden 9 AST)</v>
      </c>
      <c r="L399" s="2" t="str">
        <f>HYPERLINK("https://www.nba.com/game/...-vs-...-0022400596/play-by-play?watchFullGame=true", "LAC vs LAL - Q3 06:11.00")</f>
        <v>LAC vs LAL - Q3 06:11.00</v>
      </c>
      <c r="M399">
        <v>8.7799999999999994</v>
      </c>
      <c r="N399">
        <v>8.15</v>
      </c>
      <c r="O399">
        <v>33.11</v>
      </c>
      <c r="P399">
        <v>84</v>
      </c>
      <c r="Q399">
        <v>24</v>
      </c>
      <c r="R399">
        <v>8</v>
      </c>
      <c r="S399">
        <v>33</v>
      </c>
    </row>
    <row r="400" spans="1:19" hidden="1" x14ac:dyDescent="0.25">
      <c r="A400">
        <v>22301003</v>
      </c>
      <c r="B400" t="s">
        <v>18</v>
      </c>
      <c r="C400" t="s">
        <v>87</v>
      </c>
      <c r="D400">
        <v>70</v>
      </c>
      <c r="E400">
        <v>58</v>
      </c>
      <c r="F400">
        <v>12</v>
      </c>
      <c r="G400">
        <v>3</v>
      </c>
      <c r="H400" s="1">
        <v>4.5833333333333334E-3</v>
      </c>
      <c r="I400">
        <v>2023</v>
      </c>
      <c r="J400" t="s">
        <v>83</v>
      </c>
      <c r="K400" s="2" t="str">
        <f>HYPERLINK("https://www.nba.com/stats/events?CFID=&amp;CFPARAMS=&amp;GameEventID=321&amp;GameID=0022301003&amp;Season=2023-24&amp;flag=1&amp;title=Leonard%206'%20running%20Layup%20(13%20PTS)%20(J.%20Harden%209%20AST)", "6' running Layup (13 PTS) (J. Harden 9 AST)")</f>
        <v>6' running Layup (13 PTS) (J. Harden 9 AST)</v>
      </c>
      <c r="L400" s="2" t="str">
        <f>HYPERLINK("https://www.nba.com/game/...-vs-...-0022301003/play-by-play?watchFullGame=true", "LAC vs POR - Q3 06:36.00")</f>
        <v>LAC vs POR - Q3 06:36.00</v>
      </c>
      <c r="M400">
        <v>6.68</v>
      </c>
      <c r="N400">
        <v>8.1</v>
      </c>
      <c r="O400">
        <v>62.5</v>
      </c>
      <c r="P400">
        <v>-62</v>
      </c>
      <c r="Q400">
        <v>24</v>
      </c>
      <c r="R400">
        <v>8</v>
      </c>
      <c r="S400">
        <v>62</v>
      </c>
    </row>
    <row r="401" spans="1:21" hidden="1" x14ac:dyDescent="0.25">
      <c r="A401">
        <v>22300511</v>
      </c>
      <c r="B401" t="s">
        <v>18</v>
      </c>
      <c r="C401" t="s">
        <v>19</v>
      </c>
      <c r="D401">
        <v>116</v>
      </c>
      <c r="E401">
        <v>96</v>
      </c>
      <c r="F401">
        <v>20</v>
      </c>
      <c r="G401">
        <v>4</v>
      </c>
      <c r="H401" s="1">
        <v>5.5555555555555558E-3</v>
      </c>
      <c r="I401">
        <v>2023</v>
      </c>
      <c r="J401" t="s">
        <v>83</v>
      </c>
      <c r="K401" s="2" t="str">
        <f>HYPERLINK("https://www.nba.com/stats/events?CFID=&amp;CFPARAMS=&amp;GameEventID=521&amp;GameID=0022300511&amp;Season=2023-24&amp;flag=1&amp;title=Leonard%20fadeaway%20Jump%20Shot%20(17%20PTS)", "Fadeaway Jump Shot (17 PTS)")</f>
        <v>Fadeaway Jump Shot (17 PTS)</v>
      </c>
      <c r="L401" s="2" t="str">
        <f>HYPERLINK("https://www.nba.com/game/...-vs-...-0022300511/play-by-play?watchFullGame=true", "LAC vs PHX - Q4 08:00.00")</f>
        <v>LAC vs PHX - Q4 08:00.00</v>
      </c>
      <c r="M401">
        <v>5.76</v>
      </c>
      <c r="N401">
        <v>8.07</v>
      </c>
      <c r="O401">
        <v>39.46</v>
      </c>
      <c r="P401">
        <v>53</v>
      </c>
      <c r="Q401">
        <v>23</v>
      </c>
      <c r="R401">
        <v>8</v>
      </c>
      <c r="S401">
        <v>39</v>
      </c>
    </row>
    <row r="402" spans="1:21" hidden="1" x14ac:dyDescent="0.25">
      <c r="A402">
        <v>22300848</v>
      </c>
      <c r="B402" t="s">
        <v>18</v>
      </c>
      <c r="C402" t="s">
        <v>19</v>
      </c>
      <c r="D402">
        <v>106</v>
      </c>
      <c r="E402">
        <v>99</v>
      </c>
      <c r="F402">
        <v>7</v>
      </c>
      <c r="G402">
        <v>4</v>
      </c>
      <c r="H402" s="1">
        <v>4.5370370370370373E-3</v>
      </c>
      <c r="I402">
        <v>2023</v>
      </c>
      <c r="J402" t="s">
        <v>83</v>
      </c>
      <c r="K402" s="2" t="str">
        <f>HYPERLINK("https://www.nba.com/stats/events?CFID=&amp;CFPARAMS=&amp;GameEventID=553&amp;GameID=0022300848&amp;Season=2023-24&amp;flag=1&amp;title=Leonard%20driving%20bank%20Jump%20Shot%20(22%20PTS)", "Driving bank Jump Shot (22 PTS)")</f>
        <v>Driving bank Jump Shot (22 PTS)</v>
      </c>
      <c r="L402" s="2" t="str">
        <f>HYPERLINK("https://www.nba.com/game/...-vs-...-0022300848/play-by-play?watchFullGame=true", "LAC vs LAL - Q4 06:32.00")</f>
        <v>LAC vs LAL - Q4 06:32.00</v>
      </c>
      <c r="M402">
        <v>5.15</v>
      </c>
      <c r="N402">
        <v>8.98</v>
      </c>
      <c r="O402">
        <v>41.91</v>
      </c>
      <c r="P402">
        <v>40</v>
      </c>
      <c r="Q402">
        <v>32</v>
      </c>
      <c r="R402">
        <v>8</v>
      </c>
      <c r="S402">
        <v>41</v>
      </c>
    </row>
    <row r="403" spans="1:21" hidden="1" x14ac:dyDescent="0.25">
      <c r="A403">
        <v>22200701</v>
      </c>
      <c r="B403" t="s">
        <v>18</v>
      </c>
      <c r="C403" t="s">
        <v>19</v>
      </c>
      <c r="D403">
        <v>96</v>
      </c>
      <c r="E403">
        <v>89</v>
      </c>
      <c r="F403">
        <v>7</v>
      </c>
      <c r="G403">
        <v>4</v>
      </c>
      <c r="H403" s="1">
        <v>4.2245370370370371E-3</v>
      </c>
      <c r="I403">
        <v>2022</v>
      </c>
      <c r="J403" t="s">
        <v>83</v>
      </c>
      <c r="K403" s="2" t="str">
        <f>HYPERLINK("https://www.nba.com/stats/events?CFID=&amp;CFPARAMS=&amp;GameEventID=547&amp;GameID=0022200701&amp;Season=2022-23&amp;flag=1&amp;title=Leonard%20driving%20floating%20bank%20Jump%20Shot%20(23%20PTS)", "Driving floating bank Jump Shot (23 PTS)")</f>
        <v>Driving floating bank Jump Shot (23 PTS)</v>
      </c>
      <c r="L403" s="2" t="str">
        <f>HYPERLINK("https://www.nba.com/game/...-vs-...-0022200701/play-by-play?watchFullGame=true", "LAC vs DAL - Q4 06:05.00")</f>
        <v>LAC vs DAL - Q4 06:05.00</v>
      </c>
      <c r="M403">
        <v>4.4400000000000004</v>
      </c>
      <c r="N403">
        <v>8.23</v>
      </c>
      <c r="O403">
        <v>42.65</v>
      </c>
      <c r="P403">
        <v>37</v>
      </c>
      <c r="Q403">
        <v>25</v>
      </c>
      <c r="R403">
        <v>8</v>
      </c>
      <c r="S403">
        <v>42</v>
      </c>
    </row>
    <row r="404" spans="1:21" hidden="1" x14ac:dyDescent="0.25">
      <c r="A404">
        <v>22000788</v>
      </c>
      <c r="B404" t="s">
        <v>18</v>
      </c>
      <c r="C404" t="s">
        <v>89</v>
      </c>
      <c r="D404">
        <v>18</v>
      </c>
      <c r="E404">
        <v>16</v>
      </c>
      <c r="F404">
        <v>2</v>
      </c>
      <c r="G404">
        <v>1</v>
      </c>
      <c r="H404" s="1">
        <v>2.7430555555555554E-3</v>
      </c>
      <c r="I404">
        <v>2020</v>
      </c>
      <c r="J404" t="s">
        <v>83</v>
      </c>
      <c r="K404" s="2" t="str">
        <f>HYPERLINK("https://www.nba.com/stats/events?CFID=&amp;CFPARAMS=&amp;GameEventID=80&amp;GameID=0022000788&amp;Season=2020-21&amp;flag=1&amp;title=Leonard%20turnaround%20Hook%20(2%20PTS)", "Turnaround Hook (2 PTS)")</f>
        <v>Turnaround Hook (2 PTS)</v>
      </c>
      <c r="L404" s="2" t="str">
        <f>HYPERLINK("https://www.nba.com/game/...-vs-...-0022000788/play-by-play?watchFullGame=true", "LAC vs PHX - Q1 03:57.00")</f>
        <v>LAC vs PHX - Q1 03:57.00</v>
      </c>
      <c r="M404">
        <v>4.38</v>
      </c>
      <c r="N404">
        <v>8.36</v>
      </c>
      <c r="O404">
        <v>42.96</v>
      </c>
      <c r="P404">
        <v>35</v>
      </c>
      <c r="Q404">
        <v>26</v>
      </c>
      <c r="R404">
        <v>8</v>
      </c>
      <c r="S404">
        <v>42</v>
      </c>
    </row>
    <row r="405" spans="1:21" hidden="1" x14ac:dyDescent="0.25">
      <c r="A405">
        <v>22300458</v>
      </c>
      <c r="B405" t="s">
        <v>18</v>
      </c>
      <c r="C405" t="s">
        <v>87</v>
      </c>
      <c r="D405">
        <v>75</v>
      </c>
      <c r="E405">
        <v>67</v>
      </c>
      <c r="F405">
        <v>8</v>
      </c>
      <c r="G405">
        <v>3</v>
      </c>
      <c r="H405" s="1">
        <v>4.5370370370370373E-3</v>
      </c>
      <c r="I405">
        <v>2023</v>
      </c>
      <c r="J405" t="s">
        <v>83</v>
      </c>
      <c r="K405" s="2" t="str">
        <f>HYPERLINK("https://www.nba.com/stats/events?CFID=&amp;CFPARAMS=&amp;GameEventID=361&amp;GameID=0022300458&amp;Season=2023-24&amp;flag=1&amp;title=Leonard%20Layup%20(17%20PTS)", "Layup (17 PTS)")</f>
        <v>Layup (17 PTS)</v>
      </c>
      <c r="L405" s="2" t="str">
        <f>HYPERLINK("https://www.nba.com/game/...-vs-...-0022300458/play-by-play?watchFullGame=true", "LAC vs MIA - Q3 06:32.00")</f>
        <v>LAC vs MIA - Q3 06:32.00</v>
      </c>
      <c r="M405">
        <v>4.1500000000000004</v>
      </c>
      <c r="N405">
        <v>8.07</v>
      </c>
      <c r="O405">
        <v>43.14</v>
      </c>
      <c r="P405">
        <v>34</v>
      </c>
      <c r="Q405">
        <v>23</v>
      </c>
      <c r="R405">
        <v>8</v>
      </c>
      <c r="S405">
        <v>43</v>
      </c>
    </row>
    <row r="406" spans="1:21" hidden="1" x14ac:dyDescent="0.25">
      <c r="A406">
        <v>22000105</v>
      </c>
      <c r="B406" t="s">
        <v>18</v>
      </c>
      <c r="C406" t="s">
        <v>19</v>
      </c>
      <c r="D406">
        <v>38</v>
      </c>
      <c r="E406">
        <v>60</v>
      </c>
      <c r="F406">
        <v>22</v>
      </c>
      <c r="G406">
        <v>2</v>
      </c>
      <c r="H406" s="1">
        <v>2.476851851851852E-3</v>
      </c>
      <c r="I406">
        <v>2020</v>
      </c>
      <c r="J406" t="s">
        <v>83</v>
      </c>
      <c r="K406" s="2" t="str">
        <f>HYPERLINK("https://www.nba.com/stats/events?CFID=&amp;CFPARAMS=&amp;GameEventID=271&amp;GameID=0022000105&amp;Season=2020-21&amp;flag=1&amp;title=Leonard%20fadeaway%20Jump%20Shot%20(11%20PTS)%20(Ibaka%201%20AST)", "Fadeaway Jump Shot (11 PTS) (S. Ibaka 1 AST)")</f>
        <v>Fadeaway Jump Shot (11 PTS) (S. Ibaka 1 AST)</v>
      </c>
      <c r="L406" s="2" t="str">
        <f>HYPERLINK("https://www.nba.com/game/...-vs-...-0022000105/play-by-play?watchFullGame=true", "LAC vs SAS - Q2 03:34.00")</f>
        <v>LAC vs SAS - Q2 03:34.00</v>
      </c>
      <c r="M406">
        <v>4.03</v>
      </c>
      <c r="N406">
        <v>8.1</v>
      </c>
      <c r="O406">
        <v>43.45</v>
      </c>
      <c r="P406">
        <v>33</v>
      </c>
      <c r="Q406">
        <v>24</v>
      </c>
      <c r="R406">
        <v>8</v>
      </c>
      <c r="S406">
        <v>43</v>
      </c>
    </row>
    <row r="407" spans="1:21" hidden="1" x14ac:dyDescent="0.25">
      <c r="A407">
        <v>21901241</v>
      </c>
      <c r="B407" t="s">
        <v>18</v>
      </c>
      <c r="C407" t="s">
        <v>90</v>
      </c>
      <c r="D407">
        <v>61</v>
      </c>
      <c r="E407">
        <v>40</v>
      </c>
      <c r="F407">
        <v>21</v>
      </c>
      <c r="G407">
        <v>2</v>
      </c>
      <c r="H407" s="1">
        <v>3.5532407407407409E-3</v>
      </c>
      <c r="I407">
        <v>2019</v>
      </c>
      <c r="J407" t="s">
        <v>83</v>
      </c>
      <c r="K407" s="2" t="str">
        <f>HYPERLINK("https://www.nba.com/stats/events?CFID=&amp;CFPARAMS=&amp;GameEventID=262&amp;GameID=0021901241&amp;Season=2019-20&amp;flag=1&amp;title=Leonard%20layup%20(18%20PTS)", "Layup (18 PTS)")</f>
        <v>Layup (18 PTS)</v>
      </c>
      <c r="L407" s="2" t="str">
        <f>HYPERLINK("https://www.nba.com/game/...-vs-...-0021901241/play-by-play?watchFullGame=true", "LAC vs NOP - Q2 05:07.00")</f>
        <v>LAC vs NOP - Q2 05:07.00</v>
      </c>
      <c r="M407">
        <v>3.97</v>
      </c>
      <c r="N407">
        <v>8.89</v>
      </c>
      <c r="O407">
        <v>46.88</v>
      </c>
      <c r="P407">
        <v>16</v>
      </c>
      <c r="Q407">
        <v>31</v>
      </c>
      <c r="R407">
        <v>8</v>
      </c>
      <c r="S407">
        <v>46</v>
      </c>
    </row>
    <row r="408" spans="1:21" hidden="1" x14ac:dyDescent="0.25">
      <c r="A408">
        <v>22400983</v>
      </c>
      <c r="B408" t="s">
        <v>18</v>
      </c>
      <c r="C408" t="s">
        <v>87</v>
      </c>
      <c r="D408">
        <v>69</v>
      </c>
      <c r="E408">
        <v>44</v>
      </c>
      <c r="F408">
        <v>25</v>
      </c>
      <c r="G408">
        <v>3</v>
      </c>
      <c r="H408" s="1">
        <v>7.6041666666666671E-3</v>
      </c>
      <c r="I408">
        <v>2024</v>
      </c>
      <c r="J408" t="s">
        <v>83</v>
      </c>
      <c r="K408" s="2" t="str">
        <f>HYPERLINK("https://www.nba.com/stats/events?CFID=&amp;CFPARAMS=&amp;GameEventID=331&amp;GameID=0022400983&amp;Season=2024-25&amp;flag=1&amp;title=Leonard%20driving%20Layup%20(13%20PTS)%20(I.%20Zubac%202%20AST)", "Driving Layup (13 PTS) (I. Zubac 2 AST)")</f>
        <v>Driving Layup (13 PTS) (I. Zubac 2 AST)</v>
      </c>
      <c r="L408" s="2" t="str">
        <f>HYPERLINK("https://www.nba.com/game/...-vs-...-0022400983/play-by-play?watchFullGame=true", "LAC vs WAS - Q3 10:57.00")</f>
        <v>LAC vs WAS - Q3 10:57.00</v>
      </c>
      <c r="M408">
        <v>3.86</v>
      </c>
      <c r="N408">
        <v>8.1</v>
      </c>
      <c r="O408">
        <v>43.87</v>
      </c>
      <c r="P408">
        <v>31</v>
      </c>
      <c r="Q408">
        <v>24</v>
      </c>
      <c r="R408">
        <v>8</v>
      </c>
      <c r="S408">
        <v>43</v>
      </c>
    </row>
    <row r="409" spans="1:21" hidden="1" x14ac:dyDescent="0.25">
      <c r="A409">
        <v>41900236</v>
      </c>
      <c r="B409" t="s">
        <v>18</v>
      </c>
      <c r="C409" t="s">
        <v>84</v>
      </c>
      <c r="D409">
        <v>54</v>
      </c>
      <c r="E409">
        <v>45</v>
      </c>
      <c r="F409">
        <v>9</v>
      </c>
      <c r="G409">
        <v>2</v>
      </c>
      <c r="H409" s="1">
        <v>1.712962962962963E-3</v>
      </c>
      <c r="I409" t="s">
        <v>85</v>
      </c>
      <c r="J409" t="s">
        <v>83</v>
      </c>
      <c r="K409" s="2" t="str">
        <f>HYPERLINK("https://www.nba.com/stats/events?CFID=&amp;CFPARAMS=&amp;GameEventID=278&amp;GameID=0041900236&amp;Season=2019-20&amp;flag=1&amp;title=Leonard%20jumpshot%20(11%20PTS)", "Jumpshot (11 PTS)")</f>
        <v>Jumpshot (11 PTS)</v>
      </c>
      <c r="L409" s="2" t="str">
        <f>HYPERLINK("https://www.nba.com/game/...-vs-...-0041900236/play-by-play?watchFullGame=true", "LAC vs DEN - Q2 02:28.00")</f>
        <v>LAC vs DEN - Q2 02:28.00</v>
      </c>
      <c r="M409">
        <v>3.81</v>
      </c>
      <c r="N409">
        <v>8.23</v>
      </c>
      <c r="O409">
        <v>45.41</v>
      </c>
      <c r="P409">
        <v>23</v>
      </c>
      <c r="Q409">
        <v>25</v>
      </c>
      <c r="R409">
        <v>8</v>
      </c>
      <c r="S409">
        <v>45</v>
      </c>
    </row>
    <row r="410" spans="1:21" hidden="1" x14ac:dyDescent="0.25">
      <c r="A410">
        <v>22000966</v>
      </c>
      <c r="B410" t="s">
        <v>18</v>
      </c>
      <c r="C410" t="s">
        <v>19</v>
      </c>
      <c r="D410">
        <v>93</v>
      </c>
      <c r="E410">
        <v>101</v>
      </c>
      <c r="F410">
        <v>8</v>
      </c>
      <c r="G410">
        <v>4</v>
      </c>
      <c r="H410" s="1">
        <v>2.2800925925925927E-3</v>
      </c>
      <c r="I410">
        <v>2020</v>
      </c>
      <c r="J410" t="s">
        <v>83</v>
      </c>
      <c r="K410" s="2" t="str">
        <f>HYPERLINK("https://www.nba.com/stats/events?CFID=&amp;CFPARAMS=&amp;GameEventID=560&amp;GameID=0022000966&amp;Season=2020-21&amp;flag=1&amp;title=Leonard%20bank%20Jump%20Shot%20(16%20PTS)", "Bank Jump Shot (16 PTS)")</f>
        <v>Bank Jump Shot (16 PTS)</v>
      </c>
      <c r="L410" s="2" t="str">
        <f>HYPERLINK("https://www.nba.com/game/...-vs-...-0022000966/play-by-play?watchFullGame=true", "LAC vs DEN - Q4 03:17.00")</f>
        <v>LAC vs DEN - Q4 03:17.00</v>
      </c>
      <c r="M410">
        <v>3.76</v>
      </c>
      <c r="N410">
        <v>8.8000000000000007</v>
      </c>
      <c r="O410">
        <v>54.45</v>
      </c>
      <c r="P410">
        <v>-22</v>
      </c>
      <c r="Q410">
        <v>30</v>
      </c>
      <c r="R410">
        <v>8</v>
      </c>
      <c r="S410">
        <v>54</v>
      </c>
    </row>
    <row r="411" spans="1:21" hidden="1" x14ac:dyDescent="0.25">
      <c r="A411">
        <v>22200476</v>
      </c>
      <c r="B411" t="s">
        <v>18</v>
      </c>
      <c r="C411" t="s">
        <v>87</v>
      </c>
      <c r="D411">
        <v>112</v>
      </c>
      <c r="E411">
        <v>90</v>
      </c>
      <c r="F411">
        <v>22</v>
      </c>
      <c r="G411">
        <v>4</v>
      </c>
      <c r="H411" s="1">
        <v>3.8078703703703703E-3</v>
      </c>
      <c r="I411">
        <v>2022</v>
      </c>
      <c r="J411" t="s">
        <v>83</v>
      </c>
      <c r="K411" s="2" t="str">
        <f>HYPERLINK("https://www.nba.com/stats/events?CFID=&amp;CFPARAMS=&amp;GameEventID=628&amp;GameID=0022200476&amp;Season=2022-23&amp;flag=1&amp;title=Leonard%20Layup%20(16%20PTS)", "Layup (16 PTS)")</f>
        <v>Layup (16 PTS)</v>
      </c>
      <c r="L411" s="2" t="str">
        <f>HYPERLINK("https://www.nba.com/game/...-vs-...-0022200476/play-by-play?watchFullGame=true", "LAC vs CHA - Q4 05:29.00")</f>
        <v>LAC vs CHA - Q4 05:29.00</v>
      </c>
      <c r="M411">
        <v>3.69</v>
      </c>
      <c r="N411">
        <v>8.7200000000000006</v>
      </c>
      <c r="O411">
        <v>54.41</v>
      </c>
      <c r="P411">
        <v>-22</v>
      </c>
      <c r="Q411">
        <v>29</v>
      </c>
      <c r="R411">
        <v>8</v>
      </c>
      <c r="S411">
        <v>54</v>
      </c>
    </row>
    <row r="412" spans="1:21" hidden="1" x14ac:dyDescent="0.25">
      <c r="A412">
        <v>22300537</v>
      </c>
      <c r="B412" t="s">
        <v>18</v>
      </c>
      <c r="C412" t="s">
        <v>87</v>
      </c>
      <c r="D412">
        <v>12</v>
      </c>
      <c r="E412">
        <v>16</v>
      </c>
      <c r="F412">
        <v>4</v>
      </c>
      <c r="G412">
        <v>1</v>
      </c>
      <c r="H412" s="1">
        <v>3.2407407407407406E-3</v>
      </c>
      <c r="I412">
        <v>2023</v>
      </c>
      <c r="J412" t="s">
        <v>83</v>
      </c>
      <c r="K412" s="2" t="str">
        <f>HYPERLINK("https://www.nba.com/stats/events?CFID=&amp;CFPARAMS=&amp;GameEventID=87&amp;GameID=0022300537&amp;Season=2023-24&amp;flag=1&amp;title=Leonard%20driving%20Layup%20(4%20PTS)", "Driving Layup (4 PTS)")</f>
        <v>Driving Layup (4 PTS)</v>
      </c>
      <c r="L412" s="2" t="str">
        <f>HYPERLINK("https://www.nba.com/game/...-vs-...-0022300537/play-by-play?watchFullGame=true", "LAC vs MEM - Q1 04:40.00")</f>
        <v>LAC vs MEM - Q1 04:40.00</v>
      </c>
      <c r="M412">
        <v>3.4</v>
      </c>
      <c r="N412">
        <v>8.1</v>
      </c>
      <c r="O412">
        <v>45.1</v>
      </c>
      <c r="P412">
        <v>25</v>
      </c>
      <c r="Q412">
        <v>24</v>
      </c>
      <c r="R412">
        <v>8</v>
      </c>
      <c r="S412">
        <v>45</v>
      </c>
    </row>
    <row r="413" spans="1:21" s="3" customFormat="1" hidden="1" x14ac:dyDescent="0.25">
      <c r="A413">
        <v>22400859</v>
      </c>
      <c r="B413" t="s">
        <v>18</v>
      </c>
      <c r="C413" t="s">
        <v>87</v>
      </c>
      <c r="D413">
        <v>67</v>
      </c>
      <c r="E413">
        <v>67</v>
      </c>
      <c r="F413">
        <v>0</v>
      </c>
      <c r="G413">
        <v>3</v>
      </c>
      <c r="H413" s="1">
        <v>3.9930555555555552E-3</v>
      </c>
      <c r="I413">
        <v>2024</v>
      </c>
      <c r="J413" t="s">
        <v>83</v>
      </c>
      <c r="K413" s="2" t="str">
        <f>HYPERLINK("https://www.nba.com/stats/events?CFID=&amp;CFPARAMS=&amp;GameEventID=357&amp;GameID=0022400859&amp;Season=2024-25&amp;flag=1&amp;title=Leonard%20running%20Layup%20(13%20PTS)%20(D.%20Jones%20Jr.%201%20AST)", "Running Layup (13 PTS) (D. Jones Jr. 1 AST)")</f>
        <v>Running Layup (13 PTS) (D. Jones Jr. 1 AST)</v>
      </c>
      <c r="L413" s="2" t="str">
        <f>HYPERLINK("https://www.nba.com/game/...-vs-...-0022400859/play-by-play?watchFullGame=true", "LAC vs LAL - Q3 05:45.00")</f>
        <v>LAC vs LAL - Q3 05:45.00</v>
      </c>
      <c r="M413">
        <v>3.4</v>
      </c>
      <c r="N413">
        <v>8.15</v>
      </c>
      <c r="O413">
        <v>54.8</v>
      </c>
      <c r="P413">
        <v>-24</v>
      </c>
      <c r="Q413">
        <v>24</v>
      </c>
      <c r="R413">
        <v>8</v>
      </c>
      <c r="S413">
        <v>54</v>
      </c>
      <c r="T413"/>
      <c r="U413"/>
    </row>
    <row r="414" spans="1:21" hidden="1" x14ac:dyDescent="0.25">
      <c r="A414">
        <v>22001034</v>
      </c>
      <c r="B414" t="s">
        <v>18</v>
      </c>
      <c r="C414" t="s">
        <v>87</v>
      </c>
      <c r="D414">
        <v>11</v>
      </c>
      <c r="E414">
        <v>4</v>
      </c>
      <c r="F414">
        <v>7</v>
      </c>
      <c r="G414">
        <v>1</v>
      </c>
      <c r="H414" s="1">
        <v>5.0462962962962961E-3</v>
      </c>
      <c r="I414">
        <v>2020</v>
      </c>
      <c r="J414" t="s">
        <v>83</v>
      </c>
      <c r="K414" s="2" t="str">
        <f>HYPERLINK("https://www.nba.com/stats/events?CFID=&amp;CFPARAMS=&amp;GameEventID=50&amp;GameID=0022001034&amp;Season=2020-21&amp;flag=1&amp;title=Leonard%20driving%20Layup%20(2%20PTS)", "Driving Layup (2 PTS)")</f>
        <v>Driving Layup (2 PTS)</v>
      </c>
      <c r="L414" s="2" t="str">
        <f>HYPERLINK("https://www.nba.com/game/...-vs-...-0022001034/play-by-play?watchFullGame=true", "LAC vs TOR - Q1 07:16.00")</f>
        <v>LAC vs TOR - Q1 07:16.00</v>
      </c>
      <c r="M414">
        <v>3.34</v>
      </c>
      <c r="N414">
        <v>8.75</v>
      </c>
      <c r="O414">
        <v>53.01</v>
      </c>
      <c r="P414">
        <v>-15</v>
      </c>
      <c r="Q414">
        <v>30</v>
      </c>
      <c r="R414">
        <v>8</v>
      </c>
      <c r="S414">
        <v>53</v>
      </c>
    </row>
    <row r="415" spans="1:21" hidden="1" x14ac:dyDescent="0.25">
      <c r="A415">
        <v>41900236</v>
      </c>
      <c r="B415" t="s">
        <v>18</v>
      </c>
      <c r="C415" t="s">
        <v>92</v>
      </c>
      <c r="D415">
        <v>13</v>
      </c>
      <c r="E415">
        <v>8</v>
      </c>
      <c r="F415">
        <v>5</v>
      </c>
      <c r="G415">
        <v>1</v>
      </c>
      <c r="H415" s="1">
        <v>4.8726851851851848E-3</v>
      </c>
      <c r="I415" t="s">
        <v>85</v>
      </c>
      <c r="J415" t="s">
        <v>83</v>
      </c>
      <c r="K415" s="2" t="str">
        <f>HYPERLINK("https://www.nba.com/stats/events?CFID=&amp;CFPARAMS=&amp;GameEventID=57&amp;GameID=0041900236&amp;Season=2019-20&amp;flag=1&amp;title=Leonard%20dunk%20(5%20PTS)", "Dunk (5 PTS)")</f>
        <v>Dunk (5 PTS)</v>
      </c>
      <c r="L415" s="2" t="str">
        <f>HYPERLINK("https://www.nba.com/game/...-vs-...-0041900236/play-by-play?watchFullGame=true", "LAC vs DEN - Q1 07:01.00")</f>
        <v>LAC vs DEN - Q1 07:01.00</v>
      </c>
      <c r="M415">
        <v>3.6</v>
      </c>
      <c r="N415">
        <v>8.6199999999999992</v>
      </c>
      <c r="O415">
        <v>52.27</v>
      </c>
      <c r="P415">
        <v>-11</v>
      </c>
      <c r="Q415">
        <v>29</v>
      </c>
      <c r="R415">
        <v>8</v>
      </c>
      <c r="S415">
        <v>52</v>
      </c>
    </row>
    <row r="416" spans="1:21" hidden="1" x14ac:dyDescent="0.25">
      <c r="A416">
        <v>22400911</v>
      </c>
      <c r="B416" t="s">
        <v>18</v>
      </c>
      <c r="C416" t="s">
        <v>87</v>
      </c>
      <c r="D416">
        <v>70</v>
      </c>
      <c r="E416">
        <v>64</v>
      </c>
      <c r="F416">
        <v>6</v>
      </c>
      <c r="G416">
        <v>3</v>
      </c>
      <c r="H416" s="1">
        <v>4.8148148148148152E-3</v>
      </c>
      <c r="I416">
        <v>2024</v>
      </c>
      <c r="J416" t="s">
        <v>83</v>
      </c>
      <c r="K416" s="2" t="str">
        <f>HYPERLINK("https://www.nba.com/stats/events?CFID=&amp;CFPARAMS=&amp;GameEventID=351&amp;GameID=0022400911&amp;Season=2024-25&amp;flag=1&amp;title=Leonard%20driving%20reverse%20Layup%20(15%20PTS)", "Driving reverse Layup (15 PTS)")</f>
        <v>Driving reverse Layup (15 PTS)</v>
      </c>
      <c r="L416" s="2" t="str">
        <f>HYPERLINK("https://www.nba.com/game/...-vs-...-0022400911/play-by-play?watchFullGame=true", "LAC vs NYK - Q3 06:56.00")</f>
        <v>LAC vs NYK - Q3 06:56.00</v>
      </c>
      <c r="M416">
        <v>3.27</v>
      </c>
      <c r="N416">
        <v>8.6199999999999992</v>
      </c>
      <c r="O416">
        <v>46.81</v>
      </c>
      <c r="P416">
        <v>16</v>
      </c>
      <c r="Q416">
        <v>29</v>
      </c>
      <c r="R416">
        <v>8</v>
      </c>
      <c r="S416">
        <v>46</v>
      </c>
    </row>
    <row r="417" spans="1:19" hidden="1" x14ac:dyDescent="0.25">
      <c r="A417">
        <v>22400553</v>
      </c>
      <c r="B417" t="s">
        <v>18</v>
      </c>
      <c r="C417" t="s">
        <v>87</v>
      </c>
      <c r="D417">
        <v>47</v>
      </c>
      <c r="E417">
        <v>53</v>
      </c>
      <c r="F417">
        <v>6</v>
      </c>
      <c r="G417">
        <v>3</v>
      </c>
      <c r="H417" s="1">
        <v>6.7245370370370367E-3</v>
      </c>
      <c r="I417">
        <v>2024</v>
      </c>
      <c r="J417" t="s">
        <v>83</v>
      </c>
      <c r="K417" s="2" t="str">
        <f>HYPERLINK("https://www.nba.com/stats/events?CFID=&amp;CFPARAMS=&amp;GameEventID=304&amp;GameID=0022400553&amp;Season=2024-25&amp;flag=1&amp;title=Leonard%20running%20Layup%20(6%20PTS)%20(J.%20Harden%207%20AST)", "Running Layup (6 PTS) (J. Harden 7 AST)")</f>
        <v>Running Layup (6 PTS) (J. Harden 7 AST)</v>
      </c>
      <c r="L417" s="2" t="str">
        <f>HYPERLINK("https://www.nba.com/game/...-vs-...-0022400553/play-by-play?watchFullGame=true", "LAC vs MIA - Q3 09:41.00")</f>
        <v>LAC vs MIA - Q3 09:41.00</v>
      </c>
      <c r="M417">
        <v>3.27</v>
      </c>
      <c r="N417">
        <v>8.75</v>
      </c>
      <c r="O417">
        <v>47.3</v>
      </c>
      <c r="P417">
        <v>13</v>
      </c>
      <c r="Q417">
        <v>30</v>
      </c>
      <c r="R417">
        <v>8</v>
      </c>
      <c r="S417">
        <v>47</v>
      </c>
    </row>
    <row r="418" spans="1:19" hidden="1" x14ac:dyDescent="0.25">
      <c r="A418">
        <v>22200438</v>
      </c>
      <c r="B418" t="s">
        <v>18</v>
      </c>
      <c r="C418" t="s">
        <v>87</v>
      </c>
      <c r="D418">
        <v>41</v>
      </c>
      <c r="E418">
        <v>52</v>
      </c>
      <c r="F418">
        <v>11</v>
      </c>
      <c r="G418">
        <v>2</v>
      </c>
      <c r="H418" s="1">
        <v>2.1064814814814813E-3</v>
      </c>
      <c r="I418">
        <v>2022</v>
      </c>
      <c r="J418" t="s">
        <v>83</v>
      </c>
      <c r="K418" s="2" t="str">
        <f>HYPERLINK("https://www.nba.com/stats/events?CFID=&amp;CFPARAMS=&amp;GameEventID=257&amp;GameID=0022200438&amp;Season=2022-23&amp;flag=1&amp;title=Leonard%20driving%20Layup%20(12%20PTS)%20(M.%20Morris%20Sr.%202%20AST)", "Driving Layup (12 PTS) (M. Morris Sr. 2 AST)")</f>
        <v>Driving Layup (12 PTS) (M. Morris Sr. 2 AST)</v>
      </c>
      <c r="L418" s="2" t="str">
        <f>HYPERLINK("https://www.nba.com/game/...-vs-...-0022200438/play-by-play?watchFullGame=true", "LAC vs WAS - Q2 03:02.00")</f>
        <v>LAC vs WAS - Q2 03:02.00</v>
      </c>
      <c r="M418">
        <v>3.21</v>
      </c>
      <c r="N418">
        <v>8.07</v>
      </c>
      <c r="O418">
        <v>54.41</v>
      </c>
      <c r="P418">
        <v>-22</v>
      </c>
      <c r="Q418">
        <v>23</v>
      </c>
      <c r="R418">
        <v>8</v>
      </c>
      <c r="S418">
        <v>54</v>
      </c>
    </row>
    <row r="419" spans="1:19" hidden="1" x14ac:dyDescent="0.25">
      <c r="A419">
        <v>22300127</v>
      </c>
      <c r="B419" t="s">
        <v>18</v>
      </c>
      <c r="C419" t="s">
        <v>87</v>
      </c>
      <c r="D419">
        <v>72</v>
      </c>
      <c r="E419">
        <v>59</v>
      </c>
      <c r="F419">
        <v>13</v>
      </c>
      <c r="G419">
        <v>3</v>
      </c>
      <c r="H419" s="1">
        <v>6.2615740740740739E-3</v>
      </c>
      <c r="I419">
        <v>2023</v>
      </c>
      <c r="J419" t="s">
        <v>83</v>
      </c>
      <c r="K419" s="2" t="str">
        <f>HYPERLINK("https://www.nba.com/stats/events?CFID=&amp;CFPARAMS=&amp;GameEventID=354&amp;GameID=0022300127&amp;Season=2023-24&amp;flag=1&amp;title=Leonard%20driving%20Layup%20(24%20PTS)", "Driving Layup (24 PTS)")</f>
        <v>Driving Layup (24 PTS)</v>
      </c>
      <c r="L419" s="2" t="str">
        <f>HYPERLINK("https://www.nba.com/game/...-vs-...-0022300127/play-by-play?watchFullGame=true", "LAC vs LAL - Q3 09:01.00")</f>
        <v>LAC vs LAL - Q3 09:01.00</v>
      </c>
      <c r="M419">
        <v>3.2</v>
      </c>
      <c r="N419">
        <v>8.98</v>
      </c>
      <c r="O419">
        <v>49.75</v>
      </c>
      <c r="P419">
        <v>1</v>
      </c>
      <c r="Q419">
        <v>32</v>
      </c>
      <c r="R419">
        <v>8</v>
      </c>
      <c r="S419">
        <v>49</v>
      </c>
    </row>
    <row r="420" spans="1:19" hidden="1" x14ac:dyDescent="0.25">
      <c r="A420">
        <v>22000002</v>
      </c>
      <c r="B420" t="s">
        <v>18</v>
      </c>
      <c r="C420" t="s">
        <v>87</v>
      </c>
      <c r="D420">
        <v>43</v>
      </c>
      <c r="E420">
        <v>30</v>
      </c>
      <c r="F420">
        <v>13</v>
      </c>
      <c r="G420">
        <v>2</v>
      </c>
      <c r="H420" s="1">
        <v>3.9236111111111112E-3</v>
      </c>
      <c r="I420">
        <v>2020</v>
      </c>
      <c r="J420" t="s">
        <v>83</v>
      </c>
      <c r="K420" s="2" t="str">
        <f>HYPERLINK("https://www.nba.com/stats/events?CFID=&amp;CFPARAMS=&amp;GameEventID=273&amp;GameID=0022000002&amp;Season=2020-21&amp;flag=1&amp;title=Leonard%20driving%20Layup%20(10%20PTS)%20(P.%20Beverley%201%20AST)", "Driving Layup (10 PTS) (P. Beverley 1 AST)")</f>
        <v>Driving Layup (10 PTS) (P. Beverley 1 AST)</v>
      </c>
      <c r="L420" s="2" t="str">
        <f>HYPERLINK("https://www.nba.com/game/...-vs-...-0022000002/play-by-play?watchFullGame=true", "LAC vs LAL - Q2 05:39.00")</f>
        <v>LAC vs LAL - Q2 05:39.00</v>
      </c>
      <c r="M420">
        <v>3.19</v>
      </c>
      <c r="N420">
        <v>8.89</v>
      </c>
      <c r="O420">
        <v>51.54</v>
      </c>
      <c r="P420">
        <v>-8</v>
      </c>
      <c r="Q420">
        <v>31</v>
      </c>
      <c r="R420">
        <v>8</v>
      </c>
      <c r="S420">
        <v>51</v>
      </c>
    </row>
    <row r="421" spans="1:19" hidden="1" x14ac:dyDescent="0.25">
      <c r="A421">
        <v>22301215</v>
      </c>
      <c r="B421" t="s">
        <v>18</v>
      </c>
      <c r="C421" t="s">
        <v>19</v>
      </c>
      <c r="D421">
        <v>97</v>
      </c>
      <c r="E421">
        <v>93</v>
      </c>
      <c r="F421">
        <v>4</v>
      </c>
      <c r="G421">
        <v>4</v>
      </c>
      <c r="H421" s="1">
        <v>2.8009259259259259E-3</v>
      </c>
      <c r="I421">
        <v>2023</v>
      </c>
      <c r="J421" t="s">
        <v>83</v>
      </c>
      <c r="K421" s="2" t="str">
        <f>HYPERLINK("https://www.nba.com/stats/events?CFID=&amp;CFPARAMS=&amp;GameEventID=578&amp;GameID=0022301215&amp;Season=2023-24&amp;flag=1&amp;title=Leonard%20Jump%20Shot%20(13%20PTS)%20(J.%20Harden%2010%20AST)", "Jump Shot (13 PTS) (J. Harden 10 AST)")</f>
        <v>Jump Shot (13 PTS) (J. Harden 10 AST)</v>
      </c>
      <c r="L421" s="2" t="str">
        <f>HYPERLINK("https://www.nba.com/game/...-vs-...-0022301215/play-by-play?watchFullGame=true", "LAC vs DEN - Q4 04:02.00")</f>
        <v>LAC vs DEN - Q4 04:02.00</v>
      </c>
      <c r="M421">
        <v>3.15</v>
      </c>
      <c r="N421">
        <v>8.7200000000000006</v>
      </c>
      <c r="O421">
        <v>47.79</v>
      </c>
      <c r="P421">
        <v>11</v>
      </c>
      <c r="Q421">
        <v>29</v>
      </c>
      <c r="R421">
        <v>8</v>
      </c>
      <c r="S421">
        <v>47</v>
      </c>
    </row>
    <row r="422" spans="1:19" hidden="1" x14ac:dyDescent="0.25">
      <c r="A422">
        <v>22400793</v>
      </c>
      <c r="B422" t="s">
        <v>18</v>
      </c>
      <c r="C422" t="s">
        <v>88</v>
      </c>
      <c r="D422">
        <v>37</v>
      </c>
      <c r="E422">
        <v>37</v>
      </c>
      <c r="F422">
        <v>0</v>
      </c>
      <c r="G422">
        <v>2</v>
      </c>
      <c r="H422" s="1">
        <v>5.0694444444444441E-3</v>
      </c>
      <c r="I422">
        <v>2024</v>
      </c>
      <c r="J422" t="s">
        <v>83</v>
      </c>
      <c r="K422" s="2" t="str">
        <f>HYPERLINK("https://www.nba.com/stats/events?CFID=&amp;CFPARAMS=&amp;GameEventID=205&amp;GameID=0022400793&amp;Season=2024-25&amp;flag=1&amp;title=Leonard%20DUNK%20(7%20PTS)", "DUNK (7 PTS)")</f>
        <v>DUNK (7 PTS)</v>
      </c>
      <c r="L422" s="2" t="str">
        <f>HYPERLINK("https://www.nba.com/game/...-vs-...-0022400793/play-by-play?watchFullGame=true", "LAC vs MIL - Q2 07:18.00")</f>
        <v>LAC vs MIL - Q2 07:18.00</v>
      </c>
      <c r="M422">
        <v>2.9</v>
      </c>
      <c r="N422">
        <v>8.49</v>
      </c>
      <c r="O422">
        <v>51.96</v>
      </c>
      <c r="P422">
        <v>-10</v>
      </c>
      <c r="Q422">
        <v>27</v>
      </c>
      <c r="R422">
        <v>8</v>
      </c>
      <c r="S422">
        <v>51</v>
      </c>
    </row>
    <row r="423" spans="1:19" hidden="1" x14ac:dyDescent="0.25">
      <c r="A423">
        <v>22301052</v>
      </c>
      <c r="B423" t="s">
        <v>18</v>
      </c>
      <c r="C423" t="s">
        <v>87</v>
      </c>
      <c r="D423">
        <v>107</v>
      </c>
      <c r="E423">
        <v>107</v>
      </c>
      <c r="F423">
        <v>0</v>
      </c>
      <c r="G423">
        <v>4</v>
      </c>
      <c r="H423" s="1">
        <v>1.8171296296296295E-4</v>
      </c>
      <c r="I423">
        <v>2023</v>
      </c>
      <c r="J423" t="s">
        <v>83</v>
      </c>
      <c r="K423" s="2" t="str">
        <f>HYPERLINK("https://www.nba.com/stats/events?CFID=&amp;CFPARAMS=&amp;GameEventID=599&amp;GameID=0022301052&amp;Season=2023-24&amp;flag=1&amp;title=Leonard%20driving%20reverse%20Layup%20(16%20PTS)%20(A.%20Coffey%203%20AST)", "Driving reverse Layup (16 PTS) (A. Coffey 3 AST)")</f>
        <v>Driving reverse Layup (16 PTS) (A. Coffey 3 AST)</v>
      </c>
      <c r="L423" s="2" t="str">
        <f>HYPERLINK("https://www.nba.com/game/...-vs-...-0022301052/play-by-play?watchFullGame=true", "LAC vs PHI - Q4 00:15.70")</f>
        <v>LAC vs PHI - Q4 00:15.70</v>
      </c>
      <c r="M423">
        <v>3.04</v>
      </c>
      <c r="N423">
        <v>8.7200000000000006</v>
      </c>
      <c r="O423">
        <v>51.47</v>
      </c>
      <c r="P423">
        <v>-7</v>
      </c>
      <c r="Q423">
        <v>29</v>
      </c>
      <c r="R423">
        <v>8</v>
      </c>
      <c r="S423">
        <v>51</v>
      </c>
    </row>
    <row r="424" spans="1:19" hidden="1" x14ac:dyDescent="0.25">
      <c r="A424">
        <v>22300085</v>
      </c>
      <c r="B424" t="s">
        <v>18</v>
      </c>
      <c r="C424" t="s">
        <v>87</v>
      </c>
      <c r="D424">
        <v>60</v>
      </c>
      <c r="E424">
        <v>67</v>
      </c>
      <c r="F424">
        <v>7</v>
      </c>
      <c r="G424">
        <v>3</v>
      </c>
      <c r="H424" s="1">
        <v>7.1180555555555554E-3</v>
      </c>
      <c r="I424">
        <v>2023</v>
      </c>
      <c r="J424" t="s">
        <v>83</v>
      </c>
      <c r="K424" s="2" t="str">
        <f>HYPERLINK("https://www.nba.com/stats/events?CFID=&amp;CFPARAMS=&amp;GameEventID=342&amp;GameID=0022300085&amp;Season=2023-24&amp;flag=1&amp;title=Leonard%20running%20Layup%20(16%20PTS)", "Running Layup (16 PTS)")</f>
        <v>Running Layup (16 PTS)</v>
      </c>
      <c r="L424" s="2" t="str">
        <f>HYPERLINK("https://www.nba.com/game/...-vs-...-0022300085/play-by-play?watchFullGame=true", "LAC vs UTA - Q3 10:15.00")</f>
        <v>LAC vs UTA - Q3 10:15.00</v>
      </c>
      <c r="M424">
        <v>3</v>
      </c>
      <c r="N424">
        <v>8.75</v>
      </c>
      <c r="O424">
        <v>50.74</v>
      </c>
      <c r="P424">
        <v>-4</v>
      </c>
      <c r="Q424">
        <v>30</v>
      </c>
      <c r="R424">
        <v>8</v>
      </c>
      <c r="S424">
        <v>50</v>
      </c>
    </row>
    <row r="425" spans="1:19" hidden="1" x14ac:dyDescent="0.25">
      <c r="A425">
        <v>22300309</v>
      </c>
      <c r="B425" t="s">
        <v>18</v>
      </c>
      <c r="C425" t="s">
        <v>89</v>
      </c>
      <c r="D425">
        <v>81</v>
      </c>
      <c r="E425">
        <v>54</v>
      </c>
      <c r="F425">
        <v>27</v>
      </c>
      <c r="G425">
        <v>3</v>
      </c>
      <c r="H425" s="1">
        <v>4.1087962962962962E-3</v>
      </c>
      <c r="I425">
        <v>2023</v>
      </c>
      <c r="J425" t="s">
        <v>83</v>
      </c>
      <c r="K425" s="2" t="str">
        <f>HYPERLINK("https://www.nba.com/stats/events?CFID=&amp;CFPARAMS=&amp;GameEventID=409&amp;GameID=0022300309&amp;Season=2023-24&amp;flag=1&amp;title=Leonard%20turnaround%20Hook%20(24%20PTS)", "Turnaround Hook (24 PTS)")</f>
        <v>Turnaround Hook (24 PTS)</v>
      </c>
      <c r="L425" s="2" t="str">
        <f>HYPERLINK("https://www.nba.com/game/...-vs-...-0022300309/play-by-play?watchFullGame=true", "LAC vs SAC - Q3 05:55.00")</f>
        <v>LAC vs SAC - Q3 05:55.00</v>
      </c>
      <c r="M425">
        <v>2.99</v>
      </c>
      <c r="N425">
        <v>8.1999999999999993</v>
      </c>
      <c r="O425">
        <v>46.57</v>
      </c>
      <c r="P425">
        <v>17</v>
      </c>
      <c r="Q425">
        <v>25</v>
      </c>
      <c r="R425">
        <v>8</v>
      </c>
      <c r="S425">
        <v>46</v>
      </c>
    </row>
    <row r="426" spans="1:19" hidden="1" x14ac:dyDescent="0.25">
      <c r="A426">
        <v>22200223</v>
      </c>
      <c r="B426" t="s">
        <v>18</v>
      </c>
      <c r="C426" t="s">
        <v>87</v>
      </c>
      <c r="D426">
        <v>87</v>
      </c>
      <c r="E426">
        <v>79</v>
      </c>
      <c r="F426">
        <v>8</v>
      </c>
      <c r="G426">
        <v>4</v>
      </c>
      <c r="H426" s="1">
        <v>2.8240740740740739E-3</v>
      </c>
      <c r="I426">
        <v>2022</v>
      </c>
      <c r="J426" t="s">
        <v>83</v>
      </c>
      <c r="K426" s="2" t="str">
        <f>HYPERLINK("https://www.nba.com/stats/events?CFID=&amp;CFPARAMS=&amp;GameEventID=597&amp;GameID=0022200223&amp;Season=2022-23&amp;flag=1&amp;title=Leonard%20driving%20finger%20roll%20Layup%20(6%20PTS)", "Driving finger roll Layup (6 PTS)")</f>
        <v>Driving finger roll Layup (6 PTS)</v>
      </c>
      <c r="L426" s="2" t="str">
        <f>HYPERLINK("https://www.nba.com/game/...-vs-...-0022200223/play-by-play?watchFullGame=true", "LAC vs DET - Q4 04:04.00")</f>
        <v>LAC vs DET - Q4 04:04.00</v>
      </c>
      <c r="M426">
        <v>2.84</v>
      </c>
      <c r="N426">
        <v>8.59</v>
      </c>
      <c r="O426">
        <v>50.49</v>
      </c>
      <c r="P426">
        <v>-2</v>
      </c>
      <c r="Q426">
        <v>28</v>
      </c>
      <c r="R426">
        <v>8</v>
      </c>
      <c r="S426">
        <v>50</v>
      </c>
    </row>
    <row r="427" spans="1:19" hidden="1" x14ac:dyDescent="0.25">
      <c r="A427">
        <v>22001002</v>
      </c>
      <c r="B427" t="s">
        <v>18</v>
      </c>
      <c r="C427" t="s">
        <v>87</v>
      </c>
      <c r="D427">
        <v>106</v>
      </c>
      <c r="E427">
        <v>84</v>
      </c>
      <c r="F427">
        <v>22</v>
      </c>
      <c r="G427">
        <v>4</v>
      </c>
      <c r="H427" s="1">
        <v>3.0208333333333333E-3</v>
      </c>
      <c r="I427">
        <v>2020</v>
      </c>
      <c r="J427" t="s">
        <v>83</v>
      </c>
      <c r="K427" s="2" t="str">
        <f>HYPERLINK("https://www.nba.com/stats/events?CFID=&amp;CFPARAMS=&amp;GameEventID=572&amp;GameID=0022001002&amp;Season=2020-21&amp;flag=1&amp;title=Leonard%20driving%20Layup%20(15%20PTS)", "Driving Layup (15 PTS)")</f>
        <v>Driving Layup (15 PTS)</v>
      </c>
      <c r="L427" s="2" t="str">
        <f>HYPERLINK("https://www.nba.com/game/...-vs-...-0022001002/play-by-play?watchFullGame=true", "LAC vs LAL - Q4 04:21.00")</f>
        <v>LAC vs LAL - Q4 04:21.00</v>
      </c>
      <c r="M427">
        <v>2.82</v>
      </c>
      <c r="N427">
        <v>8.49</v>
      </c>
      <c r="O427">
        <v>48.6</v>
      </c>
      <c r="P427">
        <v>7</v>
      </c>
      <c r="Q427">
        <v>27</v>
      </c>
      <c r="R427">
        <v>8</v>
      </c>
      <c r="S427">
        <v>48</v>
      </c>
    </row>
    <row r="428" spans="1:19" hidden="1" x14ac:dyDescent="0.25">
      <c r="A428">
        <v>22200810</v>
      </c>
      <c r="B428" t="s">
        <v>18</v>
      </c>
      <c r="C428" t="s">
        <v>87</v>
      </c>
      <c r="D428">
        <v>77</v>
      </c>
      <c r="E428">
        <v>77</v>
      </c>
      <c r="F428">
        <v>0</v>
      </c>
      <c r="G428">
        <v>3</v>
      </c>
      <c r="H428" s="1">
        <v>3.3912037037037036E-3</v>
      </c>
      <c r="I428">
        <v>2022</v>
      </c>
      <c r="J428" t="s">
        <v>83</v>
      </c>
      <c r="K428" s="2" t="str">
        <f>HYPERLINK("https://www.nba.com/stats/events?CFID=&amp;CFPARAMS=&amp;GameEventID=404&amp;GameID=0022200810&amp;Season=2022-23&amp;flag=1&amp;title=Leonard%20driving%20finger%20roll%20Layup%20(13%20PTS)", "Driving finger roll Layup (13 PTS)")</f>
        <v>Driving finger roll Layup (13 PTS)</v>
      </c>
      <c r="L428" s="2" t="str">
        <f>HYPERLINK("https://www.nba.com/game/...-vs-...-0022200810/play-by-play?watchFullGame=true", "LAC vs BKN - Q3 04:53.00")</f>
        <v>LAC vs BKN - Q3 04:53.00</v>
      </c>
      <c r="M428">
        <v>2.68</v>
      </c>
      <c r="N428">
        <v>8.23</v>
      </c>
      <c r="O428">
        <v>48.04</v>
      </c>
      <c r="P428">
        <v>10</v>
      </c>
      <c r="Q428">
        <v>25</v>
      </c>
      <c r="R428">
        <v>8</v>
      </c>
      <c r="S428">
        <v>48</v>
      </c>
    </row>
    <row r="429" spans="1:19" hidden="1" x14ac:dyDescent="0.25">
      <c r="A429">
        <v>22201041</v>
      </c>
      <c r="B429" t="s">
        <v>18</v>
      </c>
      <c r="C429" t="s">
        <v>88</v>
      </c>
      <c r="D429">
        <v>8</v>
      </c>
      <c r="E429">
        <v>8</v>
      </c>
      <c r="F429">
        <v>0</v>
      </c>
      <c r="G429">
        <v>1</v>
      </c>
      <c r="H429" s="1">
        <v>4.8495370370370368E-3</v>
      </c>
      <c r="I429">
        <v>2022</v>
      </c>
      <c r="J429" t="s">
        <v>83</v>
      </c>
      <c r="K429" s="2" t="str">
        <f>HYPERLINK("https://www.nba.com/stats/events?CFID=&amp;CFPARAMS=&amp;GameEventID=56&amp;GameID=0022201041&amp;Season=2022-23&amp;flag=1&amp;title=Leonard%20cutting%20DUNK%20(4%20PTS)%20(M.%20Morris%20Sr.%202%20AST)", "Cutting DUNK (4 PTS) (M. Morris Sr. 2 AST)")</f>
        <v>Cutting DUNK (4 PTS) (M. Morris Sr. 2 AST)</v>
      </c>
      <c r="L429" s="2" t="str">
        <f>HYPERLINK("https://www.nba.com/game/...-vs-...-0022201041/play-by-play?watchFullGame=true", "LAC vs GSW - Q1 06:59.00")</f>
        <v>LAC vs GSW - Q1 06:59.00</v>
      </c>
      <c r="M429">
        <v>3.07</v>
      </c>
      <c r="N429">
        <v>8.7200000000000006</v>
      </c>
      <c r="O429">
        <v>51.72</v>
      </c>
      <c r="P429">
        <v>-9</v>
      </c>
      <c r="Q429">
        <v>29</v>
      </c>
      <c r="R429">
        <v>8</v>
      </c>
      <c r="S429">
        <v>51</v>
      </c>
    </row>
    <row r="430" spans="1:19" hidden="1" x14ac:dyDescent="0.25">
      <c r="A430">
        <v>22301003</v>
      </c>
      <c r="B430" t="s">
        <v>18</v>
      </c>
      <c r="C430" t="s">
        <v>87</v>
      </c>
      <c r="D430">
        <v>76</v>
      </c>
      <c r="E430">
        <v>58</v>
      </c>
      <c r="F430">
        <v>18</v>
      </c>
      <c r="G430">
        <v>3</v>
      </c>
      <c r="H430" s="1">
        <v>3.9814814814814817E-3</v>
      </c>
      <c r="I430">
        <v>2023</v>
      </c>
      <c r="J430" t="s">
        <v>83</v>
      </c>
      <c r="K430" s="2" t="str">
        <f>HYPERLINK("https://www.nba.com/stats/events?CFID=&amp;CFPARAMS=&amp;GameEventID=339&amp;GameID=0022301003&amp;Season=2023-24&amp;flag=1&amp;title=Leonard%20running%20reverse%20Layup%20(17%20PTS)", "Running reverse Layup (17 PTS)")</f>
        <v>Running reverse Layup (17 PTS)</v>
      </c>
      <c r="L430" s="2" t="str">
        <f>HYPERLINK("https://www.nba.com/game/...-vs-...-0022301003/play-by-play?watchFullGame=true", "LAC vs POR - Q3 05:44.00")</f>
        <v>LAC vs POR - Q3 05:44.00</v>
      </c>
      <c r="M430">
        <v>2.66</v>
      </c>
      <c r="N430">
        <v>8.1</v>
      </c>
      <c r="O430">
        <v>47.55</v>
      </c>
      <c r="P430">
        <v>12</v>
      </c>
      <c r="Q430">
        <v>24</v>
      </c>
      <c r="R430">
        <v>8</v>
      </c>
      <c r="S430">
        <v>47</v>
      </c>
    </row>
    <row r="431" spans="1:19" hidden="1" x14ac:dyDescent="0.25">
      <c r="A431">
        <v>22300304</v>
      </c>
      <c r="B431" t="s">
        <v>18</v>
      </c>
      <c r="C431" t="s">
        <v>87</v>
      </c>
      <c r="D431">
        <v>91</v>
      </c>
      <c r="E431">
        <v>88</v>
      </c>
      <c r="F431">
        <v>3</v>
      </c>
      <c r="G431">
        <v>3</v>
      </c>
      <c r="H431" s="1">
        <v>3.2060185185185186E-3</v>
      </c>
      <c r="I431">
        <v>2023</v>
      </c>
      <c r="J431" t="s">
        <v>83</v>
      </c>
      <c r="K431" s="2" t="str">
        <f>HYPERLINK("https://www.nba.com/stats/events?CFID=&amp;CFPARAMS=&amp;GameEventID=383&amp;GameID=0022300304&amp;Season=2023-24&amp;flag=1&amp;title=Leonard%20cutting%20Layup%20(19%20PTS)%20(P.%20George%207%20AST)", "Cutting Layup (19 PTS) (P. George 7 AST)")</f>
        <v>Cutting Layup (19 PTS) (P. George 7 AST)</v>
      </c>
      <c r="L431" s="2" t="str">
        <f>HYPERLINK("https://www.nba.com/game/...-vs-...-0022300304/play-by-play?watchFullGame=true", "LAC vs POR - Q3 04:37.00")</f>
        <v>LAC vs POR - Q3 04:37.00</v>
      </c>
      <c r="M431">
        <v>2.59</v>
      </c>
      <c r="N431">
        <v>8.33</v>
      </c>
      <c r="O431">
        <v>50.49</v>
      </c>
      <c r="P431">
        <v>-2</v>
      </c>
      <c r="Q431">
        <v>26</v>
      </c>
      <c r="R431">
        <v>8</v>
      </c>
      <c r="S431">
        <v>50</v>
      </c>
    </row>
    <row r="432" spans="1:19" hidden="1" x14ac:dyDescent="0.25">
      <c r="A432">
        <v>22300074</v>
      </c>
      <c r="B432" t="s">
        <v>18</v>
      </c>
      <c r="C432" t="s">
        <v>87</v>
      </c>
      <c r="D432">
        <v>74</v>
      </c>
      <c r="E432">
        <v>52</v>
      </c>
      <c r="F432">
        <v>22</v>
      </c>
      <c r="G432">
        <v>3</v>
      </c>
      <c r="H432" s="1">
        <v>7.1990740740740739E-3</v>
      </c>
      <c r="I432">
        <v>2023</v>
      </c>
      <c r="J432" t="s">
        <v>83</v>
      </c>
      <c r="K432" s="2" t="str">
        <f>HYPERLINK("https://www.nba.com/stats/events?CFID=&amp;CFPARAMS=&amp;GameEventID=375&amp;GameID=0022300074&amp;Season=2023-24&amp;flag=1&amp;title=Leonard%20cutting%20Layup%20(10%20PTS)%20(R.%20Westbrook%208%20AST)", "Cutting Layup (10 PTS) (R. Westbrook 8 AST)")</f>
        <v>Cutting Layup (10 PTS) (R. Westbrook 8 AST)</v>
      </c>
      <c r="L432" s="2" t="str">
        <f>HYPERLINK("https://www.nba.com/game/...-vs-...-0022300074/play-by-play?watchFullGame=true", "LAC vs POR - Q3 10:22.00")</f>
        <v>LAC vs POR - Q3 10:22.00</v>
      </c>
      <c r="M432">
        <v>2.59</v>
      </c>
      <c r="N432">
        <v>8.33</v>
      </c>
      <c r="O432">
        <v>50.49</v>
      </c>
      <c r="P432">
        <v>-2</v>
      </c>
      <c r="Q432">
        <v>26</v>
      </c>
      <c r="R432">
        <v>8</v>
      </c>
      <c r="S432">
        <v>50</v>
      </c>
    </row>
    <row r="433" spans="1:19" hidden="1" x14ac:dyDescent="0.25">
      <c r="A433">
        <v>22200408</v>
      </c>
      <c r="B433" t="s">
        <v>18</v>
      </c>
      <c r="C433" t="s">
        <v>89</v>
      </c>
      <c r="D433">
        <v>63</v>
      </c>
      <c r="E433">
        <v>48</v>
      </c>
      <c r="F433">
        <v>15</v>
      </c>
      <c r="G433">
        <v>3</v>
      </c>
      <c r="H433" s="1">
        <v>7.0023148148148145E-3</v>
      </c>
      <c r="I433">
        <v>2022</v>
      </c>
      <c r="J433" t="s">
        <v>83</v>
      </c>
      <c r="K433" s="2" t="str">
        <f>HYPERLINK("https://www.nba.com/stats/events?CFID=&amp;CFPARAMS=&amp;GameEventID=364&amp;GameID=0022200408&amp;Season=2022-23&amp;flag=1&amp;title=Leonard%20driving%20Hook%20(15%20PTS)", "Driving Hook (15 PTS)")</f>
        <v>Driving Hook (15 PTS)</v>
      </c>
      <c r="L433" s="2" t="str">
        <f>HYPERLINK("https://www.nba.com/game/...-vs-...-0022200408/play-by-play?watchFullGame=true", "LAC vs BOS - Q3 10:05.00")</f>
        <v>LAC vs BOS - Q3 10:05.00</v>
      </c>
      <c r="M433">
        <v>2.58</v>
      </c>
      <c r="N433">
        <v>8.07</v>
      </c>
      <c r="O433">
        <v>47.79</v>
      </c>
      <c r="P433">
        <v>11</v>
      </c>
      <c r="Q433">
        <v>23</v>
      </c>
      <c r="R433">
        <v>8</v>
      </c>
      <c r="S433">
        <v>47</v>
      </c>
    </row>
    <row r="434" spans="1:19" hidden="1" x14ac:dyDescent="0.25">
      <c r="A434">
        <v>22000576</v>
      </c>
      <c r="B434" t="s">
        <v>18</v>
      </c>
      <c r="C434" t="s">
        <v>87</v>
      </c>
      <c r="D434">
        <v>77</v>
      </c>
      <c r="E434">
        <v>55</v>
      </c>
      <c r="F434">
        <v>22</v>
      </c>
      <c r="G434">
        <v>3</v>
      </c>
      <c r="H434" s="1">
        <v>4.8032407407407407E-3</v>
      </c>
      <c r="I434">
        <v>2020</v>
      </c>
      <c r="J434" t="s">
        <v>83</v>
      </c>
      <c r="K434" s="2" t="str">
        <f>HYPERLINK("https://www.nba.com/stats/events?CFID=&amp;CFPARAMS=&amp;GameEventID=419&amp;GameID=0022000576&amp;Season=2020-21&amp;flag=1&amp;title=Leonard%20driving%20Layup%20(22%20PTS)", "Driving Layup (22 PTS)")</f>
        <v>Driving Layup (22 PTS)</v>
      </c>
      <c r="L434" s="2" t="str">
        <f>HYPERLINK("https://www.nba.com/game/...-vs-...-0022000576/play-by-play?watchFullGame=true", "LAC vs GSW - Q3 06:55.00")</f>
        <v>LAC vs GSW - Q3 06:55.00</v>
      </c>
      <c r="M434">
        <v>2.52</v>
      </c>
      <c r="N434">
        <v>8.23</v>
      </c>
      <c r="O434">
        <v>50.8</v>
      </c>
      <c r="P434">
        <v>-4</v>
      </c>
      <c r="Q434">
        <v>25</v>
      </c>
      <c r="R434">
        <v>8</v>
      </c>
      <c r="S434">
        <v>50</v>
      </c>
    </row>
    <row r="435" spans="1:19" hidden="1" x14ac:dyDescent="0.25">
      <c r="A435">
        <v>22300257</v>
      </c>
      <c r="B435" t="s">
        <v>18</v>
      </c>
      <c r="C435" t="s">
        <v>87</v>
      </c>
      <c r="D435">
        <v>58</v>
      </c>
      <c r="E435">
        <v>58</v>
      </c>
      <c r="F435">
        <v>0</v>
      </c>
      <c r="G435">
        <v>3</v>
      </c>
      <c r="H435" s="1">
        <v>7.7777777777777776E-3</v>
      </c>
      <c r="I435">
        <v>2023</v>
      </c>
      <c r="J435" t="s">
        <v>83</v>
      </c>
      <c r="K435" s="2" t="str">
        <f>HYPERLINK("https://www.nba.com/stats/events?CFID=&amp;CFPARAMS=&amp;GameEventID=365&amp;GameID=0022300257&amp;Season=2023-24&amp;flag=1&amp;title=Leonard%20driving%20Layup%20(19%20PTS)", "Driving Layup (19 PTS)")</f>
        <v>Driving Layup (19 PTS)</v>
      </c>
      <c r="L435" s="2" t="str">
        <f>HYPERLINK("https://www.nba.com/game/...-vs-...-0022300257/play-by-play?watchFullGame=true", "LAC vs DEN - Q3 11:12.00")</f>
        <v>LAC vs DEN - Q3 11:12.00</v>
      </c>
      <c r="M435">
        <v>2.52</v>
      </c>
      <c r="N435">
        <v>8.1999999999999993</v>
      </c>
      <c r="O435">
        <v>48.77</v>
      </c>
      <c r="P435">
        <v>6</v>
      </c>
      <c r="Q435">
        <v>25</v>
      </c>
      <c r="R435">
        <v>8</v>
      </c>
      <c r="S435">
        <v>48</v>
      </c>
    </row>
    <row r="436" spans="1:19" hidden="1" x14ac:dyDescent="0.25">
      <c r="A436">
        <v>22300309</v>
      </c>
      <c r="B436" t="s">
        <v>18</v>
      </c>
      <c r="C436" t="s">
        <v>87</v>
      </c>
      <c r="D436">
        <v>78</v>
      </c>
      <c r="E436">
        <v>54</v>
      </c>
      <c r="F436">
        <v>24</v>
      </c>
      <c r="G436">
        <v>3</v>
      </c>
      <c r="H436" s="1">
        <v>4.409722222222222E-3</v>
      </c>
      <c r="I436">
        <v>2023</v>
      </c>
      <c r="J436" t="s">
        <v>83</v>
      </c>
      <c r="K436" s="2" t="str">
        <f>HYPERLINK("https://www.nba.com/stats/events?CFID=&amp;CFPARAMS=&amp;GameEventID=400&amp;GameID=0022300309&amp;Season=2023-24&amp;flag=1&amp;title=Leonard%20driving%20Layup%20(21%20PTS)", "Driving Layup (21 PTS)")</f>
        <v>Driving Layup (21 PTS)</v>
      </c>
      <c r="L436" s="2" t="str">
        <f>HYPERLINK("https://www.nba.com/game/...-vs-...-0022300309/play-by-play?watchFullGame=true", "LAC vs SAC - Q3 06:21.00")</f>
        <v>LAC vs SAC - Q3 06:21.00</v>
      </c>
      <c r="M436">
        <v>2.5</v>
      </c>
      <c r="N436">
        <v>8.1999999999999993</v>
      </c>
      <c r="O436">
        <v>50.98</v>
      </c>
      <c r="P436">
        <v>-5</v>
      </c>
      <c r="Q436">
        <v>25</v>
      </c>
      <c r="R436">
        <v>8</v>
      </c>
      <c r="S436">
        <v>50</v>
      </c>
    </row>
    <row r="437" spans="1:19" hidden="1" x14ac:dyDescent="0.25">
      <c r="A437">
        <v>22200043</v>
      </c>
      <c r="B437" t="s">
        <v>18</v>
      </c>
      <c r="C437" t="s">
        <v>87</v>
      </c>
      <c r="D437">
        <v>26</v>
      </c>
      <c r="E437">
        <v>43</v>
      </c>
      <c r="F437">
        <v>17</v>
      </c>
      <c r="G437">
        <v>2</v>
      </c>
      <c r="H437" s="1">
        <v>4.5601851851851853E-3</v>
      </c>
      <c r="I437">
        <v>2022</v>
      </c>
      <c r="J437" t="s">
        <v>83</v>
      </c>
      <c r="K437" s="2" t="str">
        <f>HYPERLINK("https://www.nba.com/stats/events?CFID=&amp;CFPARAMS=&amp;GameEventID=226&amp;GameID=0022200043&amp;Season=2022-23&amp;flag=1&amp;title=Leonard%20running%20Layup%20(2%20PTS)", "Running Layup (2 PTS)")</f>
        <v>Running Layup (2 PTS)</v>
      </c>
      <c r="L437" s="2" t="str">
        <f>HYPERLINK("https://www.nba.com/game/...-vs-...-0022200043/play-by-play?watchFullGame=true", "LAC vs PHX - Q2 06:34.00")</f>
        <v>LAC vs PHX - Q2 06:34.00</v>
      </c>
      <c r="M437">
        <v>2.4500000000000002</v>
      </c>
      <c r="N437">
        <v>8.1999999999999993</v>
      </c>
      <c r="O437">
        <v>50.25</v>
      </c>
      <c r="P437">
        <v>-1</v>
      </c>
      <c r="Q437">
        <v>25</v>
      </c>
      <c r="R437">
        <v>8</v>
      </c>
      <c r="S437">
        <v>50</v>
      </c>
    </row>
    <row r="438" spans="1:19" hidden="1" x14ac:dyDescent="0.25">
      <c r="A438">
        <v>22000387</v>
      </c>
      <c r="B438" t="s">
        <v>18</v>
      </c>
      <c r="C438" t="s">
        <v>87</v>
      </c>
      <c r="D438">
        <v>96</v>
      </c>
      <c r="E438">
        <v>87</v>
      </c>
      <c r="F438">
        <v>9</v>
      </c>
      <c r="G438">
        <v>4</v>
      </c>
      <c r="H438" s="1">
        <v>4.8379629629629632E-3</v>
      </c>
      <c r="I438">
        <v>2020</v>
      </c>
      <c r="J438" t="s">
        <v>83</v>
      </c>
      <c r="K438" s="2" t="str">
        <f>HYPERLINK("https://www.nba.com/stats/events?CFID=&amp;CFPARAMS=&amp;GameEventID=557&amp;GameID=0022000387&amp;Season=2020-21&amp;flag=1&amp;title=Leonard%20Layup%20(26%20PTS)%20(L.%20Williams%203%20AST)", "Layup (26 PTS) (L. Williams 3 AST)")</f>
        <v>Layup (26 PTS) (L. Williams 3 AST)</v>
      </c>
      <c r="L438" s="2" t="str">
        <f>HYPERLINK("https://www.nba.com/game/...-vs-...-0022000387/play-by-play?watchFullGame=true", "LAC vs MIN - Q4 06:58.00")</f>
        <v>LAC vs MIN - Q4 06:58.00</v>
      </c>
      <c r="M438">
        <v>2.38</v>
      </c>
      <c r="N438">
        <v>8.1</v>
      </c>
      <c r="O438">
        <v>50.56</v>
      </c>
      <c r="P438">
        <v>-3</v>
      </c>
      <c r="Q438">
        <v>24</v>
      </c>
      <c r="R438">
        <v>8</v>
      </c>
      <c r="S438">
        <v>50</v>
      </c>
    </row>
    <row r="439" spans="1:19" hidden="1" x14ac:dyDescent="0.25">
      <c r="A439">
        <v>22201041</v>
      </c>
      <c r="B439" t="s">
        <v>18</v>
      </c>
      <c r="C439" t="s">
        <v>88</v>
      </c>
      <c r="D439">
        <v>54</v>
      </c>
      <c r="E439">
        <v>46</v>
      </c>
      <c r="F439">
        <v>8</v>
      </c>
      <c r="G439">
        <v>2</v>
      </c>
      <c r="H439" s="1">
        <v>1.7708333333333332E-3</v>
      </c>
      <c r="I439">
        <v>2022</v>
      </c>
      <c r="J439" t="s">
        <v>83</v>
      </c>
      <c r="K439" s="2" t="str">
        <f>HYPERLINK("https://www.nba.com/stats/events?CFID=&amp;CFPARAMS=&amp;GameEventID=292&amp;GameID=0022201041&amp;Season=2022-23&amp;flag=1&amp;title=Leonard%20running%20alley-oop%20DUNK%20(17%20PTS)%20(P.%20George%203%20AST)", "Running alley-oop DUNK (17 PTS) (P. George 3 AST)")</f>
        <v>Running alley-oop DUNK (17 PTS) (P. George 3 AST)</v>
      </c>
      <c r="L439" s="2" t="str">
        <f>HYPERLINK("https://www.nba.com/game/...-vs-...-0022201041/play-by-play?watchFullGame=true", "LAC vs GSW - Q2 02:33.00")</f>
        <v>LAC vs GSW - Q2 02:33.00</v>
      </c>
      <c r="M439">
        <v>2.56</v>
      </c>
      <c r="N439">
        <v>8.1999999999999993</v>
      </c>
      <c r="O439">
        <v>51.47</v>
      </c>
      <c r="P439">
        <v>-7</v>
      </c>
      <c r="Q439">
        <v>25</v>
      </c>
      <c r="R439">
        <v>8</v>
      </c>
      <c r="S439">
        <v>51</v>
      </c>
    </row>
    <row r="440" spans="1:19" hidden="1" x14ac:dyDescent="0.25">
      <c r="A440">
        <v>22200649</v>
      </c>
      <c r="B440" t="s">
        <v>18</v>
      </c>
      <c r="C440" t="s">
        <v>88</v>
      </c>
      <c r="D440">
        <v>84</v>
      </c>
      <c r="E440">
        <v>82</v>
      </c>
      <c r="F440">
        <v>2</v>
      </c>
      <c r="G440">
        <v>3</v>
      </c>
      <c r="H440" s="1">
        <v>2.1527777777777778E-3</v>
      </c>
      <c r="I440">
        <v>2022</v>
      </c>
      <c r="J440" t="s">
        <v>83</v>
      </c>
      <c r="K440" s="2" t="str">
        <f>HYPERLINK("https://www.nba.com/stats/events?CFID=&amp;CFPARAMS=&amp;GameEventID=436&amp;GameID=0022200649&amp;Season=2022-23&amp;flag=1&amp;title=Leonard%20running%20DUNK%20(24%20PTS)", "Running DUNK (24 PTS)")</f>
        <v>Running DUNK (24 PTS)</v>
      </c>
      <c r="L440" s="2" t="str">
        <f>HYPERLINK("https://www.nba.com/game/...-vs-...-0022200649/play-by-play?watchFullGame=true", "LAC vs HOU - Q3 03:06.00")</f>
        <v>LAC vs HOU - Q3 03:06.00</v>
      </c>
      <c r="M440">
        <v>2.71</v>
      </c>
      <c r="N440">
        <v>8.4600000000000009</v>
      </c>
      <c r="O440">
        <v>50.49</v>
      </c>
      <c r="P440">
        <v>-2</v>
      </c>
      <c r="Q440">
        <v>27</v>
      </c>
      <c r="R440">
        <v>8</v>
      </c>
      <c r="S440">
        <v>50</v>
      </c>
    </row>
    <row r="441" spans="1:19" hidden="1" x14ac:dyDescent="0.25">
      <c r="A441">
        <v>22300708</v>
      </c>
      <c r="B441" t="s">
        <v>18</v>
      </c>
      <c r="C441" t="s">
        <v>88</v>
      </c>
      <c r="D441">
        <v>11</v>
      </c>
      <c r="E441">
        <v>16</v>
      </c>
      <c r="F441">
        <v>5</v>
      </c>
      <c r="G441">
        <v>1</v>
      </c>
      <c r="H441" s="1">
        <v>2.9629629629629628E-3</v>
      </c>
      <c r="I441">
        <v>2023</v>
      </c>
      <c r="J441" t="s">
        <v>83</v>
      </c>
      <c r="K441" s="2" t="str">
        <f>HYPERLINK("https://www.nba.com/stats/events?CFID=&amp;CFPARAMS=&amp;GameEventID=86&amp;GameID=0022300708&amp;Season=2023-24&amp;flag=1&amp;title=Leonard%20running%20DUNK%20(2%20PTS)%20(J.%20Harden%202%20AST)", "Running DUNK (2 PTS) (J. Harden 2 AST)")</f>
        <v>Running DUNK (2 PTS) (J. Harden 2 AST)</v>
      </c>
      <c r="L441" s="2" t="str">
        <f>HYPERLINK("https://www.nba.com/game/...-vs-...-0022300708/play-by-play?watchFullGame=true", "LAC vs MIA - Q1 04:16.00")</f>
        <v>LAC vs MIA - Q1 04:16.00</v>
      </c>
      <c r="M441">
        <v>2.62</v>
      </c>
      <c r="N441">
        <v>8.36</v>
      </c>
      <c r="O441">
        <v>49.51</v>
      </c>
      <c r="P441">
        <v>2</v>
      </c>
      <c r="Q441">
        <v>26</v>
      </c>
      <c r="R441">
        <v>8</v>
      </c>
      <c r="S441">
        <v>49</v>
      </c>
    </row>
    <row r="442" spans="1:19" hidden="1" x14ac:dyDescent="0.25">
      <c r="A442">
        <v>22300264</v>
      </c>
      <c r="B442" t="s">
        <v>18</v>
      </c>
      <c r="C442" t="s">
        <v>88</v>
      </c>
      <c r="D442">
        <v>51</v>
      </c>
      <c r="E442">
        <v>42</v>
      </c>
      <c r="F442">
        <v>9</v>
      </c>
      <c r="G442">
        <v>2</v>
      </c>
      <c r="H442" s="1">
        <v>4.386574074074074E-3</v>
      </c>
      <c r="I442">
        <v>2023</v>
      </c>
      <c r="J442" t="s">
        <v>83</v>
      </c>
      <c r="K442" s="2" t="str">
        <f>HYPERLINK("https://www.nba.com/stats/events?CFID=&amp;CFPARAMS=&amp;GameEventID=288&amp;GameID=0022300264&amp;Season=2023-24&amp;flag=1&amp;title=Leonard%20running%20DUNK%20(9%20PTS)%20(J.%20Harden%201%20AST)", "Running DUNK (9 PTS) (J. Harden 1 AST)")</f>
        <v>Running DUNK (9 PTS) (J. Harden 1 AST)</v>
      </c>
      <c r="L442" s="2" t="str">
        <f>HYPERLINK("https://www.nba.com/game/...-vs-...-0022300264/play-by-play?watchFullGame=true", "LAC vs SAC - Q2 06:19.00")</f>
        <v>LAC vs SAC - Q2 06:19.00</v>
      </c>
      <c r="M442">
        <v>2.37</v>
      </c>
      <c r="N442">
        <v>8.1</v>
      </c>
      <c r="O442">
        <v>49.51</v>
      </c>
      <c r="P442">
        <v>2</v>
      </c>
      <c r="Q442">
        <v>24</v>
      </c>
      <c r="R442">
        <v>8</v>
      </c>
      <c r="S442">
        <v>49</v>
      </c>
    </row>
    <row r="443" spans="1:19" hidden="1" x14ac:dyDescent="0.25">
      <c r="A443">
        <v>41900155</v>
      </c>
      <c r="B443" t="s">
        <v>18</v>
      </c>
      <c r="C443" t="s">
        <v>92</v>
      </c>
      <c r="D443">
        <v>17</v>
      </c>
      <c r="E443">
        <v>16</v>
      </c>
      <c r="F443">
        <v>1</v>
      </c>
      <c r="G443">
        <v>1</v>
      </c>
      <c r="H443" s="1">
        <v>4.6412037037037038E-3</v>
      </c>
      <c r="I443" t="s">
        <v>86</v>
      </c>
      <c r="J443" t="s">
        <v>83</v>
      </c>
      <c r="K443" s="2" t="str">
        <f>HYPERLINK("https://www.nba.com/stats/events?CFID=&amp;CFPARAMS=&amp;GameEventID=56&amp;GameID=0041900155&amp;Season=2019-20&amp;flag=1&amp;title=Leonard%20dunk%20(6%20PTS)", "Dunk (6 PTS)")</f>
        <v>Dunk (6 PTS)</v>
      </c>
      <c r="L443" s="2" t="str">
        <f>HYPERLINK("https://www.nba.com/game/...-vs-...-0041900155/play-by-play?watchFullGame=true", "LAC vs DAL - Q1 06:41.00")</f>
        <v>LAC vs DAL - Q1 06:41.00</v>
      </c>
      <c r="M443">
        <v>2.95</v>
      </c>
      <c r="N443">
        <v>8.1</v>
      </c>
      <c r="O443">
        <v>49.09</v>
      </c>
      <c r="P443">
        <v>5</v>
      </c>
      <c r="Q443">
        <v>24</v>
      </c>
      <c r="R443">
        <v>8</v>
      </c>
      <c r="S443">
        <v>49</v>
      </c>
    </row>
    <row r="444" spans="1:19" hidden="1" x14ac:dyDescent="0.25">
      <c r="A444">
        <v>42000223</v>
      </c>
      <c r="B444" t="s">
        <v>18</v>
      </c>
      <c r="C444" t="s">
        <v>88</v>
      </c>
      <c r="D444">
        <v>46</v>
      </c>
      <c r="E444">
        <v>39</v>
      </c>
      <c r="F444">
        <v>7</v>
      </c>
      <c r="G444">
        <v>2</v>
      </c>
      <c r="H444" s="1">
        <v>4.1550925925925922E-3</v>
      </c>
      <c r="I444" t="s">
        <v>94</v>
      </c>
      <c r="J444" t="s">
        <v>83</v>
      </c>
      <c r="K444" s="2" t="str">
        <f>HYPERLINK("https://www.nba.com/stats/events?CFID=&amp;CFPARAMS=&amp;GameEventID=217&amp;GameID=0042000223&amp;Season=2020-21&amp;flag=1&amp;title=Leonard%20running%20DUNK%20(8%20PTS)", "Running DUNK (8 PTS)")</f>
        <v>Running DUNK (8 PTS)</v>
      </c>
      <c r="L444" s="2" t="str">
        <f>HYPERLINK("https://www.nba.com/game/...-vs-...-0042000223/play-by-play?watchFullGame=true", "LAC vs UTA - Q2 05:59.00")</f>
        <v>LAC vs UTA - Q2 05:59.00</v>
      </c>
      <c r="M444">
        <v>2.61</v>
      </c>
      <c r="N444">
        <v>8.1999999999999993</v>
      </c>
      <c r="O444">
        <v>48.22</v>
      </c>
      <c r="P444">
        <v>8</v>
      </c>
      <c r="Q444">
        <v>48</v>
      </c>
      <c r="R444">
        <v>8</v>
      </c>
      <c r="S444">
        <v>48</v>
      </c>
    </row>
    <row r="445" spans="1:19" hidden="1" x14ac:dyDescent="0.25">
      <c r="A445">
        <v>22400889</v>
      </c>
      <c r="B445" t="s">
        <v>18</v>
      </c>
      <c r="C445" t="s">
        <v>88</v>
      </c>
      <c r="D445">
        <v>84</v>
      </c>
      <c r="E445">
        <v>64</v>
      </c>
      <c r="F445">
        <v>20</v>
      </c>
      <c r="G445">
        <v>3</v>
      </c>
      <c r="H445" s="1">
        <v>3.5532407407407409E-3</v>
      </c>
      <c r="I445">
        <v>2024</v>
      </c>
      <c r="J445" t="s">
        <v>83</v>
      </c>
      <c r="K445" s="2" t="str">
        <f>HYPERLINK("https://www.nba.com/stats/events?CFID=&amp;CFPARAMS=&amp;GameEventID=373&amp;GameID=0022400889&amp;Season=2024-25&amp;flag=1&amp;title=Leonard%20cutting%20DUNK%20(19%20PTS)%20(I.%20Zubac%203%20AST)", "Cutting DUNK (19 PTS) (I. Zubac 3 AST)")</f>
        <v>Cutting DUNK (19 PTS) (I. Zubac 3 AST)</v>
      </c>
      <c r="L445" s="2" t="str">
        <f>HYPERLINK("https://www.nba.com/game/...-vs-...-0022400889/play-by-play?watchFullGame=true", "LAC vs PHX - Q3 05:07.00")</f>
        <v>LAC vs PHX - Q3 05:07.00</v>
      </c>
      <c r="M445">
        <v>2.88</v>
      </c>
      <c r="N445">
        <v>8.15</v>
      </c>
      <c r="O445">
        <v>46.86</v>
      </c>
      <c r="P445">
        <v>16</v>
      </c>
      <c r="Q445">
        <v>24</v>
      </c>
      <c r="R445">
        <v>8</v>
      </c>
      <c r="S445">
        <v>46</v>
      </c>
    </row>
    <row r="446" spans="1:19" hidden="1" x14ac:dyDescent="0.25">
      <c r="A446">
        <v>22301017</v>
      </c>
      <c r="B446" t="s">
        <v>18</v>
      </c>
      <c r="C446" t="s">
        <v>88</v>
      </c>
      <c r="D446">
        <v>72</v>
      </c>
      <c r="E446">
        <v>53</v>
      </c>
      <c r="F446">
        <v>19</v>
      </c>
      <c r="G446">
        <v>3</v>
      </c>
      <c r="H446" s="1">
        <v>8.1365740740740738E-3</v>
      </c>
      <c r="I446">
        <v>2023</v>
      </c>
      <c r="J446" t="s">
        <v>83</v>
      </c>
      <c r="K446" s="2" t="str">
        <f>HYPERLINK("https://www.nba.com/stats/events?CFID=&amp;CFPARAMS=&amp;GameEventID=331&amp;GameID=0022301017&amp;Season=2023-24&amp;flag=1&amp;title=Leonard%20driving%20DUNK%20(15%20PTS)%20(J.%20Harden%205%20AST)", "Driving DUNK (15 PTS) (J. Harden 5 AST)")</f>
        <v>Driving DUNK (15 PTS) (J. Harden 5 AST)</v>
      </c>
      <c r="L446" s="2" t="str">
        <f>HYPERLINK("https://www.nba.com/game/...-vs-...-0022301017/play-by-play?watchFullGame=true", "LAC vs POR - Q3 11:43.00")</f>
        <v>LAC vs POR - Q3 11:43.00</v>
      </c>
      <c r="M446">
        <v>3.15</v>
      </c>
      <c r="N446">
        <v>8.1</v>
      </c>
      <c r="O446">
        <v>45.83</v>
      </c>
      <c r="P446">
        <v>21</v>
      </c>
      <c r="Q446">
        <v>24</v>
      </c>
      <c r="R446">
        <v>8</v>
      </c>
      <c r="S446">
        <v>45</v>
      </c>
    </row>
    <row r="447" spans="1:19" hidden="1" x14ac:dyDescent="0.25">
      <c r="A447">
        <v>22000554</v>
      </c>
      <c r="B447" t="s">
        <v>18</v>
      </c>
      <c r="C447" t="s">
        <v>88</v>
      </c>
      <c r="D447">
        <v>58</v>
      </c>
      <c r="E447">
        <v>43</v>
      </c>
      <c r="F447">
        <v>15</v>
      </c>
      <c r="G447">
        <v>2</v>
      </c>
      <c r="H447" s="1">
        <v>1.4351851851851852E-3</v>
      </c>
      <c r="I447">
        <v>2020</v>
      </c>
      <c r="J447" t="s">
        <v>83</v>
      </c>
      <c r="K447" s="2" t="str">
        <f>HYPERLINK("https://www.nba.com/stats/events?CFID=&amp;CFPARAMS=&amp;GameEventID=291&amp;GameID=0022000554&amp;Season=2020-21&amp;flag=1&amp;title=Leonard%206'%20DUNK%20(14%20PTS)%20(L.%20Kennard%202%20AST)", "6' DUNK (14 PTS) (L. Kennard 2 AST)")</f>
        <v>6' DUNK (14 PTS) (L. Kennard 2 AST)</v>
      </c>
      <c r="L447" s="2" t="str">
        <f>HYPERLINK("https://www.nba.com/game/...-vs-...-0022000554/play-by-play?watchFullGame=true", "LAC vs WAS - Q2 02:04.00")</f>
        <v>LAC vs WAS - Q2 02:04.00</v>
      </c>
      <c r="M447">
        <v>6.42</v>
      </c>
      <c r="N447">
        <v>9.02</v>
      </c>
      <c r="O447">
        <v>61.1</v>
      </c>
      <c r="P447">
        <v>-55</v>
      </c>
      <c r="Q447">
        <v>32</v>
      </c>
      <c r="R447">
        <v>9</v>
      </c>
      <c r="S447">
        <v>61</v>
      </c>
    </row>
    <row r="448" spans="1:19" hidden="1" x14ac:dyDescent="0.25">
      <c r="A448">
        <v>22400783</v>
      </c>
      <c r="B448" t="s">
        <v>26</v>
      </c>
      <c r="C448" t="s">
        <v>19</v>
      </c>
      <c r="D448">
        <v>14</v>
      </c>
      <c r="E448">
        <v>15</v>
      </c>
      <c r="F448">
        <v>1</v>
      </c>
      <c r="G448">
        <v>1</v>
      </c>
      <c r="H448" s="1">
        <v>4.1319444444444442E-3</v>
      </c>
      <c r="I448">
        <v>2024</v>
      </c>
      <c r="J448" t="s">
        <v>83</v>
      </c>
      <c r="K448" s="2" t="str">
        <f>HYPERLINK("https://www.nba.com/stats/events?CFID=&amp;CFPARAMS=&amp;GameEventID=79&amp;GameID=0022400783&amp;Season=2024-25&amp;flag=1&amp;title=Leonard%2024'%203PT%20%20(5%20PTS)%20(Dunn%202%20AST)", "24' 3PT  (5 PTS) (K. Dunn 2 AST)")</f>
        <v>24' 3PT  (5 PTS) (K. Dunn 2 AST)</v>
      </c>
      <c r="L448" s="2" t="str">
        <f>HYPERLINK("https://www.nba.com/game/...-vs-...-0022400783/play-by-play?watchFullGame=true", "LAC vs MEM - Q1 05:57.00")</f>
        <v>LAC vs MEM - Q1 05:57.00</v>
      </c>
      <c r="M448">
        <v>24.39</v>
      </c>
      <c r="N448">
        <v>9.2799999999999994</v>
      </c>
      <c r="O448">
        <v>1.72</v>
      </c>
      <c r="P448">
        <v>241</v>
      </c>
      <c r="Q448">
        <v>35</v>
      </c>
      <c r="R448">
        <v>9</v>
      </c>
      <c r="S448">
        <v>1</v>
      </c>
    </row>
    <row r="449" spans="1:21" hidden="1" x14ac:dyDescent="0.25">
      <c r="A449">
        <v>22000400</v>
      </c>
      <c r="B449" t="s">
        <v>18</v>
      </c>
      <c r="C449" t="s">
        <v>19</v>
      </c>
      <c r="D449">
        <v>60</v>
      </c>
      <c r="E449">
        <v>54</v>
      </c>
      <c r="F449">
        <v>6</v>
      </c>
      <c r="G449">
        <v>3</v>
      </c>
      <c r="H449" s="1">
        <v>8.0787037037037043E-3</v>
      </c>
      <c r="I449">
        <v>2020</v>
      </c>
      <c r="J449" t="s">
        <v>83</v>
      </c>
      <c r="K449" s="2" t="str">
        <f>HYPERLINK("https://www.nba.com/stats/events?CFID=&amp;CFPARAMS=&amp;GameEventID=302&amp;GameID=0022000400&amp;Season=2020-21&amp;flag=1&amp;title=Leonard%2016'%20Jump%20Shot%20(14%20PTS)%20(Ibaka%201%20AST)", "16' Jump Shot (14 PTS) (S. Ibaka 1 AST)")</f>
        <v>16' Jump Shot (14 PTS) (S. Ibaka 1 AST)</v>
      </c>
      <c r="L449" s="2" t="str">
        <f>HYPERLINK("https://www.nba.com/game/...-vs-...-0022000400/play-by-play?watchFullGame=true", "LAC vs CHI - Q3 11:38.00")</f>
        <v>LAC vs CHI - Q3 11:38.00</v>
      </c>
      <c r="M449">
        <v>16.59</v>
      </c>
      <c r="N449">
        <v>9.67</v>
      </c>
      <c r="O449">
        <v>17.72</v>
      </c>
      <c r="P449">
        <v>161</v>
      </c>
      <c r="Q449">
        <v>38</v>
      </c>
      <c r="R449">
        <v>9</v>
      </c>
      <c r="S449">
        <v>17</v>
      </c>
    </row>
    <row r="450" spans="1:21" hidden="1" x14ac:dyDescent="0.25">
      <c r="A450">
        <v>21900626</v>
      </c>
      <c r="B450" t="s">
        <v>18</v>
      </c>
      <c r="C450" t="s">
        <v>84</v>
      </c>
      <c r="D450">
        <v>12</v>
      </c>
      <c r="E450">
        <v>10</v>
      </c>
      <c r="F450">
        <v>2</v>
      </c>
      <c r="G450">
        <v>1</v>
      </c>
      <c r="H450" s="1">
        <v>5.9953703703703705E-3</v>
      </c>
      <c r="I450">
        <v>2019</v>
      </c>
      <c r="J450" t="s">
        <v>83</v>
      </c>
      <c r="K450" s="2" t="str">
        <f>HYPERLINK("https://www.nba.com/stats/events?CFID=&amp;CFPARAMS=&amp;GameEventID=43&amp;GameID=0021900626&amp;Season=2019-20&amp;flag=1&amp;title=Leonard%2016'%20jumpshot%20(5%20PTS)%20(P.%20Beverley%202%20AST)", "16' jumpshot (5 PTS) (P. Beverley 2 AST)")</f>
        <v>16' jumpshot (5 PTS) (P. Beverley 2 AST)</v>
      </c>
      <c r="L450" s="2" t="str">
        <f>HYPERLINK("https://www.nba.com/game/...-vs-...-0021900626/play-by-play?watchFullGame=true", "LAC vs NOP - Q1 08:38.00")</f>
        <v>LAC vs NOP - Q1 08:38.00</v>
      </c>
      <c r="M450">
        <v>16.22</v>
      </c>
      <c r="N450">
        <v>9.02</v>
      </c>
      <c r="O450">
        <v>18.45</v>
      </c>
      <c r="P450">
        <v>158</v>
      </c>
      <c r="Q450">
        <v>32</v>
      </c>
      <c r="R450">
        <v>9</v>
      </c>
      <c r="S450">
        <v>18</v>
      </c>
    </row>
    <row r="451" spans="1:21" hidden="1" x14ac:dyDescent="0.25">
      <c r="A451">
        <v>22200918</v>
      </c>
      <c r="B451" t="s">
        <v>18</v>
      </c>
      <c r="C451" t="s">
        <v>19</v>
      </c>
      <c r="D451">
        <v>115</v>
      </c>
      <c r="E451">
        <v>113</v>
      </c>
      <c r="F451">
        <v>2</v>
      </c>
      <c r="G451">
        <v>4</v>
      </c>
      <c r="H451" s="1">
        <v>1.5740740740740741E-3</v>
      </c>
      <c r="I451">
        <v>2022</v>
      </c>
      <c r="J451" t="s">
        <v>83</v>
      </c>
      <c r="K451" s="2" t="str">
        <f>HYPERLINK("https://www.nba.com/stats/events?CFID=&amp;CFPARAMS=&amp;GameEventID=620&amp;GameID=0022200918&amp;Season=2022-23&amp;flag=1&amp;title=Leonard%2015'%20turnaround%20fadeaway%20Jump%20Shot%20(31%20PTS)", "15' turnaround fadeaway Jump Shot (31 PTS)")</f>
        <v>15' turnaround fadeaway Jump Shot (31 PTS)</v>
      </c>
      <c r="L451" s="2" t="str">
        <f>HYPERLINK("https://www.nba.com/game/...-vs-...-0022200918/play-by-play?watchFullGame=true", "LAC vs DEN - Q4 02:16.00")</f>
        <v>LAC vs DEN - Q4 02:16.00</v>
      </c>
      <c r="M451">
        <v>15.14</v>
      </c>
      <c r="N451">
        <v>9.94</v>
      </c>
      <c r="O451">
        <v>20.83</v>
      </c>
      <c r="P451">
        <v>146</v>
      </c>
      <c r="Q451">
        <v>41</v>
      </c>
      <c r="R451">
        <v>9</v>
      </c>
      <c r="S451">
        <v>20</v>
      </c>
    </row>
    <row r="452" spans="1:21" hidden="1" x14ac:dyDescent="0.25">
      <c r="A452">
        <v>22000720</v>
      </c>
      <c r="B452" t="s">
        <v>18</v>
      </c>
      <c r="C452" t="s">
        <v>19</v>
      </c>
      <c r="D452">
        <v>42</v>
      </c>
      <c r="E452">
        <v>26</v>
      </c>
      <c r="F452">
        <v>16</v>
      </c>
      <c r="G452">
        <v>2</v>
      </c>
      <c r="H452" s="1">
        <v>3.1597222222222222E-3</v>
      </c>
      <c r="I452">
        <v>2020</v>
      </c>
      <c r="J452" t="s">
        <v>83</v>
      </c>
      <c r="K452" s="2" t="str">
        <f>HYPERLINK("https://www.nba.com/stats/events?CFID=&amp;CFPARAMS=&amp;GameEventID=227&amp;GameID=0022000720&amp;Season=2020-21&amp;flag=1&amp;title=Leonard%2018'%20Jump%20Shot%20(9%20PTS)%20(R.%20Jackson%205%20AST)", "18' Jump Shot (9 PTS) (R. Jackson 5 AST)")</f>
        <v>18' Jump Shot (9 PTS) (R. Jackson 5 AST)</v>
      </c>
      <c r="L452" s="2" t="str">
        <f>HYPERLINK("https://www.nba.com/game/...-vs-...-0022000720/play-by-play?watchFullGame=true", "LAC vs ORL - Q2 04:33.00")</f>
        <v>LAC vs ORL - Q2 04:33.00</v>
      </c>
      <c r="M452">
        <v>18.02</v>
      </c>
      <c r="N452">
        <v>9.2799999999999994</v>
      </c>
      <c r="O452">
        <v>85.36</v>
      </c>
      <c r="P452">
        <v>-177</v>
      </c>
      <c r="Q452">
        <v>35</v>
      </c>
      <c r="R452">
        <v>9</v>
      </c>
      <c r="S452">
        <v>85</v>
      </c>
    </row>
    <row r="453" spans="1:21" hidden="1" x14ac:dyDescent="0.25">
      <c r="A453">
        <v>22200918</v>
      </c>
      <c r="B453" t="s">
        <v>18</v>
      </c>
      <c r="C453" t="s">
        <v>19</v>
      </c>
      <c r="D453">
        <v>88</v>
      </c>
      <c r="E453">
        <v>94</v>
      </c>
      <c r="F453">
        <v>6</v>
      </c>
      <c r="G453">
        <v>3</v>
      </c>
      <c r="H453" s="1">
        <v>6.7939814814814816E-4</v>
      </c>
      <c r="I453">
        <v>2022</v>
      </c>
      <c r="J453" t="s">
        <v>83</v>
      </c>
      <c r="K453" s="2" t="str">
        <f>HYPERLINK("https://www.nba.com/stats/events?CFID=&amp;CFPARAMS=&amp;GameEventID=461&amp;GameID=0022200918&amp;Season=2022-23&amp;flag=1&amp;title=Leonard%2019'%20Jump%20Shot%20(21%20PTS)", "19' Jump Shot (21 PTS)")</f>
        <v>19' Jump Shot (21 PTS)</v>
      </c>
      <c r="L453" s="2" t="str">
        <f>HYPERLINK("https://www.nba.com/game/...-vs-...-0022200918/play-by-play?watchFullGame=true", "LAC vs DEN - Q3 00:58.70")</f>
        <v>LAC vs DEN - Q3 00:58.70</v>
      </c>
      <c r="M453">
        <v>19.57</v>
      </c>
      <c r="N453">
        <v>9.41</v>
      </c>
      <c r="O453">
        <v>88.48</v>
      </c>
      <c r="P453">
        <v>-192</v>
      </c>
      <c r="Q453">
        <v>36</v>
      </c>
      <c r="R453">
        <v>9</v>
      </c>
      <c r="S453">
        <v>88</v>
      </c>
    </row>
    <row r="454" spans="1:21" hidden="1" x14ac:dyDescent="0.25">
      <c r="A454">
        <v>22200735</v>
      </c>
      <c r="B454" t="s">
        <v>18</v>
      </c>
      <c r="C454" t="s">
        <v>19</v>
      </c>
      <c r="D454">
        <v>80</v>
      </c>
      <c r="E454">
        <v>57</v>
      </c>
      <c r="F454">
        <v>23</v>
      </c>
      <c r="G454">
        <v>3</v>
      </c>
      <c r="H454" s="1">
        <v>7.789351851851852E-3</v>
      </c>
      <c r="I454">
        <v>2022</v>
      </c>
      <c r="J454" t="s">
        <v>83</v>
      </c>
      <c r="K454" s="2" t="str">
        <f>HYPERLINK("https://www.nba.com/stats/events?CFID=&amp;CFPARAMS=&amp;GameEventID=343&amp;GameID=0022200735&amp;Season=2022-23&amp;flag=1&amp;title=Leonard%2019'%20Jump%20Shot%20(20%20PTS)", "19' Jump Shot (20 PTS)")</f>
        <v>19' Jump Shot (20 PTS)</v>
      </c>
      <c r="L454" s="2" t="str">
        <f>HYPERLINK("https://www.nba.com/game/...-vs-...-0022200735/play-by-play?watchFullGame=true", "LAC vs SAS - Q3 11:13.00")</f>
        <v>LAC vs SAS - Q3 11:13.00</v>
      </c>
      <c r="M454">
        <v>19.91</v>
      </c>
      <c r="N454">
        <v>9.25</v>
      </c>
      <c r="O454">
        <v>89.22</v>
      </c>
      <c r="P454">
        <v>-196</v>
      </c>
      <c r="Q454">
        <v>34</v>
      </c>
      <c r="R454">
        <v>9</v>
      </c>
      <c r="S454">
        <v>89</v>
      </c>
    </row>
    <row r="455" spans="1:21" hidden="1" x14ac:dyDescent="0.25">
      <c r="A455">
        <v>22000501</v>
      </c>
      <c r="B455" t="s">
        <v>26</v>
      </c>
      <c r="C455" t="s">
        <v>19</v>
      </c>
      <c r="D455">
        <v>74</v>
      </c>
      <c r="E455">
        <v>84</v>
      </c>
      <c r="F455">
        <v>10</v>
      </c>
      <c r="G455">
        <v>3</v>
      </c>
      <c r="H455" s="1">
        <v>1.6782407407407408E-3</v>
      </c>
      <c r="I455">
        <v>2020</v>
      </c>
      <c r="J455" t="s">
        <v>83</v>
      </c>
      <c r="K455" s="2" t="str">
        <f>HYPERLINK("https://www.nba.com/stats/events?CFID=&amp;CFPARAMS=&amp;GameEventID=432&amp;GameID=0022000501&amp;Season=2020-21&amp;flag=1&amp;title=Leonard%203PT%20running%20(16%20PTS)%20(M.%20Morris%20Sr.%201%20AST)", "3PT running (16 PTS) (M. Morris Sr. 1 AST)")</f>
        <v>3PT running (16 PTS) (M. Morris Sr. 1 AST)</v>
      </c>
      <c r="L455" s="2" t="str">
        <f>HYPERLINK("https://www.nba.com/game/...-vs-...-0022000501/play-by-play?watchFullGame=true", "LAC vs MEM - Q3 02:25.00")</f>
        <v>LAC vs MEM - Q3 02:25.00</v>
      </c>
      <c r="M455">
        <v>22.88</v>
      </c>
      <c r="N455">
        <v>9.5399999999999991</v>
      </c>
      <c r="O455">
        <v>95.17</v>
      </c>
      <c r="P455">
        <v>-226</v>
      </c>
      <c r="Q455">
        <v>37</v>
      </c>
      <c r="R455">
        <v>9</v>
      </c>
      <c r="S455">
        <v>95</v>
      </c>
    </row>
    <row r="456" spans="1:21" hidden="1" x14ac:dyDescent="0.25">
      <c r="A456">
        <v>22300716</v>
      </c>
      <c r="B456" t="s">
        <v>26</v>
      </c>
      <c r="C456" t="s">
        <v>19</v>
      </c>
      <c r="D456">
        <v>75</v>
      </c>
      <c r="E456">
        <v>70</v>
      </c>
      <c r="F456">
        <v>5</v>
      </c>
      <c r="G456">
        <v>3</v>
      </c>
      <c r="H456" s="1">
        <v>6.9560185185185185E-3</v>
      </c>
      <c r="I456">
        <v>2023</v>
      </c>
      <c r="J456" t="s">
        <v>83</v>
      </c>
      <c r="K456" s="2" t="str">
        <f>HYPERLINK("https://www.nba.com/stats/events?CFID=&amp;CFPARAMS=&amp;GameEventID=329&amp;GameID=0022300716&amp;Season=2023-24&amp;flag=1&amp;title=Leonard%203PT%20%20(17%20PTS)%20(T.%20Mann%202%20AST)", "3PT  (17 PTS) (T. Mann 2 AST)")</f>
        <v>3PT  (17 PTS) (T. Mann 2 AST)</v>
      </c>
      <c r="L456" s="2" t="str">
        <f>HYPERLINK("https://www.nba.com/game/...-vs-...-0022300716/play-by-play?watchFullGame=true", "LAC vs ATL - Q3 10:01.00")</f>
        <v>LAC vs ATL - Q3 10:01.00</v>
      </c>
      <c r="M456">
        <v>23.13</v>
      </c>
      <c r="N456">
        <v>9.81</v>
      </c>
      <c r="O456">
        <v>95.59</v>
      </c>
      <c r="P456">
        <v>-228</v>
      </c>
      <c r="Q456">
        <v>40</v>
      </c>
      <c r="R456">
        <v>9</v>
      </c>
      <c r="S456">
        <v>95</v>
      </c>
    </row>
    <row r="457" spans="1:21" hidden="1" x14ac:dyDescent="0.25">
      <c r="A457">
        <v>22201082</v>
      </c>
      <c r="B457" t="s">
        <v>26</v>
      </c>
      <c r="C457" t="s">
        <v>19</v>
      </c>
      <c r="D457">
        <v>54</v>
      </c>
      <c r="E457">
        <v>56</v>
      </c>
      <c r="F457">
        <v>2</v>
      </c>
      <c r="G457">
        <v>3</v>
      </c>
      <c r="H457" s="1">
        <v>7.6967592592592591E-3</v>
      </c>
      <c r="I457">
        <v>2022</v>
      </c>
      <c r="J457" t="s">
        <v>83</v>
      </c>
      <c r="K457" s="2" t="str">
        <f>HYPERLINK("https://www.nba.com/stats/events?CFID=&amp;CFPARAMS=&amp;GameEventID=351&amp;GameID=0022201082&amp;Season=2022-23&amp;flag=1&amp;title=Leonard%203PT%20%20(11%20PTS)%20(M.%20Morris%20Sr.%203%20AST)", "3PT  (11 PTS) (M. Morris Sr. 3 AST)")</f>
        <v>3PT  (11 PTS) (M. Morris Sr. 3 AST)</v>
      </c>
      <c r="L457" s="2" t="str">
        <f>HYPERLINK("https://www.nba.com/game/...-vs-...-0022201082/play-by-play?watchFullGame=true", "LAC vs OKC - Q3 11:05.00")</f>
        <v>LAC vs OKC - Q3 11:05.00</v>
      </c>
      <c r="M457">
        <v>23.28</v>
      </c>
      <c r="N457">
        <v>9.9</v>
      </c>
      <c r="O457">
        <v>95.83</v>
      </c>
      <c r="P457">
        <v>-229</v>
      </c>
      <c r="Q457">
        <v>41</v>
      </c>
      <c r="R457">
        <v>9</v>
      </c>
      <c r="S457">
        <v>95</v>
      </c>
    </row>
    <row r="458" spans="1:21" hidden="1" x14ac:dyDescent="0.25">
      <c r="A458">
        <v>22000736</v>
      </c>
      <c r="B458" t="s">
        <v>18</v>
      </c>
      <c r="C458" t="s">
        <v>19</v>
      </c>
      <c r="D458">
        <v>51</v>
      </c>
      <c r="E458">
        <v>67</v>
      </c>
      <c r="F458">
        <v>16</v>
      </c>
      <c r="G458">
        <v>3</v>
      </c>
      <c r="H458" s="1">
        <v>6.4236111111111108E-3</v>
      </c>
      <c r="I458">
        <v>2020</v>
      </c>
      <c r="J458" t="s">
        <v>83</v>
      </c>
      <c r="K458" s="2" t="str">
        <f>HYPERLINK("https://www.nba.com/stats/events?CFID=&amp;CFPARAMS=&amp;GameEventID=326&amp;GameID=0022000736&amp;Season=2020-21&amp;flag=1&amp;title=Leonard%2012'%20turnaround%20Jump%20Shot%20(11%20PTS)", "12' turnaround Jump Shot (11 PTS)")</f>
        <v>12' turnaround Jump Shot (11 PTS)</v>
      </c>
      <c r="L458" s="2" t="str">
        <f>HYPERLINK("https://www.nba.com/game/...-vs-...-0022000736/play-by-play?watchFullGame=true", "LAC vs DEN - Q3 09:15.00")</f>
        <v>LAC vs DEN - Q3 09:15.00</v>
      </c>
      <c r="M458">
        <v>12.84</v>
      </c>
      <c r="N458">
        <v>9.5399999999999991</v>
      </c>
      <c r="O458">
        <v>74.58</v>
      </c>
      <c r="P458">
        <v>-123</v>
      </c>
      <c r="Q458">
        <v>37</v>
      </c>
      <c r="R458">
        <v>9</v>
      </c>
      <c r="S458">
        <v>74</v>
      </c>
    </row>
    <row r="459" spans="1:21" hidden="1" x14ac:dyDescent="0.25">
      <c r="A459" s="3">
        <v>22400733</v>
      </c>
      <c r="B459" s="3" t="s">
        <v>18</v>
      </c>
      <c r="C459" s="3" t="s">
        <v>19</v>
      </c>
      <c r="D459" s="3">
        <v>92</v>
      </c>
      <c r="E459" s="3">
        <v>90</v>
      </c>
      <c r="F459" s="3">
        <v>2</v>
      </c>
      <c r="G459" s="3">
        <v>4</v>
      </c>
      <c r="H459" s="4">
        <v>6.7708333333333336E-3</v>
      </c>
      <c r="I459" s="3">
        <v>2024</v>
      </c>
      <c r="J459" s="3" t="s">
        <v>83</v>
      </c>
      <c r="K459" s="5" t="str">
        <f>HYPERLINK("https://www.nba.com/stats/events?CFID=&amp;CFPARAMS=&amp;GameEventID=507&amp;GameID=0022400733&amp;Season=2024-25&amp;flag=1&amp;title=Leonard%2012'%20turnaround%20fadeaway%20Jump%20Shot%20(10%20PTS)", "12' turnaround fadeaway Jump Shot (10 PTS)")</f>
        <v>12' turnaround fadeaway Jump Shot (10 PTS)</v>
      </c>
      <c r="L459" s="5" t="str">
        <f>HYPERLINK("https://www.nba.com/game/...-vs-...-0022400733/play-by-play?watchFullGame=true", "LAC vs IND - Q4 09:45.00")</f>
        <v>LAC vs IND - Q4 09:45.00</v>
      </c>
      <c r="M459" s="3">
        <v>12.47</v>
      </c>
      <c r="N459" s="3">
        <v>9.15</v>
      </c>
      <c r="O459" s="3">
        <v>74.02</v>
      </c>
      <c r="P459" s="3">
        <v>-120</v>
      </c>
      <c r="Q459" s="3">
        <v>34</v>
      </c>
      <c r="R459" s="3">
        <v>9</v>
      </c>
      <c r="S459" s="3">
        <v>74</v>
      </c>
      <c r="T459" s="3"/>
      <c r="U459" s="3"/>
    </row>
    <row r="460" spans="1:21" hidden="1" x14ac:dyDescent="0.25">
      <c r="A460">
        <v>22200945</v>
      </c>
      <c r="B460" t="s">
        <v>18</v>
      </c>
      <c r="C460" t="s">
        <v>19</v>
      </c>
      <c r="D460">
        <v>68</v>
      </c>
      <c r="E460">
        <v>70</v>
      </c>
      <c r="F460">
        <v>2</v>
      </c>
      <c r="G460">
        <v>3</v>
      </c>
      <c r="H460" s="1">
        <v>2.6967592592592594E-3</v>
      </c>
      <c r="I460">
        <v>2022</v>
      </c>
      <c r="J460" t="s">
        <v>83</v>
      </c>
      <c r="K460" s="2" t="str">
        <f>HYPERLINK("https://www.nba.com/stats/events?CFID=&amp;CFPARAMS=&amp;GameEventID=484&amp;GameID=0022200945&amp;Season=2022-23&amp;flag=1&amp;title=Leonard%2011'%20Jump%20Shot%20(20%20PTS)", "11' Jump Shot (20 PTS)")</f>
        <v>11' Jump Shot (20 PTS)</v>
      </c>
      <c r="L460" s="2" t="str">
        <f>HYPERLINK("https://www.nba.com/game/...-vs-...-0022200945/play-by-play?watchFullGame=true", "LAC vs GSW - Q3 03:53.00")</f>
        <v>LAC vs GSW - Q3 03:53.00</v>
      </c>
      <c r="M460">
        <v>11.38</v>
      </c>
      <c r="N460">
        <v>9.81</v>
      </c>
      <c r="O460">
        <v>71.319999999999993</v>
      </c>
      <c r="P460">
        <v>-107</v>
      </c>
      <c r="Q460">
        <v>40</v>
      </c>
      <c r="R460">
        <v>9</v>
      </c>
      <c r="S460">
        <v>71</v>
      </c>
    </row>
    <row r="461" spans="1:21" hidden="1" x14ac:dyDescent="0.25">
      <c r="A461">
        <v>22200885</v>
      </c>
      <c r="B461" t="s">
        <v>18</v>
      </c>
      <c r="C461" t="s">
        <v>19</v>
      </c>
      <c r="D461">
        <v>79</v>
      </c>
      <c r="E461">
        <v>76</v>
      </c>
      <c r="F461">
        <v>3</v>
      </c>
      <c r="G461">
        <v>3</v>
      </c>
      <c r="H461" s="1">
        <v>2.7893518518518519E-3</v>
      </c>
      <c r="I461">
        <v>2022</v>
      </c>
      <c r="J461" t="s">
        <v>83</v>
      </c>
      <c r="K461" s="2" t="str">
        <f>HYPERLINK("https://www.nba.com/stats/events?CFID=&amp;CFPARAMS=&amp;GameEventID=447&amp;GameID=0022200885&amp;Season=2022-23&amp;flag=1&amp;title=Leonard%2010'%20fadeaway%20Jump%20Shot%20(4%20PTS)", "10' fadeaway Jump Shot (4 PTS)")</f>
        <v>10' fadeaway Jump Shot (4 PTS)</v>
      </c>
      <c r="L461" s="2" t="str">
        <f>HYPERLINK("https://www.nba.com/game/...-vs-...-0022200885/play-by-play?watchFullGame=true", "LAC vs PHX - Q3 04:01.00")</f>
        <v>LAC vs PHX - Q3 04:01.00</v>
      </c>
      <c r="M461">
        <v>10.91</v>
      </c>
      <c r="N461">
        <v>9.02</v>
      </c>
      <c r="O461">
        <v>29.17</v>
      </c>
      <c r="P461">
        <v>104</v>
      </c>
      <c r="Q461">
        <v>32</v>
      </c>
      <c r="R461">
        <v>9</v>
      </c>
      <c r="S461">
        <v>29</v>
      </c>
    </row>
    <row r="462" spans="1:21" hidden="1" x14ac:dyDescent="0.25">
      <c r="A462">
        <v>22000554</v>
      </c>
      <c r="B462" t="s">
        <v>18</v>
      </c>
      <c r="C462" t="s">
        <v>19</v>
      </c>
      <c r="D462">
        <v>38</v>
      </c>
      <c r="E462">
        <v>37</v>
      </c>
      <c r="F462">
        <v>1</v>
      </c>
      <c r="G462">
        <v>2</v>
      </c>
      <c r="H462" s="1">
        <v>5.162037037037037E-3</v>
      </c>
      <c r="I462">
        <v>2020</v>
      </c>
      <c r="J462" t="s">
        <v>83</v>
      </c>
      <c r="K462" s="2" t="str">
        <f>HYPERLINK("https://www.nba.com/stats/events?CFID=&amp;CFPARAMS=&amp;GameEventID=221&amp;GameID=0022000554&amp;Season=2020-21&amp;flag=1&amp;title=Leonard%2010'%20fadeaway%20Jump%20Shot%20(12%20PTS)", "10' fadeaway Jump Shot (12 PTS)")</f>
        <v>10' fadeaway Jump Shot (12 PTS)</v>
      </c>
      <c r="L462" s="2" t="str">
        <f>HYPERLINK("https://www.nba.com/game/...-vs-...-0022000554/play-by-play?watchFullGame=true", "LAC vs WAS - Q2 07:26.00")</f>
        <v>LAC vs WAS - Q2 07:26.00</v>
      </c>
      <c r="M462">
        <v>10.63</v>
      </c>
      <c r="N462">
        <v>9.5399999999999991</v>
      </c>
      <c r="O462">
        <v>69.92</v>
      </c>
      <c r="P462">
        <v>-100</v>
      </c>
      <c r="Q462">
        <v>37</v>
      </c>
      <c r="R462">
        <v>9</v>
      </c>
      <c r="S462">
        <v>69</v>
      </c>
    </row>
    <row r="463" spans="1:21" hidden="1" x14ac:dyDescent="0.25">
      <c r="A463">
        <v>21900499</v>
      </c>
      <c r="B463" t="s">
        <v>18</v>
      </c>
      <c r="C463" t="s">
        <v>84</v>
      </c>
      <c r="D463">
        <v>59</v>
      </c>
      <c r="E463">
        <v>43</v>
      </c>
      <c r="F463">
        <v>16</v>
      </c>
      <c r="G463">
        <v>3</v>
      </c>
      <c r="H463" s="1">
        <v>7.4884259259259262E-3</v>
      </c>
      <c r="I463">
        <v>2019</v>
      </c>
      <c r="J463" t="s">
        <v>83</v>
      </c>
      <c r="K463" s="2" t="str">
        <f>HYPERLINK("https://www.nba.com/stats/events?CFID=&amp;CFPARAMS=&amp;GameEventID=362&amp;GameID=0021900499&amp;Season=2019-20&amp;flag=1&amp;title=Leonard%2010'%20jumpshot%20(12%20PTS)", "10' jumpshot (12 PTS)")</f>
        <v>10' jumpshot (12 PTS)</v>
      </c>
      <c r="L463" s="2" t="str">
        <f>HYPERLINK("https://www.nba.com/game/...-vs-...-0021900499/play-by-play?watchFullGame=true", "LAC vs SAC - Q3 10:47.00")</f>
        <v>LAC vs SAC - Q3 10:47.00</v>
      </c>
      <c r="M463">
        <v>10.27</v>
      </c>
      <c r="N463">
        <v>9.94</v>
      </c>
      <c r="O463">
        <v>31.69</v>
      </c>
      <c r="P463">
        <v>92</v>
      </c>
      <c r="Q463">
        <v>41</v>
      </c>
      <c r="R463">
        <v>9</v>
      </c>
      <c r="S463">
        <v>31</v>
      </c>
    </row>
    <row r="464" spans="1:21" hidden="1" x14ac:dyDescent="0.25">
      <c r="A464">
        <v>22300151</v>
      </c>
      <c r="B464" t="s">
        <v>18</v>
      </c>
      <c r="C464" t="s">
        <v>19</v>
      </c>
      <c r="D464">
        <v>61</v>
      </c>
      <c r="E464">
        <v>58</v>
      </c>
      <c r="F464">
        <v>3</v>
      </c>
      <c r="G464">
        <v>3</v>
      </c>
      <c r="H464" s="1">
        <v>4.4907407407407405E-3</v>
      </c>
      <c r="I464">
        <v>2023</v>
      </c>
      <c r="J464" t="s">
        <v>83</v>
      </c>
      <c r="K464" s="2" t="str">
        <f>HYPERLINK("https://www.nba.com/stats/events?CFID=&amp;CFPARAMS=&amp;GameEventID=346&amp;GameID=0022300151&amp;Season=2023-24&amp;flag=1&amp;title=Leonard%207'%20turnaround%20bank%20Jump%20Shot%20(13%20PTS)", "7' turnaround bank Jump Shot (13 PTS)")</f>
        <v>7' turnaround bank Jump Shot (13 PTS)</v>
      </c>
      <c r="L464" s="2" t="str">
        <f>HYPERLINK("https://www.nba.com/game/...-vs-...-0022300151/play-by-play?watchFullGame=true", "LAC vs NYK - Q3 06:28.00")</f>
        <v>LAC vs NYK - Q3 06:28.00</v>
      </c>
      <c r="M464">
        <v>7.02</v>
      </c>
      <c r="N464">
        <v>9.67</v>
      </c>
      <c r="O464">
        <v>61.76</v>
      </c>
      <c r="P464">
        <v>-59</v>
      </c>
      <c r="Q464">
        <v>38</v>
      </c>
      <c r="R464">
        <v>9</v>
      </c>
      <c r="S464">
        <v>61</v>
      </c>
    </row>
    <row r="465" spans="1:19" hidden="1" x14ac:dyDescent="0.25">
      <c r="A465">
        <v>21900359</v>
      </c>
      <c r="B465" t="s">
        <v>18</v>
      </c>
      <c r="C465" t="s">
        <v>84</v>
      </c>
      <c r="D465">
        <v>55</v>
      </c>
      <c r="E465">
        <v>42</v>
      </c>
      <c r="F465">
        <v>13</v>
      </c>
      <c r="G465">
        <v>2</v>
      </c>
      <c r="H465" s="1">
        <v>1.5162037037037036E-3</v>
      </c>
      <c r="I465">
        <v>2019</v>
      </c>
      <c r="J465" t="s">
        <v>83</v>
      </c>
      <c r="K465" s="2" t="str">
        <f>HYPERLINK("https://www.nba.com/stats/events?CFID=&amp;CFPARAMS=&amp;GameEventID=317&amp;GameID=0021900359&amp;Season=2019-20&amp;flag=1&amp;title=Leonard%207'%20jumpshot%20(9%20PTS)%20(L.%20Williams%204%20AST)", "7' jumpshot (9 PTS) (L. Williams 4 AST)")</f>
        <v>7' jumpshot (9 PTS) (L. Williams 4 AST)</v>
      </c>
      <c r="L465" s="2" t="str">
        <f>HYPERLINK("https://www.nba.com/game/...-vs-...-0021900359/play-by-play?watchFullGame=true", "LAC vs TOR - Q2 02:11.00")</f>
        <v>LAC vs TOR - Q2 02:11.00</v>
      </c>
      <c r="M465">
        <v>7</v>
      </c>
      <c r="N465">
        <v>9.94</v>
      </c>
      <c r="O465">
        <v>39.53</v>
      </c>
      <c r="P465">
        <v>52</v>
      </c>
      <c r="Q465">
        <v>41</v>
      </c>
      <c r="R465">
        <v>9</v>
      </c>
      <c r="S465">
        <v>39</v>
      </c>
    </row>
    <row r="466" spans="1:19" hidden="1" x14ac:dyDescent="0.25">
      <c r="A466">
        <v>21900068</v>
      </c>
      <c r="B466" t="s">
        <v>18</v>
      </c>
      <c r="C466" t="s">
        <v>84</v>
      </c>
      <c r="D466">
        <v>12</v>
      </c>
      <c r="E466">
        <v>6</v>
      </c>
      <c r="F466">
        <v>6</v>
      </c>
      <c r="G466">
        <v>1</v>
      </c>
      <c r="H466" s="1">
        <v>3.5995370370370369E-3</v>
      </c>
      <c r="I466">
        <v>2019</v>
      </c>
      <c r="J466" t="s">
        <v>83</v>
      </c>
      <c r="K466" s="2" t="str">
        <f>HYPERLINK("https://www.nba.com/stats/events?CFID=&amp;CFPARAMS=&amp;GameEventID=79&amp;GameID=0021900068&amp;Season=2019-20&amp;flag=1&amp;title=[LAC]%20Leonard%20jumpshot:%20Made%20(8%20PTS)", "[LAC] Leonard jumpshot: Made (8 PTS)")</f>
        <v>[LAC] Leonard jumpshot: Made (8 PTS)</v>
      </c>
      <c r="L466" s="2" t="str">
        <f>HYPERLINK("https://www.nba.com/game/...-vs-...-0021900068/play-by-play?watchFullGame=true", "LAC vs SAS - Q1 05:11.00")</f>
        <v>LAC vs SAS - Q1 05:11.00</v>
      </c>
      <c r="M466">
        <v>6.95</v>
      </c>
      <c r="N466">
        <v>9.3800000000000008</v>
      </c>
      <c r="O466">
        <v>61.21</v>
      </c>
      <c r="P466">
        <v>-56</v>
      </c>
      <c r="Q466">
        <v>36</v>
      </c>
      <c r="R466">
        <v>9</v>
      </c>
      <c r="S466">
        <v>61</v>
      </c>
    </row>
    <row r="467" spans="1:19" hidden="1" x14ac:dyDescent="0.25">
      <c r="A467">
        <v>22000105</v>
      </c>
      <c r="B467" t="s">
        <v>18</v>
      </c>
      <c r="C467" t="s">
        <v>19</v>
      </c>
      <c r="D467">
        <v>7</v>
      </c>
      <c r="E467">
        <v>14</v>
      </c>
      <c r="F467">
        <v>7</v>
      </c>
      <c r="G467">
        <v>1</v>
      </c>
      <c r="H467" s="1">
        <v>4.5254629629629629E-3</v>
      </c>
      <c r="I467">
        <v>2020</v>
      </c>
      <c r="J467" t="s">
        <v>83</v>
      </c>
      <c r="K467" s="2" t="str">
        <f>HYPERLINK("https://www.nba.com/stats/events?CFID=&amp;CFPARAMS=&amp;GameEventID=57&amp;GameID=0022000105&amp;Season=2020-21&amp;flag=1&amp;title=Leonard%206'%20pullup%20Jump%20Shot%20(2%20PTS)", "6' pullup Jump Shot (2 PTS)")</f>
        <v>6' pullup Jump Shot (2 PTS)</v>
      </c>
      <c r="L467" s="2" t="str">
        <f>HYPERLINK("https://www.nba.com/game/...-vs-...-0022000105/play-by-play?watchFullGame=true", "LAC vs SAS - Q1 06:31.00")</f>
        <v>LAC vs SAS - Q1 06:31.00</v>
      </c>
      <c r="M467">
        <v>6.72</v>
      </c>
      <c r="N467">
        <v>9.5399999999999991</v>
      </c>
      <c r="O467">
        <v>38.79</v>
      </c>
      <c r="P467">
        <v>56</v>
      </c>
      <c r="Q467">
        <v>37</v>
      </c>
      <c r="R467">
        <v>9</v>
      </c>
      <c r="S467">
        <v>38</v>
      </c>
    </row>
    <row r="468" spans="1:19" hidden="1" x14ac:dyDescent="0.25">
      <c r="A468">
        <v>22200480</v>
      </c>
      <c r="B468" t="s">
        <v>18</v>
      </c>
      <c r="C468" t="s">
        <v>19</v>
      </c>
      <c r="D468">
        <v>65</v>
      </c>
      <c r="E468">
        <v>51</v>
      </c>
      <c r="F468">
        <v>14</v>
      </c>
      <c r="G468">
        <v>3</v>
      </c>
      <c r="H468" s="1">
        <v>7.789351851851852E-3</v>
      </c>
      <c r="I468">
        <v>2022</v>
      </c>
      <c r="J468" t="s">
        <v>83</v>
      </c>
      <c r="K468" s="2" t="str">
        <f>HYPERLINK("https://www.nba.com/stats/events?CFID=&amp;CFPARAMS=&amp;GameEventID=296&amp;GameID=0022200480&amp;Season=2022-23&amp;flag=1&amp;title=Leonard%206'%20pullup%20Jump%20Shot%20(15%20PTS)", "6' pullup Jump Shot (15 PTS)")</f>
        <v>6' pullup Jump Shot (15 PTS)</v>
      </c>
      <c r="L468" s="2" t="str">
        <f>HYPERLINK("https://www.nba.com/game/...-vs-...-0022200480/play-by-play?watchFullGame=true", "LAC vs PHI - Q3 11:13.00")</f>
        <v>LAC vs PHI - Q3 11:13.00</v>
      </c>
      <c r="M468">
        <v>6.38</v>
      </c>
      <c r="N468">
        <v>9.77</v>
      </c>
      <c r="O468">
        <v>39.950000000000003</v>
      </c>
      <c r="P468">
        <v>50</v>
      </c>
      <c r="Q468">
        <v>39</v>
      </c>
      <c r="R468">
        <v>9</v>
      </c>
      <c r="S468">
        <v>39</v>
      </c>
    </row>
    <row r="469" spans="1:19" hidden="1" x14ac:dyDescent="0.25">
      <c r="A469">
        <v>22300350</v>
      </c>
      <c r="B469" t="s">
        <v>18</v>
      </c>
      <c r="C469" t="s">
        <v>19</v>
      </c>
      <c r="D469">
        <v>114</v>
      </c>
      <c r="E469">
        <v>94</v>
      </c>
      <c r="F469">
        <v>20</v>
      </c>
      <c r="G469">
        <v>3</v>
      </c>
      <c r="H469" s="1">
        <v>1.1226851851851852E-4</v>
      </c>
      <c r="I469">
        <v>2023</v>
      </c>
      <c r="J469" t="s">
        <v>83</v>
      </c>
      <c r="K469" s="2" t="str">
        <f>HYPERLINK("https://www.nba.com/stats/events?CFID=&amp;CFPARAMS=&amp;GameEventID=508&amp;GameID=0022300350&amp;Season=2023-24&amp;flag=1&amp;title=Leonard%20turnaround%20Jump%20Shot%20(28%20PTS)", "Turnaround Jump Shot (28 PTS)")</f>
        <v>Turnaround Jump Shot (28 PTS)</v>
      </c>
      <c r="L469" s="2" t="str">
        <f>HYPERLINK("https://www.nba.com/game/...-vs-...-0022300350/play-by-play?watchFullGame=true", "LAC vs IND - Q3 00:09.70")</f>
        <v>LAC vs IND - Q3 00:09.70</v>
      </c>
      <c r="M469">
        <v>5.86</v>
      </c>
      <c r="N469">
        <v>9.5399999999999991</v>
      </c>
      <c r="O469">
        <v>59.07</v>
      </c>
      <c r="P469">
        <v>-45</v>
      </c>
      <c r="Q469">
        <v>37</v>
      </c>
      <c r="R469">
        <v>9</v>
      </c>
      <c r="S469">
        <v>59</v>
      </c>
    </row>
    <row r="470" spans="1:19" hidden="1" x14ac:dyDescent="0.25">
      <c r="A470">
        <v>42000222</v>
      </c>
      <c r="B470" t="s">
        <v>18</v>
      </c>
      <c r="C470" t="s">
        <v>19</v>
      </c>
      <c r="D470">
        <v>16</v>
      </c>
      <c r="E470">
        <v>22</v>
      </c>
      <c r="F470">
        <v>6</v>
      </c>
      <c r="G470">
        <v>1</v>
      </c>
      <c r="H470" s="1">
        <v>3.3333333333333335E-3</v>
      </c>
      <c r="I470" t="s">
        <v>94</v>
      </c>
      <c r="J470" t="s">
        <v>83</v>
      </c>
      <c r="K470" s="2" t="str">
        <f>HYPERLINK("https://www.nba.com/stats/events?CFID=&amp;CFPARAMS=&amp;GameEventID=76&amp;GameID=0042000222&amp;Season=2020-21&amp;flag=1&amp;title=Leonard%20driving%20bank%20Jump%20Shot%20(4%20PTS)", "Driving bank Jump Shot (4 PTS)")</f>
        <v>Driving bank Jump Shot (4 PTS)</v>
      </c>
      <c r="L470" s="2" t="str">
        <f>HYPERLINK("https://www.nba.com/game/...-vs-...-0042000222/play-by-play?watchFullGame=true", "LAC vs UTA - Q1 04:48.00")</f>
        <v>LAC vs UTA - Q1 04:48.00</v>
      </c>
      <c r="M470">
        <v>5.84</v>
      </c>
      <c r="N470">
        <v>9.5399999999999991</v>
      </c>
      <c r="O470">
        <v>41</v>
      </c>
      <c r="P470">
        <v>9</v>
      </c>
      <c r="Q470">
        <v>41</v>
      </c>
      <c r="R470">
        <v>9</v>
      </c>
      <c r="S470">
        <v>41</v>
      </c>
    </row>
    <row r="471" spans="1:19" hidden="1" x14ac:dyDescent="0.25">
      <c r="A471">
        <v>22400646</v>
      </c>
      <c r="B471" t="s">
        <v>18</v>
      </c>
      <c r="C471" t="s">
        <v>87</v>
      </c>
      <c r="D471">
        <v>62</v>
      </c>
      <c r="E471">
        <v>65</v>
      </c>
      <c r="F471">
        <v>3</v>
      </c>
      <c r="G471">
        <v>3</v>
      </c>
      <c r="H471" s="1">
        <v>6.828703703703704E-3</v>
      </c>
      <c r="I471">
        <v>2024</v>
      </c>
      <c r="J471" t="s">
        <v>83</v>
      </c>
      <c r="K471" s="2" t="str">
        <f>HYPERLINK("https://www.nba.com/stats/events?CFID=&amp;CFPARAMS=&amp;GameEventID=373&amp;GameID=0022400646&amp;Season=2024-25&amp;flag=1&amp;title=Leonard%20driving%20finger%20roll%20Layup%20(13%20PTS)", "Driving finger roll Layup (13 PTS)")</f>
        <v>Driving finger roll Layup (13 PTS)</v>
      </c>
      <c r="L471" s="2" t="str">
        <f>HYPERLINK("https://www.nba.com/game/...-vs-...-0022400646/play-by-play?watchFullGame=true", "LAC vs MIL - Q3 09:50.00")</f>
        <v>LAC vs MIL - Q3 09:50.00</v>
      </c>
      <c r="M471">
        <v>5.79</v>
      </c>
      <c r="N471">
        <v>9.41</v>
      </c>
      <c r="O471">
        <v>40.93</v>
      </c>
      <c r="P471">
        <v>45</v>
      </c>
      <c r="Q471">
        <v>36</v>
      </c>
      <c r="R471">
        <v>9</v>
      </c>
      <c r="S471">
        <v>40</v>
      </c>
    </row>
    <row r="472" spans="1:19" hidden="1" x14ac:dyDescent="0.25">
      <c r="A472">
        <v>22000251</v>
      </c>
      <c r="B472" t="s">
        <v>18</v>
      </c>
      <c r="C472" t="s">
        <v>19</v>
      </c>
      <c r="D472">
        <v>58</v>
      </c>
      <c r="E472">
        <v>49</v>
      </c>
      <c r="F472">
        <v>9</v>
      </c>
      <c r="G472">
        <v>3</v>
      </c>
      <c r="H472" s="1">
        <v>7.2800925925925923E-3</v>
      </c>
      <c r="I472">
        <v>2020</v>
      </c>
      <c r="J472" t="s">
        <v>83</v>
      </c>
      <c r="K472" s="2" t="str">
        <f>HYPERLINK("https://www.nba.com/stats/events?CFID=&amp;CFPARAMS=&amp;GameEventID=331&amp;GameID=0022000251&amp;Season=2020-21&amp;flag=1&amp;title=Leonard%20running%20Jump%20Shot%20(23%20PTS)%20(R.%20Jackson%201%20AST)", "Running Jump Shot (23 PTS) (R. Jackson 1 AST)")</f>
        <v>Running Jump Shot (23 PTS) (R. Jackson 1 AST)</v>
      </c>
      <c r="L472" s="2" t="str">
        <f>HYPERLINK("https://www.nba.com/game/...-vs-...-0022000251/play-by-play?watchFullGame=true", "LAC vs OKC - Q3 10:29.00")</f>
        <v>LAC vs OKC - Q3 10:29.00</v>
      </c>
      <c r="M472">
        <v>5.73</v>
      </c>
      <c r="N472">
        <v>9.67</v>
      </c>
      <c r="O472">
        <v>41.49</v>
      </c>
      <c r="P472">
        <v>43</v>
      </c>
      <c r="Q472">
        <v>38</v>
      </c>
      <c r="R472">
        <v>9</v>
      </c>
      <c r="S472">
        <v>41</v>
      </c>
    </row>
    <row r="473" spans="1:19" hidden="1" x14ac:dyDescent="0.25">
      <c r="A473">
        <v>22200829</v>
      </c>
      <c r="B473" t="s">
        <v>18</v>
      </c>
      <c r="C473" t="s">
        <v>19</v>
      </c>
      <c r="D473">
        <v>55</v>
      </c>
      <c r="E473">
        <v>62</v>
      </c>
      <c r="F473">
        <v>7</v>
      </c>
      <c r="G473">
        <v>3</v>
      </c>
      <c r="H473" s="1">
        <v>7.4652777777777781E-3</v>
      </c>
      <c r="I473">
        <v>2022</v>
      </c>
      <c r="J473" t="s">
        <v>83</v>
      </c>
      <c r="K473" s="2" t="str">
        <f>HYPERLINK("https://www.nba.com/stats/events?CFID=&amp;CFPARAMS=&amp;GameEventID=333&amp;GameID=0022200829&amp;Season=2022-23&amp;flag=1&amp;title=Leonard%20pullup%20bank%20Jump%20Shot%20(4%20PTS)%20(T.%20Mann%204%20AST)", "Pullup bank Jump Shot (4 PTS) (T. Mann 4 AST)")</f>
        <v>Pullup bank Jump Shot (4 PTS) (T. Mann 4 AST)</v>
      </c>
      <c r="L473" s="2" t="str">
        <f>HYPERLINK("https://www.nba.com/game/...-vs-...-0022200829/play-by-play?watchFullGame=true", "LAC vs DAL - Q3 10:45.00")</f>
        <v>LAC vs DAL - Q3 10:45.00</v>
      </c>
      <c r="M473">
        <v>5.62</v>
      </c>
      <c r="N473">
        <v>9.1999999999999993</v>
      </c>
      <c r="O473">
        <v>41.05</v>
      </c>
      <c r="P473">
        <v>45</v>
      </c>
      <c r="Q473">
        <v>34</v>
      </c>
      <c r="R473">
        <v>9</v>
      </c>
      <c r="S473">
        <v>41</v>
      </c>
    </row>
    <row r="474" spans="1:19" hidden="1" x14ac:dyDescent="0.25">
      <c r="A474">
        <v>22400889</v>
      </c>
      <c r="B474" t="s">
        <v>18</v>
      </c>
      <c r="C474" t="s">
        <v>88</v>
      </c>
      <c r="D474">
        <v>76</v>
      </c>
      <c r="E474">
        <v>58</v>
      </c>
      <c r="F474">
        <v>18</v>
      </c>
      <c r="G474">
        <v>3</v>
      </c>
      <c r="H474" s="1">
        <v>5.185185185185185E-3</v>
      </c>
      <c r="I474">
        <v>2024</v>
      </c>
      <c r="J474" t="s">
        <v>83</v>
      </c>
      <c r="K474" s="2" t="str">
        <f>HYPERLINK("https://www.nba.com/stats/events?CFID=&amp;CFPARAMS=&amp;GameEventID=344&amp;GameID=0022400889&amp;Season=2024-25&amp;flag=1&amp;title=Leonard%20running%20DUNK%20(13%20PTS)%20(B.%20Bogdanovic%202%20AST)", "Running DUNK (13 PTS) (B. Bogdanovic 2 AST)")</f>
        <v>Running DUNK (13 PTS) (B. Bogdanovic 2 AST)</v>
      </c>
      <c r="L474" s="2" t="str">
        <f>HYPERLINK("https://www.nba.com/game/...-vs-...-0022400889/play-by-play?watchFullGame=true", "LAC vs PHX - Q3 07:28.00")</f>
        <v>LAC vs PHX - Q3 07:28.00</v>
      </c>
      <c r="M474">
        <v>4.41</v>
      </c>
      <c r="N474">
        <v>9.99</v>
      </c>
      <c r="O474">
        <v>53.04</v>
      </c>
      <c r="P474">
        <v>-15</v>
      </c>
      <c r="Q474">
        <v>41</v>
      </c>
      <c r="R474">
        <v>9</v>
      </c>
      <c r="S474">
        <v>53</v>
      </c>
    </row>
    <row r="475" spans="1:19" hidden="1" x14ac:dyDescent="0.25">
      <c r="A475">
        <v>22000554</v>
      </c>
      <c r="B475" t="s">
        <v>18</v>
      </c>
      <c r="C475" t="s">
        <v>19</v>
      </c>
      <c r="D475">
        <v>36</v>
      </c>
      <c r="E475">
        <v>35</v>
      </c>
      <c r="F475">
        <v>1</v>
      </c>
      <c r="G475">
        <v>2</v>
      </c>
      <c r="H475" s="1">
        <v>5.5555555555555558E-3</v>
      </c>
      <c r="I475">
        <v>2020</v>
      </c>
      <c r="J475" t="s">
        <v>83</v>
      </c>
      <c r="K475" s="2" t="str">
        <f>HYPERLINK("https://www.nba.com/stats/events?CFID=&amp;CFPARAMS=&amp;GameEventID=219&amp;GameID=0022000554&amp;Season=2020-21&amp;flag=1&amp;title=Leonard%20driving%20floating%20bank%20Jump%20Shot%20(10%20PTS)", "Driving floating bank Jump Shot (10 PTS)")</f>
        <v>Driving floating bank Jump Shot (10 PTS)</v>
      </c>
      <c r="L475" s="2" t="str">
        <f>HYPERLINK("https://www.nba.com/game/...-vs-...-0022000554/play-by-play?watchFullGame=true", "LAC vs WAS - Q2 08:00.00")</f>
        <v>LAC vs WAS - Q2 08:00.00</v>
      </c>
      <c r="M475">
        <v>5.47</v>
      </c>
      <c r="N475">
        <v>9.5399999999999991</v>
      </c>
      <c r="O475">
        <v>41.98</v>
      </c>
      <c r="P475">
        <v>40</v>
      </c>
      <c r="Q475">
        <v>37</v>
      </c>
      <c r="R475">
        <v>9</v>
      </c>
      <c r="S475">
        <v>41</v>
      </c>
    </row>
    <row r="476" spans="1:19" hidden="1" x14ac:dyDescent="0.25">
      <c r="A476">
        <v>22300646</v>
      </c>
      <c r="B476" t="s">
        <v>18</v>
      </c>
      <c r="C476" t="s">
        <v>19</v>
      </c>
      <c r="D476">
        <v>70</v>
      </c>
      <c r="E476">
        <v>46</v>
      </c>
      <c r="F476">
        <v>24</v>
      </c>
      <c r="G476">
        <v>3</v>
      </c>
      <c r="H476" s="1">
        <v>4.7453703703703703E-3</v>
      </c>
      <c r="I476">
        <v>2023</v>
      </c>
      <c r="J476" t="s">
        <v>83</v>
      </c>
      <c r="K476" s="2" t="str">
        <f>HYPERLINK("https://www.nba.com/stats/events?CFID=&amp;CFPARAMS=&amp;GameEventID=379&amp;GameID=0022300646&amp;Season=2023-24&amp;flag=1&amp;title=Leonard%20pullup%20Jump%20Shot%20(16%20PTS)", "Pullup Jump Shot (16 PTS)")</f>
        <v>Pullup Jump Shot (16 PTS)</v>
      </c>
      <c r="L476" s="2" t="str">
        <f>HYPERLINK("https://www.nba.com/game/...-vs-...-0022300646/play-by-play?watchFullGame=true", "LAC vs BOS - Q3 06:50.00")</f>
        <v>LAC vs BOS - Q3 06:50.00</v>
      </c>
      <c r="M476">
        <v>5.4</v>
      </c>
      <c r="N476">
        <v>9.67</v>
      </c>
      <c r="O476">
        <v>57.6</v>
      </c>
      <c r="P476">
        <v>-38</v>
      </c>
      <c r="Q476">
        <v>38</v>
      </c>
      <c r="R476">
        <v>9</v>
      </c>
      <c r="S476">
        <v>57</v>
      </c>
    </row>
    <row r="477" spans="1:19" hidden="1" x14ac:dyDescent="0.25">
      <c r="A477">
        <v>42200172</v>
      </c>
      <c r="B477" t="s">
        <v>18</v>
      </c>
      <c r="C477" t="s">
        <v>19</v>
      </c>
      <c r="D477">
        <v>61</v>
      </c>
      <c r="E477">
        <v>65</v>
      </c>
      <c r="F477">
        <v>4</v>
      </c>
      <c r="G477">
        <v>3</v>
      </c>
      <c r="H477" s="1">
        <v>6.9097222222222225E-3</v>
      </c>
      <c r="I477" t="s">
        <v>96</v>
      </c>
      <c r="J477" t="s">
        <v>83</v>
      </c>
      <c r="K477" s="2" t="str">
        <f>HYPERLINK("https://www.nba.com/stats/events?CFID=&amp;CFPARAMS=&amp;GameEventID=332&amp;GameID=0042200172&amp;Season=2022-23&amp;flag=1&amp;title=Leonard%20driving%20floating%20Jump%20Shot%20(18%20PTS)", "Driving floating Jump Shot (18 PTS)")</f>
        <v>Driving floating Jump Shot (18 PTS)</v>
      </c>
      <c r="L477" s="2" t="str">
        <f>HYPERLINK("https://www.nba.com/game/...-vs-...-0042200172/play-by-play?watchFullGame=true", "LAC vs PHX - Q3 09:57.00")</f>
        <v>LAC vs PHX - Q3 09:57.00</v>
      </c>
      <c r="M477">
        <v>5.33</v>
      </c>
      <c r="N477">
        <v>9.2799999999999994</v>
      </c>
      <c r="O477">
        <v>41.91</v>
      </c>
      <c r="P477">
        <v>9</v>
      </c>
      <c r="Q477">
        <v>41</v>
      </c>
      <c r="R477">
        <v>9</v>
      </c>
      <c r="S477">
        <v>41</v>
      </c>
    </row>
    <row r="478" spans="1:19" hidden="1" x14ac:dyDescent="0.25">
      <c r="A478">
        <v>22400659</v>
      </c>
      <c r="B478" t="s">
        <v>18</v>
      </c>
      <c r="C478" t="s">
        <v>19</v>
      </c>
      <c r="D478">
        <v>56</v>
      </c>
      <c r="E478">
        <v>63</v>
      </c>
      <c r="F478">
        <v>7</v>
      </c>
      <c r="G478">
        <v>3</v>
      </c>
      <c r="H478" s="1">
        <v>6.2962962962962964E-3</v>
      </c>
      <c r="I478">
        <v>2024</v>
      </c>
      <c r="J478" t="s">
        <v>83</v>
      </c>
      <c r="K478" s="2" t="str">
        <f>HYPERLINK("https://www.nba.com/stats/events?CFID=&amp;CFPARAMS=&amp;GameEventID=324&amp;GameID=0022400659&amp;Season=2024-25&amp;flag=1&amp;title=Leonard%20turnaround%20fadeaway%20Jump%20Shot%20(9%20PTS)", "Turnaround fadeaway Jump Shot (9 PTS)")</f>
        <v>Turnaround fadeaway Jump Shot (9 PTS)</v>
      </c>
      <c r="L478" s="2" t="str">
        <f>HYPERLINK("https://www.nba.com/game/...-vs-...-0022400659/play-by-play?watchFullGame=true", "LAC vs PHX - Q3 09:04.00")</f>
        <v>LAC vs PHX - Q3 09:04.00</v>
      </c>
      <c r="M478">
        <v>5.32</v>
      </c>
      <c r="N478">
        <v>9.41</v>
      </c>
      <c r="O478">
        <v>57.84</v>
      </c>
      <c r="P478">
        <v>-39</v>
      </c>
      <c r="Q478">
        <v>36</v>
      </c>
      <c r="R478">
        <v>9</v>
      </c>
      <c r="S478">
        <v>57</v>
      </c>
    </row>
    <row r="479" spans="1:19" hidden="1" x14ac:dyDescent="0.25">
      <c r="A479">
        <v>22000457</v>
      </c>
      <c r="B479" t="s">
        <v>18</v>
      </c>
      <c r="C479" t="s">
        <v>87</v>
      </c>
      <c r="D479">
        <v>27</v>
      </c>
      <c r="E479">
        <v>21</v>
      </c>
      <c r="F479">
        <v>6</v>
      </c>
      <c r="G479">
        <v>1</v>
      </c>
      <c r="H479" s="1">
        <v>9.7222222222222219E-4</v>
      </c>
      <c r="I479">
        <v>2020</v>
      </c>
      <c r="J479" t="s">
        <v>83</v>
      </c>
      <c r="K479" s="2" t="str">
        <f>HYPERLINK("https://www.nba.com/stats/events?CFID=&amp;CFPARAMS=&amp;GameEventID=131&amp;GameID=0022000457&amp;Season=2020-21&amp;flag=1&amp;title=Leonard%20driving%20Layup%20(6%20PTS)", "Driving Layup (6 PTS)")</f>
        <v>Driving Layup (6 PTS)</v>
      </c>
      <c r="L479" s="2" t="str">
        <f>HYPERLINK("https://www.nba.com/game/...-vs-...-0022000457/play-by-play?watchFullGame=true", "LAC vs UTA - Q1 01:24.00")</f>
        <v>LAC vs UTA - Q1 01:24.00</v>
      </c>
      <c r="M479">
        <v>4.82</v>
      </c>
      <c r="N479">
        <v>9.15</v>
      </c>
      <c r="O479">
        <v>56.93</v>
      </c>
      <c r="P479">
        <v>-35</v>
      </c>
      <c r="Q479">
        <v>34</v>
      </c>
      <c r="R479">
        <v>9</v>
      </c>
      <c r="S479">
        <v>56</v>
      </c>
    </row>
    <row r="480" spans="1:19" hidden="1" x14ac:dyDescent="0.25">
      <c r="A480">
        <v>21900485</v>
      </c>
      <c r="B480" t="s">
        <v>18</v>
      </c>
      <c r="C480" t="s">
        <v>90</v>
      </c>
      <c r="D480">
        <v>42</v>
      </c>
      <c r="E480">
        <v>36</v>
      </c>
      <c r="F480">
        <v>6</v>
      </c>
      <c r="G480">
        <v>2</v>
      </c>
      <c r="H480" s="1">
        <v>5.7870370370370367E-3</v>
      </c>
      <c r="I480">
        <v>2019</v>
      </c>
      <c r="J480" t="s">
        <v>83</v>
      </c>
      <c r="K480" s="2" t="str">
        <f>HYPERLINK("https://www.nba.com/stats/events?CFID=&amp;CFPARAMS=&amp;GameEventID=205&amp;GameID=0021900485&amp;Season=2019-20&amp;flag=1&amp;title=Leonard%20layup%20(2%20PTS)", "Layup (2 PTS)")</f>
        <v>Layup (2 PTS)</v>
      </c>
      <c r="L480" s="2" t="str">
        <f>HYPERLINK("https://www.nba.com/game/...-vs-...-0021900485/play-by-play?watchFullGame=true", "LAC vs UTA - Q2 08:20.00")</f>
        <v>LAC vs UTA - Q2 08:20.00</v>
      </c>
      <c r="M480">
        <v>4.75</v>
      </c>
      <c r="N480">
        <v>9.9</v>
      </c>
      <c r="O480">
        <v>47.73</v>
      </c>
      <c r="P480">
        <v>11</v>
      </c>
      <c r="Q480">
        <v>41</v>
      </c>
      <c r="R480">
        <v>9</v>
      </c>
      <c r="S480">
        <v>47</v>
      </c>
    </row>
    <row r="481" spans="1:19" hidden="1" x14ac:dyDescent="0.25">
      <c r="A481">
        <v>22400571</v>
      </c>
      <c r="B481" t="s">
        <v>18</v>
      </c>
      <c r="C481" t="s">
        <v>87</v>
      </c>
      <c r="D481">
        <v>96</v>
      </c>
      <c r="E481">
        <v>44</v>
      </c>
      <c r="F481">
        <v>52</v>
      </c>
      <c r="G481">
        <v>3</v>
      </c>
      <c r="H481" s="1">
        <v>1.8749999999999999E-3</v>
      </c>
      <c r="I481">
        <v>2024</v>
      </c>
      <c r="J481" t="s">
        <v>83</v>
      </c>
      <c r="K481" s="2" t="str">
        <f>HYPERLINK("https://www.nba.com/stats/events?CFID=&amp;CFPARAMS=&amp;GameEventID=468&amp;GameID=0022400571&amp;Season=2024-25&amp;flag=1&amp;title=Leonard%20driving%20Layup%20(23%20PTS)", "Driving Layup (23 PTS)")</f>
        <v>Driving Layup (23 PTS)</v>
      </c>
      <c r="L481" s="2" t="str">
        <f>HYPERLINK("https://www.nba.com/game/...-vs-...-0022400571/play-by-play?watchFullGame=true", "LAC vs BKN - Q3 02:42.00")</f>
        <v>LAC vs BKN - Q3 02:42.00</v>
      </c>
      <c r="M481">
        <v>4.63</v>
      </c>
      <c r="N481">
        <v>9.15</v>
      </c>
      <c r="O481">
        <v>56.37</v>
      </c>
      <c r="P481">
        <v>-32</v>
      </c>
      <c r="Q481">
        <v>34</v>
      </c>
      <c r="R481">
        <v>9</v>
      </c>
      <c r="S481">
        <v>56</v>
      </c>
    </row>
    <row r="482" spans="1:19" hidden="1" x14ac:dyDescent="0.25">
      <c r="A482">
        <v>21900051</v>
      </c>
      <c r="B482" t="s">
        <v>18</v>
      </c>
      <c r="C482" t="s">
        <v>90</v>
      </c>
      <c r="D482">
        <v>96</v>
      </c>
      <c r="E482">
        <v>79</v>
      </c>
      <c r="F482">
        <v>17</v>
      </c>
      <c r="G482">
        <v>4</v>
      </c>
      <c r="H482" s="1">
        <v>5.3819444444444444E-3</v>
      </c>
      <c r="I482">
        <v>2019</v>
      </c>
      <c r="J482" t="s">
        <v>83</v>
      </c>
      <c r="K482" s="2" t="str">
        <f>HYPERLINK("https://www.nba.com/stats/events?CFID=&amp;CFPARAMS=&amp;GameEventID=566&amp;GameID=0021900051&amp;Season=2019-20&amp;flag=1&amp;title=[LAC]%20Leonard%20layup:%20Made%20(25%20PTS)", "[LAC] Leonard layup: Made (25 PTS)")</f>
        <v>[LAC] Leonard layup: Made (25 PTS)</v>
      </c>
      <c r="L482" s="2" t="str">
        <f>HYPERLINK("https://www.nba.com/game/...-vs-...-0021900051/play-by-play?watchFullGame=true", "LAC vs CHA - Q4 07:45.00")</f>
        <v>LAC vs CHA - Q4 07:45.00</v>
      </c>
      <c r="M482">
        <v>4.6100000000000003</v>
      </c>
      <c r="N482">
        <v>9.51</v>
      </c>
      <c r="O482">
        <v>53.61</v>
      </c>
      <c r="P482">
        <v>-18</v>
      </c>
      <c r="Q482">
        <v>37</v>
      </c>
      <c r="R482">
        <v>9</v>
      </c>
      <c r="S482">
        <v>53</v>
      </c>
    </row>
    <row r="483" spans="1:19" hidden="1" x14ac:dyDescent="0.25">
      <c r="A483">
        <v>22201041</v>
      </c>
      <c r="B483" t="s">
        <v>18</v>
      </c>
      <c r="C483" t="s">
        <v>19</v>
      </c>
      <c r="D483">
        <v>45</v>
      </c>
      <c r="E483">
        <v>42</v>
      </c>
      <c r="F483">
        <v>3</v>
      </c>
      <c r="G483">
        <v>2</v>
      </c>
      <c r="H483" s="1">
        <v>3.6574074074074074E-3</v>
      </c>
      <c r="I483">
        <v>2022</v>
      </c>
      <c r="J483" t="s">
        <v>83</v>
      </c>
      <c r="K483" s="2" t="str">
        <f>HYPERLINK("https://www.nba.com/stats/events?CFID=&amp;CFPARAMS=&amp;GameEventID=253&amp;GameID=0022201041&amp;Season=2022-23&amp;flag=1&amp;title=Leonard%20pullup%20Jump%20Shot%20(13%20PTS)", "Pullup Jump Shot (13 PTS)")</f>
        <v>Pullup Jump Shot (13 PTS)</v>
      </c>
      <c r="L483" s="2" t="str">
        <f>HYPERLINK("https://www.nba.com/game/...-vs-...-0022201041/play-by-play?watchFullGame=true", "LAC vs GSW - Q2 05:16.00")</f>
        <v>LAC vs GSW - Q2 05:16.00</v>
      </c>
      <c r="M483">
        <v>4.57</v>
      </c>
      <c r="N483">
        <v>9.51</v>
      </c>
      <c r="O483">
        <v>44.61</v>
      </c>
      <c r="P483">
        <v>27</v>
      </c>
      <c r="Q483">
        <v>37</v>
      </c>
      <c r="R483">
        <v>9</v>
      </c>
      <c r="S483">
        <v>44</v>
      </c>
    </row>
    <row r="484" spans="1:19" hidden="1" x14ac:dyDescent="0.25">
      <c r="A484">
        <v>21900485</v>
      </c>
      <c r="B484" t="s">
        <v>18</v>
      </c>
      <c r="C484" t="s">
        <v>90</v>
      </c>
      <c r="D484">
        <v>54</v>
      </c>
      <c r="E484">
        <v>43</v>
      </c>
      <c r="F484">
        <v>11</v>
      </c>
      <c r="G484">
        <v>2</v>
      </c>
      <c r="H484" s="1">
        <v>3.5763888888888889E-3</v>
      </c>
      <c r="I484">
        <v>2019</v>
      </c>
      <c r="J484" t="s">
        <v>83</v>
      </c>
      <c r="K484" s="2" t="str">
        <f>HYPERLINK("https://www.nba.com/stats/events?CFID=&amp;CFPARAMS=&amp;GameEventID=253&amp;GameID=0021900485&amp;Season=2019-20&amp;flag=1&amp;title=Leonard%20layup%20(7%20PTS)", "Layup (7 PTS)")</f>
        <v>Layup (7 PTS)</v>
      </c>
      <c r="L484" s="2" t="str">
        <f>HYPERLINK("https://www.nba.com/game/...-vs-...-0021900485/play-by-play?watchFullGame=true", "LAC vs UTA - Q2 05:09.00")</f>
        <v>LAC vs UTA - Q2 05:09.00</v>
      </c>
      <c r="M484">
        <v>4.3600000000000003</v>
      </c>
      <c r="N484">
        <v>9.64</v>
      </c>
      <c r="O484">
        <v>49.93</v>
      </c>
      <c r="P484">
        <v>9</v>
      </c>
      <c r="Q484">
        <v>38</v>
      </c>
      <c r="R484">
        <v>9</v>
      </c>
      <c r="S484">
        <v>49</v>
      </c>
    </row>
    <row r="485" spans="1:19" hidden="1" x14ac:dyDescent="0.25">
      <c r="A485">
        <v>22300114</v>
      </c>
      <c r="B485" t="s">
        <v>18</v>
      </c>
      <c r="C485" t="s">
        <v>87</v>
      </c>
      <c r="D485">
        <v>99</v>
      </c>
      <c r="E485">
        <v>79</v>
      </c>
      <c r="F485">
        <v>20</v>
      </c>
      <c r="G485">
        <v>4</v>
      </c>
      <c r="H485" s="1">
        <v>4.8726851851851848E-3</v>
      </c>
      <c r="I485">
        <v>2023</v>
      </c>
      <c r="J485" t="s">
        <v>83</v>
      </c>
      <c r="K485" s="2" t="str">
        <f>HYPERLINK("https://www.nba.com/stats/events?CFID=&amp;CFPARAMS=&amp;GameEventID=585&amp;GameID=0022300114&amp;Season=2023-24&amp;flag=1&amp;title=Leonard%20running%20Layup%20(8%20PTS)%20(R.%20Westbrook%207%20AST)", "Running Layup (8 PTS) (R. Westbrook 7 AST)")</f>
        <v>Running Layup (8 PTS) (R. Westbrook 7 AST)</v>
      </c>
      <c r="L485" s="2" t="str">
        <f>HYPERLINK("https://www.nba.com/game/...-vs-...-0022300114/play-by-play?watchFullGame=true", "LAC vs ORL - Q4 07:01.00")</f>
        <v>LAC vs ORL - Q4 07:01.00</v>
      </c>
      <c r="M485">
        <v>4.3600000000000003</v>
      </c>
      <c r="N485">
        <v>9.1199999999999992</v>
      </c>
      <c r="O485">
        <v>44.36</v>
      </c>
      <c r="P485">
        <v>28</v>
      </c>
      <c r="Q485">
        <v>33</v>
      </c>
      <c r="R485">
        <v>9</v>
      </c>
      <c r="S485">
        <v>44</v>
      </c>
    </row>
    <row r="486" spans="1:19" hidden="1" x14ac:dyDescent="0.25">
      <c r="A486">
        <v>22200649</v>
      </c>
      <c r="B486" t="s">
        <v>18</v>
      </c>
      <c r="C486" t="s">
        <v>19</v>
      </c>
      <c r="D486">
        <v>80</v>
      </c>
      <c r="E486">
        <v>79</v>
      </c>
      <c r="F486">
        <v>1</v>
      </c>
      <c r="G486">
        <v>3</v>
      </c>
      <c r="H486" s="1">
        <v>2.9629629629629628E-3</v>
      </c>
      <c r="I486">
        <v>2022</v>
      </c>
      <c r="J486" t="s">
        <v>83</v>
      </c>
      <c r="K486" s="2" t="str">
        <f>HYPERLINK("https://www.nba.com/stats/events?CFID=&amp;CFPARAMS=&amp;GameEventID=413&amp;GameID=0022200649&amp;Season=2022-23&amp;flag=1&amp;title=Leonard%20pullup%20Jump%20Shot%20(22%20PTS)", "Pullup Jump Shot (22 PTS)")</f>
        <v>Pullup Jump Shot (22 PTS)</v>
      </c>
      <c r="L486" s="2" t="str">
        <f>HYPERLINK("https://www.nba.com/game/...-vs-...-0022200649/play-by-play?watchFullGame=true", "LAC vs HOU - Q3 04:16.00")</f>
        <v>LAC vs HOU - Q3 04:16.00</v>
      </c>
      <c r="M486">
        <v>4.3</v>
      </c>
      <c r="N486">
        <v>9.77</v>
      </c>
      <c r="O486">
        <v>53.43</v>
      </c>
      <c r="P486">
        <v>-17</v>
      </c>
      <c r="Q486">
        <v>39</v>
      </c>
      <c r="R486">
        <v>9</v>
      </c>
      <c r="S486">
        <v>53</v>
      </c>
    </row>
    <row r="487" spans="1:19" hidden="1" x14ac:dyDescent="0.25">
      <c r="A487">
        <v>22300646</v>
      </c>
      <c r="B487" t="s">
        <v>18</v>
      </c>
      <c r="C487" t="s">
        <v>87</v>
      </c>
      <c r="D487">
        <v>81</v>
      </c>
      <c r="E487">
        <v>48</v>
      </c>
      <c r="F487">
        <v>33</v>
      </c>
      <c r="G487">
        <v>3</v>
      </c>
      <c r="H487" s="1">
        <v>2.1180555555555558E-3</v>
      </c>
      <c r="I487">
        <v>2023</v>
      </c>
      <c r="J487" t="s">
        <v>83</v>
      </c>
      <c r="K487" s="2" t="str">
        <f>HYPERLINK("https://www.nba.com/stats/events?CFID=&amp;CFPARAMS=&amp;GameEventID=436&amp;GameID=0022300646&amp;Season=2023-24&amp;flag=1&amp;title=Leonard%20driving%20finger%20roll%20Layup%20(23%20PTS)", "Driving finger roll Layup (23 PTS)")</f>
        <v>Driving finger roll Layup (23 PTS)</v>
      </c>
      <c r="L487" s="2" t="str">
        <f>HYPERLINK("https://www.nba.com/game/...-vs-...-0022300646/play-by-play?watchFullGame=true", "LAC vs BOS - Q3 03:03.00")</f>
        <v>LAC vs BOS - Q3 03:03.00</v>
      </c>
      <c r="M487">
        <v>4.22</v>
      </c>
      <c r="N487">
        <v>9.41</v>
      </c>
      <c r="O487">
        <v>54.41</v>
      </c>
      <c r="P487">
        <v>-22</v>
      </c>
      <c r="Q487">
        <v>36</v>
      </c>
      <c r="R487">
        <v>9</v>
      </c>
      <c r="S487">
        <v>54</v>
      </c>
    </row>
    <row r="488" spans="1:19" hidden="1" x14ac:dyDescent="0.25">
      <c r="A488">
        <v>22000775</v>
      </c>
      <c r="B488" t="s">
        <v>18</v>
      </c>
      <c r="C488" t="s">
        <v>87</v>
      </c>
      <c r="D488">
        <v>77</v>
      </c>
      <c r="E488">
        <v>68</v>
      </c>
      <c r="F488">
        <v>9</v>
      </c>
      <c r="G488">
        <v>3</v>
      </c>
      <c r="H488" s="1">
        <v>7.1180555555555554E-3</v>
      </c>
      <c r="I488">
        <v>2020</v>
      </c>
      <c r="J488" t="s">
        <v>83</v>
      </c>
      <c r="K488" s="2" t="str">
        <f>HYPERLINK("https://www.nba.com/stats/events?CFID=&amp;CFPARAMS=&amp;GameEventID=348&amp;GameID=0022000775&amp;Season=2020-21&amp;flag=1&amp;title=Leonard%20cutting%20Layup%20(15%20PTS)%20(I.%20Zubac%201%20AST)", "Cutting Layup (15 PTS) (I. Zubac 1 AST)")</f>
        <v>Cutting Layup (15 PTS) (I. Zubac 1 AST)</v>
      </c>
      <c r="L488" s="2" t="str">
        <f>HYPERLINK("https://www.nba.com/game/...-vs-...-0022000775/play-by-play?watchFullGame=true", "LAC vs POR - Q3 10:15.00")</f>
        <v>LAC vs POR - Q3 10:15.00</v>
      </c>
      <c r="M488">
        <v>4.2</v>
      </c>
      <c r="N488">
        <v>9.2799999999999994</v>
      </c>
      <c r="O488">
        <v>54.73</v>
      </c>
      <c r="P488">
        <v>-24</v>
      </c>
      <c r="Q488">
        <v>35</v>
      </c>
      <c r="R488">
        <v>9</v>
      </c>
      <c r="S488">
        <v>54</v>
      </c>
    </row>
    <row r="489" spans="1:19" hidden="1" x14ac:dyDescent="0.25">
      <c r="A489">
        <v>22000520</v>
      </c>
      <c r="B489" t="s">
        <v>18</v>
      </c>
      <c r="C489" t="s">
        <v>89</v>
      </c>
      <c r="D489">
        <v>55</v>
      </c>
      <c r="E489">
        <v>61</v>
      </c>
      <c r="F489">
        <v>6</v>
      </c>
      <c r="G489">
        <v>3</v>
      </c>
      <c r="H489" s="1">
        <v>6.053240740740741E-3</v>
      </c>
      <c r="I489">
        <v>2020</v>
      </c>
      <c r="J489" t="s">
        <v>83</v>
      </c>
      <c r="K489" s="2" t="str">
        <f>HYPERLINK("https://www.nba.com/stats/events?CFID=&amp;CFPARAMS=&amp;GameEventID=348&amp;GameID=0022000520&amp;Season=2020-21&amp;flag=1&amp;title=Leonard%20driving%20Hook%20(18%20PTS)", "Driving Hook (18 PTS)")</f>
        <v>Driving Hook (18 PTS)</v>
      </c>
      <c r="L489" s="2" t="str">
        <f>HYPERLINK("https://www.nba.com/game/...-vs-...-0022000520/play-by-play?watchFullGame=true", "LAC vs MIL - Q3 08:43.00")</f>
        <v>LAC vs MIL - Q3 08:43.00</v>
      </c>
      <c r="M489">
        <v>4.13</v>
      </c>
      <c r="N489">
        <v>9.5399999999999991</v>
      </c>
      <c r="O489">
        <v>46.39</v>
      </c>
      <c r="P489">
        <v>18</v>
      </c>
      <c r="Q489">
        <v>37</v>
      </c>
      <c r="R489">
        <v>9</v>
      </c>
      <c r="S489">
        <v>46</v>
      </c>
    </row>
    <row r="490" spans="1:19" hidden="1" x14ac:dyDescent="0.25">
      <c r="A490">
        <v>22000172</v>
      </c>
      <c r="B490" t="s">
        <v>18</v>
      </c>
      <c r="C490" t="s">
        <v>87</v>
      </c>
      <c r="D490">
        <v>53</v>
      </c>
      <c r="E490">
        <v>39</v>
      </c>
      <c r="F490">
        <v>14</v>
      </c>
      <c r="G490">
        <v>2</v>
      </c>
      <c r="H490" s="1">
        <v>1.3310185185185185E-3</v>
      </c>
      <c r="I490">
        <v>2020</v>
      </c>
      <c r="J490" t="s">
        <v>83</v>
      </c>
      <c r="K490" s="2" t="str">
        <f>HYPERLINK("https://www.nba.com/stats/events?CFID=&amp;CFPARAMS=&amp;GameEventID=271&amp;GameID=0022000172&amp;Season=2020-21&amp;flag=1&amp;title=Leonard%20driving%20Layup%20(8%20PTS)%20(N.%20Batum%203%20AST)", "Driving Layup (8 PTS) (N. Batum 3 AST)")</f>
        <v>Driving Layup (8 PTS) (N. Batum 3 AST)</v>
      </c>
      <c r="L490" s="2" t="str">
        <f>HYPERLINK("https://www.nba.com/game/...-vs-...-0022000172/play-by-play?watchFullGame=true", "LAC vs NOP - Q2 01:55.00")</f>
        <v>LAC vs NOP - Q2 01:55.00</v>
      </c>
      <c r="M490">
        <v>4.1100000000000003</v>
      </c>
      <c r="N490">
        <v>9.9</v>
      </c>
      <c r="O490">
        <v>48.71</v>
      </c>
      <c r="P490">
        <v>6</v>
      </c>
      <c r="Q490">
        <v>41</v>
      </c>
      <c r="R490">
        <v>9</v>
      </c>
      <c r="S490">
        <v>48</v>
      </c>
    </row>
    <row r="491" spans="1:19" hidden="1" x14ac:dyDescent="0.25">
      <c r="A491">
        <v>22300304</v>
      </c>
      <c r="B491" t="s">
        <v>18</v>
      </c>
      <c r="C491" t="s">
        <v>87</v>
      </c>
      <c r="D491">
        <v>116</v>
      </c>
      <c r="E491">
        <v>111</v>
      </c>
      <c r="F491">
        <v>5</v>
      </c>
      <c r="G491">
        <v>4</v>
      </c>
      <c r="H491" s="1">
        <v>4.0277777777777777E-3</v>
      </c>
      <c r="I491">
        <v>2023</v>
      </c>
      <c r="J491" t="s">
        <v>83</v>
      </c>
      <c r="K491" s="2" t="str">
        <f>HYPERLINK("https://www.nba.com/stats/events?CFID=&amp;CFPARAMS=&amp;GameEventID=546&amp;GameID=0022300304&amp;Season=2023-24&amp;flag=1&amp;title=Leonard%20driving%20Layup%20(30%20PTS)%20(I.%20Zubac%202%20AST)", "Driving Layup (30 PTS) (I. Zubac 2 AST)")</f>
        <v>Driving Layup (30 PTS) (I. Zubac 2 AST)</v>
      </c>
      <c r="L491" s="2" t="str">
        <f>HYPERLINK("https://www.nba.com/game/...-vs-...-0022300304/play-by-play?watchFullGame=true", "LAC vs POR - Q4 05:48.00")</f>
        <v>LAC vs POR - Q4 05:48.00</v>
      </c>
      <c r="M491">
        <v>3.94</v>
      </c>
      <c r="N491">
        <v>9.77</v>
      </c>
      <c r="O491">
        <v>50.25</v>
      </c>
      <c r="P491">
        <v>-1</v>
      </c>
      <c r="Q491">
        <v>39</v>
      </c>
      <c r="R491">
        <v>9</v>
      </c>
      <c r="S491">
        <v>50</v>
      </c>
    </row>
    <row r="492" spans="1:19" hidden="1" x14ac:dyDescent="0.25">
      <c r="A492">
        <v>41900151</v>
      </c>
      <c r="B492" t="s">
        <v>18</v>
      </c>
      <c r="C492" t="s">
        <v>84</v>
      </c>
      <c r="D492">
        <v>99</v>
      </c>
      <c r="E492">
        <v>96</v>
      </c>
      <c r="F492">
        <v>3</v>
      </c>
      <c r="G492">
        <v>4</v>
      </c>
      <c r="H492" s="1">
        <v>4.5254629629629629E-3</v>
      </c>
      <c r="I492" t="s">
        <v>86</v>
      </c>
      <c r="J492" t="s">
        <v>83</v>
      </c>
      <c r="K492" s="2" t="str">
        <f>HYPERLINK("https://www.nba.com/stats/events?CFID=&amp;CFPARAMS=&amp;GameEventID=600&amp;GameID=0041900151&amp;Season=2019-20&amp;flag=1&amp;title=Leonard%20jumpshot%20(23%20PTS)", "Jumpshot (23 PTS)")</f>
        <v>Jumpshot (23 PTS)</v>
      </c>
      <c r="L492" s="2" t="str">
        <f>HYPERLINK("https://www.nba.com/game/...-vs-...-0041900151/play-by-play?watchFullGame=true", "LAC vs DAL - Q4 06:31.00")</f>
        <v>LAC vs DAL - Q4 06:31.00</v>
      </c>
      <c r="M492">
        <v>3.81</v>
      </c>
      <c r="N492">
        <v>9.02</v>
      </c>
      <c r="O492">
        <v>49.09</v>
      </c>
      <c r="P492">
        <v>5</v>
      </c>
      <c r="Q492">
        <v>32</v>
      </c>
      <c r="R492">
        <v>9</v>
      </c>
      <c r="S492">
        <v>49</v>
      </c>
    </row>
    <row r="493" spans="1:19" hidden="1" x14ac:dyDescent="0.25">
      <c r="A493">
        <v>22200639</v>
      </c>
      <c r="B493" t="s">
        <v>18</v>
      </c>
      <c r="C493" t="s">
        <v>87</v>
      </c>
      <c r="D493">
        <v>62</v>
      </c>
      <c r="E493">
        <v>61</v>
      </c>
      <c r="F493">
        <v>1</v>
      </c>
      <c r="G493">
        <v>3</v>
      </c>
      <c r="H493" s="1">
        <v>7.3263888888888892E-3</v>
      </c>
      <c r="I493">
        <v>2022</v>
      </c>
      <c r="J493" t="s">
        <v>83</v>
      </c>
      <c r="K493" s="2" t="str">
        <f>HYPERLINK("https://www.nba.com/stats/events?CFID=&amp;CFPARAMS=&amp;GameEventID=291&amp;GameID=0022200639&amp;Season=2022-23&amp;flag=1&amp;title=Leonard%20finger%20roll%20Layup%20(16%20PTS)", "Finger roll Layup (16 PTS)")</f>
        <v>Finger roll Layup (16 PTS)</v>
      </c>
      <c r="L493" s="2" t="str">
        <f>HYPERLINK("https://www.nba.com/game/...-vs-...-0022200639/play-by-play?watchFullGame=true", "LAC vs DEN - Q3 10:33.00")</f>
        <v>LAC vs DEN - Q3 10:33.00</v>
      </c>
      <c r="M493">
        <v>3.72</v>
      </c>
      <c r="N493">
        <v>9.51</v>
      </c>
      <c r="O493">
        <v>49.02</v>
      </c>
      <c r="P493">
        <v>5</v>
      </c>
      <c r="Q493">
        <v>37</v>
      </c>
      <c r="R493">
        <v>9</v>
      </c>
      <c r="S493">
        <v>49</v>
      </c>
    </row>
    <row r="494" spans="1:19" hidden="1" x14ac:dyDescent="0.25">
      <c r="A494">
        <v>22300618</v>
      </c>
      <c r="B494" t="s">
        <v>18</v>
      </c>
      <c r="C494" t="s">
        <v>87</v>
      </c>
      <c r="D494">
        <v>94</v>
      </c>
      <c r="E494">
        <v>88</v>
      </c>
      <c r="F494">
        <v>6</v>
      </c>
      <c r="G494">
        <v>3</v>
      </c>
      <c r="H494" s="1">
        <v>3.2291666666666666E-3</v>
      </c>
      <c r="I494">
        <v>2023</v>
      </c>
      <c r="J494" t="s">
        <v>83</v>
      </c>
      <c r="K494" s="2" t="str">
        <f>HYPERLINK("https://www.nba.com/stats/events?CFID=&amp;CFPARAMS=&amp;GameEventID=389&amp;GameID=0022300618&amp;Season=2023-24&amp;flag=1&amp;title=Leonard%20Layup%20(20%20PTS)%20(J.%20Harden%209%20AST)", "Layup (20 PTS) (J. Harden 9 AST)")</f>
        <v>Layup (20 PTS) (J. Harden 9 AST)</v>
      </c>
      <c r="L494" s="2" t="str">
        <f>HYPERLINK("https://www.nba.com/game/...-vs-...-0022300618/play-by-play?watchFullGame=true", "LAC vs LAL - Q3 04:39.00")</f>
        <v>LAC vs LAL - Q3 04:39.00</v>
      </c>
      <c r="M494">
        <v>3.7</v>
      </c>
      <c r="N494">
        <v>9.25</v>
      </c>
      <c r="O494">
        <v>52.7</v>
      </c>
      <c r="P494">
        <v>-13</v>
      </c>
      <c r="Q494">
        <v>34</v>
      </c>
      <c r="R494">
        <v>9</v>
      </c>
      <c r="S494">
        <v>52</v>
      </c>
    </row>
    <row r="495" spans="1:19" hidden="1" x14ac:dyDescent="0.25">
      <c r="A495">
        <v>22000660</v>
      </c>
      <c r="B495" t="s">
        <v>18</v>
      </c>
      <c r="C495" t="s">
        <v>87</v>
      </c>
      <c r="D495">
        <v>40</v>
      </c>
      <c r="E495">
        <v>48</v>
      </c>
      <c r="F495">
        <v>8</v>
      </c>
      <c r="G495">
        <v>2</v>
      </c>
      <c r="H495" s="1">
        <v>3.0902777777777777E-3</v>
      </c>
      <c r="I495">
        <v>2020</v>
      </c>
      <c r="J495" t="s">
        <v>83</v>
      </c>
      <c r="K495" s="2" t="str">
        <f>HYPERLINK("https://www.nba.com/stats/events?CFID=&amp;CFPARAMS=&amp;GameEventID=253&amp;GameID=0022000660&amp;Season=2020-21&amp;flag=1&amp;title=Leonard%20driving%20Layup%20(6%20PTS)", "Driving Layup (6 PTS)")</f>
        <v>Driving Layup (6 PTS)</v>
      </c>
      <c r="L495" s="2" t="str">
        <f>HYPERLINK("https://www.nba.com/game/...-vs-...-0022000660/play-by-play?watchFullGame=true", "LAC vs ATL - Q2 04:27.00")</f>
        <v>LAC vs ATL - Q2 04:27.00</v>
      </c>
      <c r="M495">
        <v>3.69</v>
      </c>
      <c r="N495">
        <v>9.51</v>
      </c>
      <c r="O495">
        <v>50.18</v>
      </c>
      <c r="P495">
        <v>-1</v>
      </c>
      <c r="Q495">
        <v>37</v>
      </c>
      <c r="R495">
        <v>9</v>
      </c>
      <c r="S495">
        <v>50</v>
      </c>
    </row>
    <row r="496" spans="1:19" hidden="1" x14ac:dyDescent="0.25">
      <c r="A496">
        <v>22400889</v>
      </c>
      <c r="B496" t="s">
        <v>18</v>
      </c>
      <c r="C496" t="s">
        <v>87</v>
      </c>
      <c r="D496">
        <v>116</v>
      </c>
      <c r="E496">
        <v>119</v>
      </c>
      <c r="F496">
        <v>3</v>
      </c>
      <c r="G496">
        <v>4</v>
      </c>
      <c r="H496" s="1">
        <v>3.8078703703703701E-4</v>
      </c>
      <c r="I496">
        <v>2024</v>
      </c>
      <c r="J496" t="s">
        <v>83</v>
      </c>
      <c r="K496" s="2" t="str">
        <f>HYPERLINK("https://www.nba.com/stats/events?CFID=&amp;CFPARAMS=&amp;GameEventID=600&amp;GameID=0022400889&amp;Season=2024-25&amp;flag=1&amp;title=Leonard%20putback%20Layup%20(21%20PTS)", "Putback Layup (21 PTS)")</f>
        <v>Putback Layup (21 PTS)</v>
      </c>
      <c r="L496" s="2" t="str">
        <f>HYPERLINK("https://www.nba.com/game/...-vs-...-0022400889/play-by-play?watchFullGame=true", "LAC vs PHX - Q4 00:32.90")</f>
        <v>LAC vs PHX - Q4 00:32.90</v>
      </c>
      <c r="M496">
        <v>3.64</v>
      </c>
      <c r="N496">
        <v>9.44</v>
      </c>
      <c r="O496">
        <v>49.32</v>
      </c>
      <c r="P496">
        <v>3</v>
      </c>
      <c r="Q496">
        <v>36</v>
      </c>
      <c r="R496">
        <v>9</v>
      </c>
      <c r="S496">
        <v>49</v>
      </c>
    </row>
    <row r="497" spans="1:19" hidden="1" x14ac:dyDescent="0.25">
      <c r="A497">
        <v>22300731</v>
      </c>
      <c r="B497" t="s">
        <v>18</v>
      </c>
      <c r="C497" t="s">
        <v>87</v>
      </c>
      <c r="D497">
        <v>15</v>
      </c>
      <c r="E497">
        <v>19</v>
      </c>
      <c r="F497">
        <v>4</v>
      </c>
      <c r="G497">
        <v>1</v>
      </c>
      <c r="H497" s="1">
        <v>2.8587962962962963E-3</v>
      </c>
      <c r="I497">
        <v>2023</v>
      </c>
      <c r="J497" t="s">
        <v>83</v>
      </c>
      <c r="K497" s="2" t="str">
        <f>HYPERLINK("https://www.nba.com/stats/events?CFID=&amp;CFPARAMS=&amp;GameEventID=86&amp;GameID=0022300731&amp;Season=2023-24&amp;flag=1&amp;title=Leonard%20Layup%20(5%20PTS)", "Layup (5 PTS)")</f>
        <v>Layup (5 PTS)</v>
      </c>
      <c r="L497" s="2" t="str">
        <f>HYPERLINK("https://www.nba.com/game/...-vs-...-0022300731/play-by-play?watchFullGame=true", "LAC vs NOP - Q1 04:07.00")</f>
        <v>LAC vs NOP - Q1 04:07.00</v>
      </c>
      <c r="M497">
        <v>3.62</v>
      </c>
      <c r="N497">
        <v>9.3800000000000008</v>
      </c>
      <c r="O497">
        <v>48.77</v>
      </c>
      <c r="P497">
        <v>6</v>
      </c>
      <c r="Q497">
        <v>36</v>
      </c>
      <c r="R497">
        <v>9</v>
      </c>
      <c r="S497">
        <v>48</v>
      </c>
    </row>
    <row r="498" spans="1:19" hidden="1" x14ac:dyDescent="0.25">
      <c r="A498">
        <v>22301043</v>
      </c>
      <c r="B498" t="s">
        <v>18</v>
      </c>
      <c r="C498" t="s">
        <v>87</v>
      </c>
      <c r="D498">
        <v>51</v>
      </c>
      <c r="E498">
        <v>49</v>
      </c>
      <c r="F498">
        <v>2</v>
      </c>
      <c r="G498">
        <v>2</v>
      </c>
      <c r="H498" s="1">
        <v>3.8541666666666668E-3</v>
      </c>
      <c r="I498">
        <v>2023</v>
      </c>
      <c r="J498" t="s">
        <v>83</v>
      </c>
      <c r="K498" s="2" t="str">
        <f>HYPERLINK("https://www.nba.com/stats/events?CFID=&amp;CFPARAMS=&amp;GameEventID=233&amp;GameID=0022301043&amp;Season=2023-24&amp;flag=1&amp;title=Leonard%20driving%20finger%20roll%20Layup%20(11%20PTS)", "Driving finger roll Layup (11 PTS)")</f>
        <v>Driving finger roll Layup (11 PTS)</v>
      </c>
      <c r="L498" s="2" t="str">
        <f>HYPERLINK("https://www.nba.com/game/...-vs-...-0022301043/play-by-play?watchFullGame=true", "LAC vs IND - Q2 05:33.00")</f>
        <v>LAC vs IND - Q2 05:33.00</v>
      </c>
      <c r="M498">
        <v>3.62</v>
      </c>
      <c r="N498">
        <v>9.3800000000000008</v>
      </c>
      <c r="O498">
        <v>51.23</v>
      </c>
      <c r="P498">
        <v>-6</v>
      </c>
      <c r="Q498">
        <v>36</v>
      </c>
      <c r="R498">
        <v>9</v>
      </c>
      <c r="S498">
        <v>51</v>
      </c>
    </row>
    <row r="499" spans="1:19" hidden="1" x14ac:dyDescent="0.25">
      <c r="A499">
        <v>22300257</v>
      </c>
      <c r="B499" t="s">
        <v>18</v>
      </c>
      <c r="C499" t="s">
        <v>87</v>
      </c>
      <c r="D499">
        <v>102</v>
      </c>
      <c r="E499">
        <v>106</v>
      </c>
      <c r="F499">
        <v>4</v>
      </c>
      <c r="G499">
        <v>4</v>
      </c>
      <c r="H499" s="1">
        <v>8.4490740740740739E-4</v>
      </c>
      <c r="I499">
        <v>2023</v>
      </c>
      <c r="J499" t="s">
        <v>83</v>
      </c>
      <c r="K499" s="2" t="str">
        <f>HYPERLINK("https://www.nba.com/stats/events?CFID=&amp;CFPARAMS=&amp;GameEventID=695&amp;GameID=0022300257&amp;Season=2023-24&amp;flag=1&amp;title=Leonard%20driving%20Layup%20(31%20PTS)", "Driving Layup (31 PTS)")</f>
        <v>Driving Layup (31 PTS)</v>
      </c>
      <c r="L499" s="2" t="str">
        <f>HYPERLINK("https://www.nba.com/game/...-vs-...-0022300257/play-by-play?watchFullGame=true", "LAC vs DEN - Q4 01:13.00")</f>
        <v>LAC vs DEN - Q4 01:13.00</v>
      </c>
      <c r="M499">
        <v>3.61</v>
      </c>
      <c r="N499">
        <v>9.25</v>
      </c>
      <c r="O499">
        <v>47.79</v>
      </c>
      <c r="P499">
        <v>11</v>
      </c>
      <c r="Q499">
        <v>34</v>
      </c>
      <c r="R499">
        <v>9</v>
      </c>
      <c r="S499">
        <v>47</v>
      </c>
    </row>
    <row r="500" spans="1:19" hidden="1" x14ac:dyDescent="0.25">
      <c r="A500">
        <v>22000576</v>
      </c>
      <c r="B500" t="s">
        <v>18</v>
      </c>
      <c r="C500" t="s">
        <v>19</v>
      </c>
      <c r="D500">
        <v>87</v>
      </c>
      <c r="E500">
        <v>61</v>
      </c>
      <c r="F500">
        <v>26</v>
      </c>
      <c r="G500">
        <v>3</v>
      </c>
      <c r="H500" s="1">
        <v>2.7777777777777779E-3</v>
      </c>
      <c r="I500">
        <v>2020</v>
      </c>
      <c r="J500" t="s">
        <v>83</v>
      </c>
      <c r="K500" s="2" t="str">
        <f>HYPERLINK("https://www.nba.com/stats/events?CFID=&amp;CFPARAMS=&amp;GameEventID=463&amp;GameID=0022000576&amp;Season=2020-21&amp;flag=1&amp;title=Leonard%20driving%20floating%20Jump%20Shot%20(24%20PTS)", "Driving floating Jump Shot (24 PTS)")</f>
        <v>Driving floating Jump Shot (24 PTS)</v>
      </c>
      <c r="L500" s="2" t="str">
        <f>HYPERLINK("https://www.nba.com/game/...-vs-...-0022000576/play-by-play?watchFullGame=true", "LAC vs GSW - Q3 04:00.00")</f>
        <v>LAC vs GSW - Q3 04:00.00</v>
      </c>
      <c r="M500">
        <v>3.57</v>
      </c>
      <c r="N500">
        <v>9.2799999999999994</v>
      </c>
      <c r="O500">
        <v>48.35</v>
      </c>
      <c r="P500">
        <v>8</v>
      </c>
      <c r="Q500">
        <v>35</v>
      </c>
      <c r="R500">
        <v>9</v>
      </c>
      <c r="S500">
        <v>48</v>
      </c>
    </row>
    <row r="501" spans="1:19" hidden="1" x14ac:dyDescent="0.25">
      <c r="A501">
        <v>22200389</v>
      </c>
      <c r="B501" t="s">
        <v>18</v>
      </c>
      <c r="C501" t="s">
        <v>87</v>
      </c>
      <c r="D501">
        <v>107</v>
      </c>
      <c r="E501">
        <v>105</v>
      </c>
      <c r="F501">
        <v>2</v>
      </c>
      <c r="G501">
        <v>4</v>
      </c>
      <c r="H501" s="1">
        <v>6.8287037037037036E-4</v>
      </c>
      <c r="I501">
        <v>2022</v>
      </c>
      <c r="J501" t="s">
        <v>83</v>
      </c>
      <c r="K501" s="2" t="str">
        <f>HYPERLINK("https://www.nba.com/stats/events?CFID=&amp;CFPARAMS=&amp;GameEventID=620&amp;GameID=0022200389&amp;Season=2022-23&amp;flag=1&amp;title=Leonard%20driving%20Layup%20(13%20PTS)", "Driving Layup (13 PTS)")</f>
        <v>Driving Layup (13 PTS)</v>
      </c>
      <c r="L501" s="2" t="str">
        <f>HYPERLINK("https://www.nba.com/game/...-vs-...-0022200389/play-by-play?watchFullGame=true", "LAC vs WAS - Q4 00:59.00")</f>
        <v>LAC vs WAS - Q4 00:59.00</v>
      </c>
      <c r="M501">
        <v>3.55</v>
      </c>
      <c r="N501">
        <v>9.02</v>
      </c>
      <c r="O501">
        <v>47.06</v>
      </c>
      <c r="P501">
        <v>15</v>
      </c>
      <c r="Q501">
        <v>32</v>
      </c>
      <c r="R501">
        <v>9</v>
      </c>
      <c r="S501">
        <v>47</v>
      </c>
    </row>
    <row r="502" spans="1:19" hidden="1" x14ac:dyDescent="0.25">
      <c r="A502">
        <v>22300848</v>
      </c>
      <c r="B502" t="s">
        <v>18</v>
      </c>
      <c r="C502" t="s">
        <v>19</v>
      </c>
      <c r="D502">
        <v>110</v>
      </c>
      <c r="E502">
        <v>114</v>
      </c>
      <c r="F502">
        <v>4</v>
      </c>
      <c r="G502">
        <v>4</v>
      </c>
      <c r="H502" s="1">
        <v>8.1018518518518516E-4</v>
      </c>
      <c r="I502">
        <v>2023</v>
      </c>
      <c r="J502" t="s">
        <v>83</v>
      </c>
      <c r="K502" s="2" t="str">
        <f>HYPERLINK("https://www.nba.com/stats/events?CFID=&amp;CFPARAMS=&amp;GameEventID=598&amp;GameID=0022300848&amp;Season=2023-24&amp;flag=1&amp;title=Leonard%20driving%20floating%20Jump%20Shot%20(24%20PTS)%20(J.%20Harden%208%20AST)", "Driving floating Jump Shot (24 PTS) (J. Harden 8 AST)")</f>
        <v>Driving floating Jump Shot (24 PTS) (J. Harden 8 AST)</v>
      </c>
      <c r="L502" s="2" t="str">
        <f>HYPERLINK("https://www.nba.com/game/...-vs-...-0022300848/play-by-play?watchFullGame=true", "LAC vs LAL - Q4 01:10.00")</f>
        <v>LAC vs LAL - Q4 01:10.00</v>
      </c>
      <c r="M502">
        <v>3.49</v>
      </c>
      <c r="N502">
        <v>9.25</v>
      </c>
      <c r="O502">
        <v>48.77</v>
      </c>
      <c r="P502">
        <v>6</v>
      </c>
      <c r="Q502">
        <v>34</v>
      </c>
      <c r="R502">
        <v>9</v>
      </c>
      <c r="S502">
        <v>48</v>
      </c>
    </row>
    <row r="503" spans="1:19" hidden="1" x14ac:dyDescent="0.25">
      <c r="A503">
        <v>22400983</v>
      </c>
      <c r="B503" t="s">
        <v>18</v>
      </c>
      <c r="C503" t="s">
        <v>87</v>
      </c>
      <c r="D503">
        <v>67</v>
      </c>
      <c r="E503">
        <v>41</v>
      </c>
      <c r="F503">
        <v>26</v>
      </c>
      <c r="G503">
        <v>3</v>
      </c>
      <c r="H503" s="1">
        <v>7.9745370370370369E-3</v>
      </c>
      <c r="I503">
        <v>2024</v>
      </c>
      <c r="J503" t="s">
        <v>83</v>
      </c>
      <c r="K503" s="2" t="str">
        <f>HYPERLINK("https://www.nba.com/stats/events?CFID=&amp;CFPARAMS=&amp;GameEventID=328&amp;GameID=0022400983&amp;Season=2024-25&amp;flag=1&amp;title=Leonard%20driving%20Layup%20(11%20PTS)", "Driving Layup (11 PTS)")</f>
        <v>Driving Layup (11 PTS)</v>
      </c>
      <c r="L503" s="2" t="str">
        <f>HYPERLINK("https://www.nba.com/game/...-vs-...-0022400983/play-by-play?watchFullGame=true", "LAC vs WAS - Q3 11:29.00")</f>
        <v>LAC vs WAS - Q3 11:29.00</v>
      </c>
      <c r="M503">
        <v>3.47</v>
      </c>
      <c r="N503">
        <v>9.2799999999999994</v>
      </c>
      <c r="O503">
        <v>50</v>
      </c>
      <c r="P503">
        <v>9</v>
      </c>
      <c r="Q503">
        <v>35</v>
      </c>
      <c r="R503">
        <v>9</v>
      </c>
      <c r="S503">
        <v>50</v>
      </c>
    </row>
    <row r="504" spans="1:19" hidden="1" x14ac:dyDescent="0.25">
      <c r="A504">
        <v>22300848</v>
      </c>
      <c r="B504" t="s">
        <v>18</v>
      </c>
      <c r="C504" t="s">
        <v>87</v>
      </c>
      <c r="D504">
        <v>112</v>
      </c>
      <c r="E504">
        <v>114</v>
      </c>
      <c r="F504">
        <v>2</v>
      </c>
      <c r="G504">
        <v>4</v>
      </c>
      <c r="H504" s="1">
        <v>4.2013888888888884E-4</v>
      </c>
      <c r="I504">
        <v>2023</v>
      </c>
      <c r="J504" t="s">
        <v>83</v>
      </c>
      <c r="K504" s="2" t="str">
        <f>HYPERLINK("https://www.nba.com/stats/events?CFID=&amp;CFPARAMS=&amp;GameEventID=602&amp;GameID=0022300848&amp;Season=2023-24&amp;flag=1&amp;title=Leonard%20driving%20Layup%20(26%20PTS)%20(J.%20Harden%209%20AST)", "Driving Layup (26 PTS) (J. Harden 9 AST)")</f>
        <v>Driving Layup (26 PTS) (J. Harden 9 AST)</v>
      </c>
      <c r="L504" s="2" t="str">
        <f>HYPERLINK("https://www.nba.com/game/...-vs-...-0022300848/play-by-play?watchFullGame=true", "LAC vs LAL - Q4 00:36.30")</f>
        <v>LAC vs LAL - Q4 00:36.30</v>
      </c>
      <c r="M504">
        <v>3.43</v>
      </c>
      <c r="N504">
        <v>9.1199999999999992</v>
      </c>
      <c r="O504">
        <v>51.72</v>
      </c>
      <c r="P504">
        <v>-9</v>
      </c>
      <c r="Q504">
        <v>33</v>
      </c>
      <c r="R504">
        <v>9</v>
      </c>
      <c r="S504">
        <v>51</v>
      </c>
    </row>
    <row r="505" spans="1:19" hidden="1" x14ac:dyDescent="0.25">
      <c r="A505">
        <v>22000350</v>
      </c>
      <c r="B505" t="s">
        <v>18</v>
      </c>
      <c r="C505" t="s">
        <v>87</v>
      </c>
      <c r="D505">
        <v>15</v>
      </c>
      <c r="E505">
        <v>4</v>
      </c>
      <c r="F505">
        <v>11</v>
      </c>
      <c r="G505">
        <v>1</v>
      </c>
      <c r="H505" s="1">
        <v>5.6481481481481478E-3</v>
      </c>
      <c r="I505">
        <v>2020</v>
      </c>
      <c r="J505" t="s">
        <v>83</v>
      </c>
      <c r="K505" s="2" t="str">
        <f>HYPERLINK("https://www.nba.com/stats/events?CFID=&amp;CFPARAMS=&amp;GameEventID=58&amp;GameID=0022000350&amp;Season=2020-21&amp;flag=1&amp;title=Leonard%20finger%20roll%20Layup%20(5%20PTS)", "Finger roll Layup (5 PTS)")</f>
        <v>Finger roll Layup (5 PTS)</v>
      </c>
      <c r="L505" s="2" t="str">
        <f>HYPERLINK("https://www.nba.com/game/...-vs-...-0022000350/play-by-play?watchFullGame=true", "LAC vs BOS - Q1 08:08.00")</f>
        <v>LAC vs BOS - Q1 08:08.00</v>
      </c>
      <c r="M505">
        <v>3.4</v>
      </c>
      <c r="N505">
        <v>9.15</v>
      </c>
      <c r="O505">
        <v>48.84</v>
      </c>
      <c r="P505">
        <v>6</v>
      </c>
      <c r="Q505">
        <v>34</v>
      </c>
      <c r="R505">
        <v>9</v>
      </c>
      <c r="S505">
        <v>48</v>
      </c>
    </row>
    <row r="506" spans="1:19" hidden="1" x14ac:dyDescent="0.25">
      <c r="A506">
        <v>22300505</v>
      </c>
      <c r="B506" t="s">
        <v>18</v>
      </c>
      <c r="C506" t="s">
        <v>87</v>
      </c>
      <c r="D506">
        <v>67</v>
      </c>
      <c r="E506">
        <v>66</v>
      </c>
      <c r="F506">
        <v>1</v>
      </c>
      <c r="G506">
        <v>3</v>
      </c>
      <c r="H506" s="1">
        <v>4.2708333333333331E-3</v>
      </c>
      <c r="I506">
        <v>2023</v>
      </c>
      <c r="J506" t="s">
        <v>83</v>
      </c>
      <c r="K506" s="2" t="str">
        <f>HYPERLINK("https://www.nba.com/stats/events?CFID=&amp;CFPARAMS=&amp;GameEventID=375&amp;GameID=0022300505&amp;Season=2023-24&amp;flag=1&amp;title=Leonard%20running%20Layup%20(10%20PTS)%20(J.%20Harden%207%20AST)", "Running Layup (10 PTS) (J. Harden 7 AST)")</f>
        <v>Running Layup (10 PTS) (J. Harden 7 AST)</v>
      </c>
      <c r="L506" s="2" t="str">
        <f>HYPERLINK("https://www.nba.com/game/...-vs-...-0022300505/play-by-play?watchFullGame=true", "LAC vs LAL - Q3 06:09.00")</f>
        <v>LAC vs LAL - Q3 06:09.00</v>
      </c>
      <c r="M506">
        <v>3.36</v>
      </c>
      <c r="N506">
        <v>9.1199999999999992</v>
      </c>
      <c r="O506">
        <v>49.02</v>
      </c>
      <c r="P506">
        <v>5</v>
      </c>
      <c r="Q506">
        <v>33</v>
      </c>
      <c r="R506">
        <v>9</v>
      </c>
      <c r="S506">
        <v>49</v>
      </c>
    </row>
    <row r="507" spans="1:19" hidden="1" x14ac:dyDescent="0.25">
      <c r="A507">
        <v>22300749</v>
      </c>
      <c r="B507" t="s">
        <v>18</v>
      </c>
      <c r="C507" t="s">
        <v>88</v>
      </c>
      <c r="D507">
        <v>67</v>
      </c>
      <c r="E507">
        <v>75</v>
      </c>
      <c r="F507">
        <v>8</v>
      </c>
      <c r="G507">
        <v>3</v>
      </c>
      <c r="H507" s="1">
        <v>2.2337962962962962E-3</v>
      </c>
      <c r="I507">
        <v>2023</v>
      </c>
      <c r="J507" t="s">
        <v>83</v>
      </c>
      <c r="K507" s="2" t="str">
        <f>HYPERLINK("https://www.nba.com/stats/events?CFID=&amp;CFPARAMS=&amp;GameEventID=416&amp;GameID=0022300749&amp;Season=2023-24&amp;flag=1&amp;title=Leonard%20driving%20DUNK%20(15%20PTS)", "Driving DUNK (15 PTS)")</f>
        <v>Driving DUNK (15 PTS)</v>
      </c>
      <c r="L507" s="2" t="str">
        <f>HYPERLINK("https://www.nba.com/game/...-vs-...-0022300749/play-by-play?watchFullGame=true", "LAC vs DET - Q3 03:13.00")</f>
        <v>LAC vs DET - Q3 03:13.00</v>
      </c>
      <c r="M507">
        <v>3.34</v>
      </c>
      <c r="N507">
        <v>9.02</v>
      </c>
      <c r="O507">
        <v>51.72</v>
      </c>
      <c r="P507">
        <v>-9</v>
      </c>
      <c r="Q507">
        <v>32</v>
      </c>
      <c r="R507">
        <v>9</v>
      </c>
      <c r="S507">
        <v>51</v>
      </c>
    </row>
    <row r="508" spans="1:19" hidden="1" x14ac:dyDescent="0.25">
      <c r="A508">
        <v>22300052</v>
      </c>
      <c r="B508" t="s">
        <v>18</v>
      </c>
      <c r="C508" t="s">
        <v>88</v>
      </c>
      <c r="D508">
        <v>52</v>
      </c>
      <c r="E508">
        <v>56</v>
      </c>
      <c r="F508">
        <v>4</v>
      </c>
      <c r="G508">
        <v>2</v>
      </c>
      <c r="H508" s="1">
        <v>5.6365740740740747E-4</v>
      </c>
      <c r="I508">
        <v>2023</v>
      </c>
      <c r="J508" t="s">
        <v>83</v>
      </c>
      <c r="K508" s="2" t="str">
        <f>HYPERLINK("https://www.nba.com/stats/events?CFID=&amp;CFPARAMS=&amp;GameEventID=305&amp;GameID=0022300052&amp;Season=2023-24&amp;flag=1&amp;title=Leonard%20driving%20DUNK%20(12%20PTS)", "Driving DUNK (12 PTS)")</f>
        <v>Driving DUNK (12 PTS)</v>
      </c>
      <c r="L508" s="2" t="str">
        <f>HYPERLINK("https://www.nba.com/game/...-vs-...-0022300052/play-by-play?watchFullGame=true", "LAC vs NOP - Q2 00:48.70")</f>
        <v>LAC vs NOP - Q2 00:48.70</v>
      </c>
      <c r="M508">
        <v>3.83</v>
      </c>
      <c r="N508">
        <v>9.64</v>
      </c>
      <c r="O508">
        <v>50.74</v>
      </c>
      <c r="P508">
        <v>-4</v>
      </c>
      <c r="Q508">
        <v>38</v>
      </c>
      <c r="R508">
        <v>9</v>
      </c>
      <c r="S508">
        <v>50</v>
      </c>
    </row>
    <row r="509" spans="1:19" hidden="1" x14ac:dyDescent="0.25">
      <c r="A509">
        <v>22300074</v>
      </c>
      <c r="B509" t="s">
        <v>18</v>
      </c>
      <c r="C509" t="s">
        <v>88</v>
      </c>
      <c r="D509">
        <v>86</v>
      </c>
      <c r="E509">
        <v>63</v>
      </c>
      <c r="F509">
        <v>23</v>
      </c>
      <c r="G509">
        <v>3</v>
      </c>
      <c r="H509" s="1">
        <v>4.2939814814814811E-3</v>
      </c>
      <c r="I509">
        <v>2023</v>
      </c>
      <c r="J509" t="s">
        <v>83</v>
      </c>
      <c r="K509" s="2" t="str">
        <f>HYPERLINK("https://www.nba.com/stats/events?CFID=&amp;CFPARAMS=&amp;GameEventID=425&amp;GameID=0022300074&amp;Season=2023-24&amp;flag=1&amp;title=Leonard%20running%20DUNK%20(15%20PTS)%20(P.%20George%205%20AST)", "Running DUNK (15 PTS) (P. George 5 AST)")</f>
        <v>Running DUNK (15 PTS) (P. George 5 AST)</v>
      </c>
      <c r="L509" s="2" t="str">
        <f>HYPERLINK("https://www.nba.com/game/...-vs-...-0022300074/play-by-play?watchFullGame=true", "LAC vs POR - Q3 06:11.00")</f>
        <v>LAC vs POR - Q3 06:11.00</v>
      </c>
      <c r="M509">
        <v>3.58</v>
      </c>
      <c r="N509">
        <v>9.3800000000000008</v>
      </c>
      <c r="O509">
        <v>50.49</v>
      </c>
      <c r="P509">
        <v>-2</v>
      </c>
      <c r="Q509">
        <v>36</v>
      </c>
      <c r="R509">
        <v>9</v>
      </c>
      <c r="S509">
        <v>50</v>
      </c>
    </row>
    <row r="510" spans="1:19" hidden="1" x14ac:dyDescent="0.25">
      <c r="A510">
        <v>22001034</v>
      </c>
      <c r="B510" t="s">
        <v>18</v>
      </c>
      <c r="C510" t="s">
        <v>88</v>
      </c>
      <c r="D510">
        <v>27</v>
      </c>
      <c r="E510">
        <v>19</v>
      </c>
      <c r="F510">
        <v>8</v>
      </c>
      <c r="G510">
        <v>1</v>
      </c>
      <c r="H510" s="1">
        <v>3.8194444444444444E-5</v>
      </c>
      <c r="I510">
        <v>2020</v>
      </c>
      <c r="J510" t="s">
        <v>83</v>
      </c>
      <c r="K510" s="2" t="str">
        <f>HYPERLINK("https://www.nba.com/stats/events?CFID=&amp;CFPARAMS=&amp;GameEventID=146&amp;GameID=0022001034&amp;Season=2020-21&amp;flag=1&amp;title=Leonard%20driving%20DUNK%20(9%20PTS)", "Driving DUNK (9 PTS)")</f>
        <v>Driving DUNK (9 PTS)</v>
      </c>
      <c r="L510" s="2" t="str">
        <f>HYPERLINK("https://www.nba.com/game/...-vs-...-0022001034/play-by-play?watchFullGame=true", "LAC vs TOR - Q1 00:03.30")</f>
        <v>LAC vs TOR - Q1 00:03.30</v>
      </c>
      <c r="M510">
        <v>4.0599999999999996</v>
      </c>
      <c r="N510">
        <v>9.15</v>
      </c>
      <c r="O510">
        <v>45.41</v>
      </c>
      <c r="P510">
        <v>23</v>
      </c>
      <c r="Q510">
        <v>34</v>
      </c>
      <c r="R510">
        <v>9</v>
      </c>
      <c r="S510">
        <v>45</v>
      </c>
    </row>
    <row r="511" spans="1:19" hidden="1" x14ac:dyDescent="0.25">
      <c r="A511">
        <v>22300151</v>
      </c>
      <c r="B511" t="s">
        <v>26</v>
      </c>
      <c r="C511" t="s">
        <v>19</v>
      </c>
      <c r="D511">
        <v>57</v>
      </c>
      <c r="E511">
        <v>56</v>
      </c>
      <c r="F511">
        <v>1</v>
      </c>
      <c r="G511">
        <v>3</v>
      </c>
      <c r="H511" s="1">
        <v>5.6134259259259262E-3</v>
      </c>
      <c r="I511">
        <v>2023</v>
      </c>
      <c r="J511" t="s">
        <v>83</v>
      </c>
      <c r="K511" s="2" t="str">
        <f>HYPERLINK("https://www.nba.com/stats/events?CFID=&amp;CFPARAMS=&amp;GameEventID=329&amp;GameID=0022300151&amp;Season=2023-24&amp;flag=1&amp;title=Leonard%2024'%203PT%20%20(9%20PTS)%20(P.%20George%202%20AST)", "24' 3PT  (9 PTS) (P. George 2 AST)")</f>
        <v>24' 3PT  (9 PTS) (P. George 2 AST)</v>
      </c>
      <c r="L511" s="2" t="str">
        <f>HYPERLINK("https://www.nba.com/game/...-vs-...-0022300151/play-by-play?watchFullGame=true", "LAC vs NYK - Q3 08:05.00")</f>
        <v>LAC vs NYK - Q3 08:05.00</v>
      </c>
      <c r="M511">
        <v>24.31</v>
      </c>
      <c r="N511">
        <v>10.99</v>
      </c>
      <c r="O511">
        <v>2.4500000000000002</v>
      </c>
      <c r="P511">
        <v>238</v>
      </c>
      <c r="Q511">
        <v>51</v>
      </c>
      <c r="R511">
        <v>10</v>
      </c>
      <c r="S511">
        <v>2</v>
      </c>
    </row>
    <row r="512" spans="1:19" hidden="1" x14ac:dyDescent="0.25">
      <c r="A512">
        <v>22200408</v>
      </c>
      <c r="B512" t="s">
        <v>26</v>
      </c>
      <c r="C512" t="s">
        <v>19</v>
      </c>
      <c r="D512">
        <v>102</v>
      </c>
      <c r="E512">
        <v>80</v>
      </c>
      <c r="F512">
        <v>22</v>
      </c>
      <c r="G512">
        <v>4</v>
      </c>
      <c r="H512" s="1">
        <v>5.092592592592593E-3</v>
      </c>
      <c r="I512">
        <v>2022</v>
      </c>
      <c r="J512" t="s">
        <v>83</v>
      </c>
      <c r="K512" s="2" t="str">
        <f>HYPERLINK("https://www.nba.com/stats/events?CFID=&amp;CFPARAMS=&amp;GameEventID=560&amp;GameID=0022200408&amp;Season=2022-23&amp;flag=1&amp;title=Leonard%203PT%20%20(23%20PTS)%20(R.%20Jackson%202%20AST)", "3PT  (23 PTS) (R. Jackson 2 AST)")</f>
        <v>3PT  (23 PTS) (R. Jackson 2 AST)</v>
      </c>
      <c r="L512" s="2" t="str">
        <f>HYPERLINK("https://www.nba.com/game/...-vs-...-0022200408/play-by-play?watchFullGame=true", "LAC vs BOS - Q4 07:20.00")</f>
        <v>LAC vs BOS - Q4 07:20.00</v>
      </c>
      <c r="M512">
        <v>23.97</v>
      </c>
      <c r="N512">
        <v>10.43</v>
      </c>
      <c r="O512">
        <v>2.94</v>
      </c>
      <c r="P512">
        <v>235</v>
      </c>
      <c r="Q512">
        <v>46</v>
      </c>
      <c r="R512">
        <v>10</v>
      </c>
      <c r="S512">
        <v>2</v>
      </c>
    </row>
    <row r="513" spans="1:19" hidden="1" x14ac:dyDescent="0.25">
      <c r="A513">
        <v>21900406</v>
      </c>
      <c r="B513" t="s">
        <v>18</v>
      </c>
      <c r="C513" t="s">
        <v>84</v>
      </c>
      <c r="D513">
        <v>12</v>
      </c>
      <c r="E513">
        <v>12</v>
      </c>
      <c r="F513">
        <v>0</v>
      </c>
      <c r="G513">
        <v>1</v>
      </c>
      <c r="H513" s="1">
        <v>5.4050925925925924E-3</v>
      </c>
      <c r="I513">
        <v>2019</v>
      </c>
      <c r="J513" t="s">
        <v>83</v>
      </c>
      <c r="K513" s="2" t="str">
        <f>HYPERLINK("https://www.nba.com/stats/events?CFID=&amp;CFPARAMS=&amp;GameEventID=40&amp;GameID=0021900406&amp;Season=2019-20&amp;flag=1&amp;title=Leonard%2016'%20jumpshot%20(4%20PTS)", "16' jumpshot (4 PTS)")</f>
        <v>16' jumpshot (4 PTS)</v>
      </c>
      <c r="L513" s="2" t="str">
        <f>HYPERLINK("https://www.nba.com/game/...-vs-...-0021900406/play-by-play?watchFullGame=true", "LAC vs PHX - Q1 07:47.00")</f>
        <v>LAC vs PHX - Q1 07:47.00</v>
      </c>
      <c r="M513">
        <v>15.58</v>
      </c>
      <c r="N513">
        <v>10.25</v>
      </c>
      <c r="O513">
        <v>79.56</v>
      </c>
      <c r="P513">
        <v>-148</v>
      </c>
      <c r="Q513">
        <v>44</v>
      </c>
      <c r="R513">
        <v>10</v>
      </c>
      <c r="S513">
        <v>79</v>
      </c>
    </row>
    <row r="514" spans="1:19" hidden="1" x14ac:dyDescent="0.25">
      <c r="A514">
        <v>22200509</v>
      </c>
      <c r="B514" t="s">
        <v>18</v>
      </c>
      <c r="C514" t="s">
        <v>19</v>
      </c>
      <c r="D514">
        <v>71</v>
      </c>
      <c r="E514">
        <v>65</v>
      </c>
      <c r="F514">
        <v>6</v>
      </c>
      <c r="G514">
        <v>3</v>
      </c>
      <c r="H514" s="1">
        <v>5.1967592592592595E-3</v>
      </c>
      <c r="I514">
        <v>2022</v>
      </c>
      <c r="J514" t="s">
        <v>83</v>
      </c>
      <c r="K514" s="2" t="str">
        <f>HYPERLINK("https://www.nba.com/stats/events?CFID=&amp;CFPARAMS=&amp;GameEventID=376&amp;GameID=0022200509&amp;Season=2022-23&amp;flag=1&amp;title=Leonard%2015'%20turnaround%20Jump%20Shot%20(8%20PTS)%20(R.%20Jackson%203%20AST)", "15' turnaround Jump Shot (8 PTS) (R. Jackson 3 AST)")</f>
        <v>15' turnaround Jump Shot (8 PTS) (R. Jackson 3 AST)</v>
      </c>
      <c r="L514" s="2" t="str">
        <f>HYPERLINK("https://www.nba.com/game/...-vs-...-0022200509/play-by-play?watchFullGame=true", "LAC vs TOR - Q3 07:29.00")</f>
        <v>LAC vs TOR - Q3 07:29.00</v>
      </c>
      <c r="M514">
        <v>15.79</v>
      </c>
      <c r="N514">
        <v>10.99</v>
      </c>
      <c r="O514">
        <v>79.900000000000006</v>
      </c>
      <c r="P514">
        <v>-150</v>
      </c>
      <c r="Q514">
        <v>51</v>
      </c>
      <c r="R514">
        <v>10</v>
      </c>
      <c r="S514">
        <v>79</v>
      </c>
    </row>
    <row r="515" spans="1:19" hidden="1" x14ac:dyDescent="0.25">
      <c r="A515">
        <v>22201096</v>
      </c>
      <c r="B515" t="s">
        <v>18</v>
      </c>
      <c r="C515" t="s">
        <v>19</v>
      </c>
      <c r="D515">
        <v>103</v>
      </c>
      <c r="E515">
        <v>85</v>
      </c>
      <c r="F515">
        <v>18</v>
      </c>
      <c r="G515">
        <v>4</v>
      </c>
      <c r="H515" s="1">
        <v>6.1805555555555555E-3</v>
      </c>
      <c r="I515">
        <v>2022</v>
      </c>
      <c r="J515" t="s">
        <v>83</v>
      </c>
      <c r="K515" s="2" t="str">
        <f>HYPERLINK("https://www.nba.com/stats/events?CFID=&amp;CFPARAMS=&amp;GameEventID=505&amp;GameID=0022201096&amp;Season=2022-23&amp;flag=1&amp;title=Leonard%2016'%20turnaround%20fadeaway%20Jump%20Shot%20(32%20PTS)", "16' turnaround fadeaway Jump Shot (32 PTS)")</f>
        <v>16' turnaround fadeaway Jump Shot (32 PTS)</v>
      </c>
      <c r="L515" s="2" t="str">
        <f>HYPERLINK("https://www.nba.com/game/...-vs-...-0022201096/play-by-play?watchFullGame=true", "LAC vs OKC - Q4 08:54.00")</f>
        <v>LAC vs OKC - Q4 08:54.00</v>
      </c>
      <c r="M515">
        <v>16.95</v>
      </c>
      <c r="N515">
        <v>10.96</v>
      </c>
      <c r="O515">
        <v>82.35</v>
      </c>
      <c r="P515">
        <v>-162</v>
      </c>
      <c r="Q515">
        <v>50</v>
      </c>
      <c r="R515">
        <v>10</v>
      </c>
      <c r="S515">
        <v>82</v>
      </c>
    </row>
    <row r="516" spans="1:19" hidden="1" x14ac:dyDescent="0.25">
      <c r="A516">
        <v>22201082</v>
      </c>
      <c r="B516" t="s">
        <v>18</v>
      </c>
      <c r="C516" t="s">
        <v>19</v>
      </c>
      <c r="D516">
        <v>81</v>
      </c>
      <c r="E516">
        <v>78</v>
      </c>
      <c r="F516">
        <v>3</v>
      </c>
      <c r="G516">
        <v>3</v>
      </c>
      <c r="H516" s="1">
        <v>9.7222222222222219E-4</v>
      </c>
      <c r="I516">
        <v>2022</v>
      </c>
      <c r="J516" t="s">
        <v>83</v>
      </c>
      <c r="K516" s="2" t="str">
        <f>HYPERLINK("https://www.nba.com/stats/events?CFID=&amp;CFPARAMS=&amp;GameEventID=490&amp;GameID=0022201082&amp;Season=2022-23&amp;flag=1&amp;title=Leonard%2017'%20Jump%20Shot%20(17%20PTS)", "17' Jump Shot (17 PTS)")</f>
        <v>17' Jump Shot (17 PTS)</v>
      </c>
      <c r="L516" s="2" t="str">
        <f>HYPERLINK("https://www.nba.com/game/...-vs-...-0022201082/play-by-play?watchFullGame=true", "LAC vs OKC - Q3 01:24.00")</f>
        <v>LAC vs OKC - Q3 01:24.00</v>
      </c>
      <c r="M516">
        <v>17.61</v>
      </c>
      <c r="N516">
        <v>10.38</v>
      </c>
      <c r="O516">
        <v>84.05</v>
      </c>
      <c r="P516">
        <v>-170</v>
      </c>
      <c r="Q516">
        <v>45</v>
      </c>
      <c r="R516">
        <v>10</v>
      </c>
      <c r="S516">
        <v>84</v>
      </c>
    </row>
    <row r="517" spans="1:19" hidden="1" x14ac:dyDescent="0.25">
      <c r="A517">
        <v>22200604</v>
      </c>
      <c r="B517" t="s">
        <v>26</v>
      </c>
      <c r="C517" t="s">
        <v>19</v>
      </c>
      <c r="D517">
        <v>102</v>
      </c>
      <c r="E517">
        <v>91</v>
      </c>
      <c r="F517">
        <v>11</v>
      </c>
      <c r="G517">
        <v>4</v>
      </c>
      <c r="H517" s="1">
        <v>4.6874999999999998E-3</v>
      </c>
      <c r="I517">
        <v>2022</v>
      </c>
      <c r="J517" t="s">
        <v>83</v>
      </c>
      <c r="K517" s="2" t="str">
        <f>HYPERLINK("https://www.nba.com/stats/events?CFID=&amp;CFPARAMS=&amp;GameEventID=568&amp;GameID=0022200604&amp;Season=2022-23&amp;flag=1&amp;title=Leonard%203PT%20%20(25%20PTS)%20(N.%20Powell%204%20AST)", "3PT  (25 PTS) (N. Powell 4 AST)")</f>
        <v>3PT  (25 PTS) (N. Powell 4 AST)</v>
      </c>
      <c r="L517" s="2" t="str">
        <f>HYPERLINK("https://www.nba.com/game/...-vs-...-0022200604/play-by-play?watchFullGame=true", "LAC vs ATL - Q4 06:45.00")</f>
        <v>LAC vs ATL - Q4 06:45.00</v>
      </c>
      <c r="M517">
        <v>23.34</v>
      </c>
      <c r="N517">
        <v>10.3</v>
      </c>
      <c r="O517">
        <v>95.83</v>
      </c>
      <c r="P517">
        <v>-229</v>
      </c>
      <c r="Q517">
        <v>44</v>
      </c>
      <c r="R517">
        <v>10</v>
      </c>
      <c r="S517">
        <v>95</v>
      </c>
    </row>
    <row r="518" spans="1:19" hidden="1" x14ac:dyDescent="0.25">
      <c r="A518">
        <v>22400842</v>
      </c>
      <c r="B518" t="s">
        <v>26</v>
      </c>
      <c r="C518" t="s">
        <v>19</v>
      </c>
      <c r="D518">
        <v>18</v>
      </c>
      <c r="E518">
        <v>12</v>
      </c>
      <c r="F518">
        <v>6</v>
      </c>
      <c r="G518">
        <v>1</v>
      </c>
      <c r="H518" s="1">
        <v>3.425925925925926E-3</v>
      </c>
      <c r="I518">
        <v>2024</v>
      </c>
      <c r="J518" t="s">
        <v>83</v>
      </c>
      <c r="K518" s="2" t="str">
        <f>HYPERLINK("https://www.nba.com/stats/events?CFID=&amp;CFPARAMS=&amp;GameEventID=84&amp;GameID=0022400842&amp;Season=2024-25&amp;flag=1&amp;title=Leonard%203PT%20%20(5%20PTS)%20(I.%20Zubac%201%20AST)", "3PT  (5 PTS) (I. Zubac 1 AST)")</f>
        <v>3PT  (5 PTS) (I. Zubac 1 AST)</v>
      </c>
      <c r="L518" s="2" t="str">
        <f>HYPERLINK("https://www.nba.com/game/...-vs-...-0022400842/play-by-play?watchFullGame=true", "LAC vs CHI - Q1 04:56.00")</f>
        <v>LAC vs CHI - Q1 04:56.00</v>
      </c>
      <c r="M518">
        <v>23.7</v>
      </c>
      <c r="N518">
        <v>10.38</v>
      </c>
      <c r="O518">
        <v>96.55</v>
      </c>
      <c r="P518">
        <v>-233</v>
      </c>
      <c r="Q518">
        <v>45</v>
      </c>
      <c r="R518">
        <v>10</v>
      </c>
      <c r="S518">
        <v>96</v>
      </c>
    </row>
    <row r="519" spans="1:19" hidden="1" x14ac:dyDescent="0.25">
      <c r="A519">
        <v>21900359</v>
      </c>
      <c r="B519" t="s">
        <v>18</v>
      </c>
      <c r="C519" t="s">
        <v>84</v>
      </c>
      <c r="D519">
        <v>20</v>
      </c>
      <c r="E519">
        <v>20</v>
      </c>
      <c r="F519">
        <v>0</v>
      </c>
      <c r="G519">
        <v>1</v>
      </c>
      <c r="H519" s="1">
        <v>2.7546296296296294E-3</v>
      </c>
      <c r="I519">
        <v>2019</v>
      </c>
      <c r="J519" t="s">
        <v>83</v>
      </c>
      <c r="K519" s="2" t="str">
        <f>HYPERLINK("https://www.nba.com/stats/events?CFID=&amp;CFPARAMS=&amp;GameEventID=93&amp;GameID=0021900359&amp;Season=2019-20&amp;flag=1&amp;title=Leonard%2015'%20jumpshot%20(5%20PTS)%20(L.%20Williams%201%20AST)", "15' jumpshot (5 PTS) (L. Williams 1 AST)")</f>
        <v>15' jumpshot (5 PTS) (L. Williams 1 AST)</v>
      </c>
      <c r="L519" s="2" t="str">
        <f>HYPERLINK("https://www.nba.com/game/...-vs-...-0021900359/play-by-play?watchFullGame=true", "LAC vs TOR - Q1 03:58.00")</f>
        <v>LAC vs TOR - Q1 03:58.00</v>
      </c>
      <c r="M519">
        <v>14.56</v>
      </c>
      <c r="N519">
        <v>10.07</v>
      </c>
      <c r="O519">
        <v>77.52</v>
      </c>
      <c r="P519">
        <v>-138</v>
      </c>
      <c r="Q519">
        <v>42</v>
      </c>
      <c r="R519">
        <v>10</v>
      </c>
      <c r="S519">
        <v>77</v>
      </c>
    </row>
    <row r="520" spans="1:19" hidden="1" x14ac:dyDescent="0.25">
      <c r="A520">
        <v>21900115</v>
      </c>
      <c r="B520" t="s">
        <v>18</v>
      </c>
      <c r="C520" t="s">
        <v>84</v>
      </c>
      <c r="D520">
        <v>17</v>
      </c>
      <c r="E520">
        <v>12</v>
      </c>
      <c r="F520">
        <v>5</v>
      </c>
      <c r="G520">
        <v>1</v>
      </c>
      <c r="H520" s="1">
        <v>3.5532407407407409E-3</v>
      </c>
      <c r="I520">
        <v>2019</v>
      </c>
      <c r="J520" t="s">
        <v>83</v>
      </c>
      <c r="K520" s="2" t="str">
        <f>HYPERLINK("https://www.nba.com/stats/events?CFID=&amp;CFPARAMS=&amp;GameEventID=88&amp;GameID=0021900115&amp;Season=2019-20&amp;flag=1&amp;title=[LAC]%20Leonard%20jumpshot:%20Made%20(6%20PTS)", "[LAC] Leonard jumpshot: Made (6 PTS)")</f>
        <v>[LAC] Leonard jumpshot: Made (6 PTS)</v>
      </c>
      <c r="L520" s="2" t="str">
        <f>HYPERLINK("https://www.nba.com/game/...-vs-...-0021900115/play-by-play?watchFullGame=true", "LAC vs POR - Q1 05:07.00")</f>
        <v>LAC vs POR - Q1 05:07.00</v>
      </c>
      <c r="M520">
        <v>14.13</v>
      </c>
      <c r="N520">
        <v>10.82</v>
      </c>
      <c r="O520">
        <v>23.95</v>
      </c>
      <c r="P520">
        <v>130</v>
      </c>
      <c r="Q520">
        <v>49</v>
      </c>
      <c r="R520">
        <v>10</v>
      </c>
      <c r="S520">
        <v>23</v>
      </c>
    </row>
    <row r="521" spans="1:19" hidden="1" x14ac:dyDescent="0.25">
      <c r="A521">
        <v>22000675</v>
      </c>
      <c r="B521" t="s">
        <v>18</v>
      </c>
      <c r="C521" t="s">
        <v>19</v>
      </c>
      <c r="D521">
        <v>67</v>
      </c>
      <c r="E521">
        <v>53</v>
      </c>
      <c r="F521">
        <v>14</v>
      </c>
      <c r="G521">
        <v>2</v>
      </c>
      <c r="H521" s="1">
        <v>5.2083333333333337E-5</v>
      </c>
      <c r="I521">
        <v>2020</v>
      </c>
      <c r="J521" t="s">
        <v>83</v>
      </c>
      <c r="K521" s="2" t="str">
        <f>HYPERLINK("https://www.nba.com/stats/events?CFID=&amp;CFPARAMS=&amp;GameEventID=327&amp;GameID=0022000675&amp;Season=2020-21&amp;flag=1&amp;title=Leonard%2013'%20pullup%20Jump%20Shot%20(16%20PTS)", "13' pullup Jump Shot (16 PTS)")</f>
        <v>13' pullup Jump Shot (16 PTS)</v>
      </c>
      <c r="L521" s="2" t="str">
        <f>HYPERLINK("https://www.nba.com/game/...-vs-...-0022000675/play-by-play?watchFullGame=true", "LAC vs SAS - Q2 00:04.50")</f>
        <v>LAC vs SAS - Q2 00:04.50</v>
      </c>
      <c r="M521">
        <v>13.6</v>
      </c>
      <c r="N521">
        <v>10.86</v>
      </c>
      <c r="O521">
        <v>75.31</v>
      </c>
      <c r="P521">
        <v>-127</v>
      </c>
      <c r="Q521">
        <v>50</v>
      </c>
      <c r="R521">
        <v>10</v>
      </c>
      <c r="S521">
        <v>75</v>
      </c>
    </row>
    <row r="522" spans="1:19" hidden="1" x14ac:dyDescent="0.25">
      <c r="A522">
        <v>22200604</v>
      </c>
      <c r="B522" t="s">
        <v>18</v>
      </c>
      <c r="C522" t="s">
        <v>19</v>
      </c>
      <c r="D522">
        <v>56</v>
      </c>
      <c r="E522">
        <v>68</v>
      </c>
      <c r="F522">
        <v>12</v>
      </c>
      <c r="G522">
        <v>3</v>
      </c>
      <c r="H522" s="1">
        <v>7.8125E-3</v>
      </c>
      <c r="I522">
        <v>2022</v>
      </c>
      <c r="J522" t="s">
        <v>83</v>
      </c>
      <c r="K522" s="2" t="str">
        <f>HYPERLINK("https://www.nba.com/stats/events?CFID=&amp;CFPARAMS=&amp;GameEventID=344&amp;GameID=0022200604&amp;Season=2022-23&amp;flag=1&amp;title=Leonard%2013'%20turnaround%20fadeaway%20Jump%20Shot%20(16%20PTS)%20(N.%20Batum%203%20AST)", "13' turnaround fadeaway Jump Shot (16 PTS) (N. Batum 3 AST)")</f>
        <v>13' turnaround fadeaway Jump Shot (16 PTS) (N. Batum 3 AST)</v>
      </c>
      <c r="L522" s="2" t="str">
        <f>HYPERLINK("https://www.nba.com/game/...-vs-...-0022200604/play-by-play?watchFullGame=true", "LAC vs ATL - Q3 11:15.00")</f>
        <v>LAC vs ATL - Q3 11:15.00</v>
      </c>
      <c r="M522">
        <v>13.08</v>
      </c>
      <c r="N522">
        <v>10.119999999999999</v>
      </c>
      <c r="O522">
        <v>74.73</v>
      </c>
      <c r="P522">
        <v>-124</v>
      </c>
      <c r="Q522">
        <v>43</v>
      </c>
      <c r="R522">
        <v>10</v>
      </c>
      <c r="S522">
        <v>74</v>
      </c>
    </row>
    <row r="523" spans="1:19" hidden="1" x14ac:dyDescent="0.25">
      <c r="A523">
        <v>22200745</v>
      </c>
      <c r="B523" t="s">
        <v>18</v>
      </c>
      <c r="C523" t="s">
        <v>19</v>
      </c>
      <c r="D523">
        <v>110</v>
      </c>
      <c r="E523">
        <v>98</v>
      </c>
      <c r="F523">
        <v>12</v>
      </c>
      <c r="G523">
        <v>4</v>
      </c>
      <c r="H523" s="1">
        <v>2.8472222222222223E-3</v>
      </c>
      <c r="I523">
        <v>2022</v>
      </c>
      <c r="J523" t="s">
        <v>83</v>
      </c>
      <c r="K523" s="2" t="str">
        <f>HYPERLINK("https://www.nba.com/stats/events?CFID=&amp;CFPARAMS=&amp;GameEventID=537&amp;GameID=0022200745&amp;Season=2022-23&amp;flag=1&amp;title=Leonard%2012'%20pullup%20Jump%20Shot%20(29%20PTS)", "12' pullup Jump Shot (29 PTS)")</f>
        <v>12' pullup Jump Shot (29 PTS)</v>
      </c>
      <c r="L523" s="2" t="str">
        <f>HYPERLINK("https://www.nba.com/game/...-vs-...-0022200745/play-by-play?watchFullGame=true", "LAC vs ATL - Q4 04:06.00")</f>
        <v>LAC vs ATL - Q4 04:06.00</v>
      </c>
      <c r="M523">
        <v>12.73</v>
      </c>
      <c r="N523">
        <v>10.07</v>
      </c>
      <c r="O523">
        <v>25.98</v>
      </c>
      <c r="P523">
        <v>120</v>
      </c>
      <c r="Q523">
        <v>42</v>
      </c>
      <c r="R523">
        <v>10</v>
      </c>
      <c r="S523">
        <v>25</v>
      </c>
    </row>
    <row r="524" spans="1:19" hidden="1" x14ac:dyDescent="0.25">
      <c r="A524">
        <v>22201229</v>
      </c>
      <c r="B524" t="s">
        <v>18</v>
      </c>
      <c r="C524" t="s">
        <v>19</v>
      </c>
      <c r="D524">
        <v>117</v>
      </c>
      <c r="E524">
        <v>111</v>
      </c>
      <c r="F524">
        <v>6</v>
      </c>
      <c r="G524">
        <v>4</v>
      </c>
      <c r="H524" s="1">
        <v>1.261574074074074E-3</v>
      </c>
      <c r="I524">
        <v>2022</v>
      </c>
      <c r="J524" t="s">
        <v>83</v>
      </c>
      <c r="K524" s="2" t="str">
        <f>HYPERLINK("https://www.nba.com/stats/events?CFID=&amp;CFPARAMS=&amp;GameEventID=635&amp;GameID=0022201229&amp;Season=2022-23&amp;flag=1&amp;title=Leonard%2012'%20fadeaway%20Jump%20Shot%20(23%20PTS)", "12' fadeaway Jump Shot (23 PTS)")</f>
        <v>12' fadeaway Jump Shot (23 PTS)</v>
      </c>
      <c r="L524" s="2" t="str">
        <f>HYPERLINK("https://www.nba.com/game/...-vs-...-0022201229/play-by-play?watchFullGame=true", "LAC vs PHX - Q4 01:49.00")</f>
        <v>LAC vs PHX - Q4 01:49.00</v>
      </c>
      <c r="M524">
        <v>12.31</v>
      </c>
      <c r="N524">
        <v>10.199999999999999</v>
      </c>
      <c r="O524">
        <v>26.96</v>
      </c>
      <c r="P524">
        <v>115</v>
      </c>
      <c r="Q524">
        <v>43</v>
      </c>
      <c r="R524">
        <v>10</v>
      </c>
      <c r="S524">
        <v>26</v>
      </c>
    </row>
    <row r="525" spans="1:19" hidden="1" x14ac:dyDescent="0.25">
      <c r="A525">
        <v>41900234</v>
      </c>
      <c r="B525" t="s">
        <v>18</v>
      </c>
      <c r="C525" t="s">
        <v>84</v>
      </c>
      <c r="D525">
        <v>36</v>
      </c>
      <c r="E525">
        <v>21</v>
      </c>
      <c r="F525">
        <v>15</v>
      </c>
      <c r="G525">
        <v>2</v>
      </c>
      <c r="H525" s="1">
        <v>5.9143518518518521E-3</v>
      </c>
      <c r="I525" t="s">
        <v>85</v>
      </c>
      <c r="J525" t="s">
        <v>83</v>
      </c>
      <c r="K525" s="2" t="str">
        <f>HYPERLINK("https://www.nba.com/stats/events?CFID=&amp;CFPARAMS=&amp;GameEventID=230&amp;GameID=0041900234&amp;Season=2019-20&amp;flag=1&amp;title=Leonard%2011'%20jumpshot%20(9%20PTS)", "11' jumpshot (9 PTS)")</f>
        <v>11' jumpshot (9 PTS)</v>
      </c>
      <c r="L525" s="2" t="str">
        <f>HYPERLINK("https://www.nba.com/game/...-vs-...-0041900234/play-by-play?watchFullGame=true", "LAC vs DEN - Q2 08:31.00")</f>
        <v>LAC vs DEN - Q2 08:31.00</v>
      </c>
      <c r="M525">
        <v>10.75</v>
      </c>
      <c r="N525">
        <v>10.99</v>
      </c>
      <c r="O525">
        <v>31.69</v>
      </c>
      <c r="P525">
        <v>92</v>
      </c>
      <c r="Q525">
        <v>51</v>
      </c>
      <c r="R525">
        <v>10</v>
      </c>
      <c r="S525">
        <v>31</v>
      </c>
    </row>
    <row r="526" spans="1:19" hidden="1" x14ac:dyDescent="0.25">
      <c r="A526">
        <v>22400783</v>
      </c>
      <c r="B526" t="s">
        <v>18</v>
      </c>
      <c r="C526" t="s">
        <v>19</v>
      </c>
      <c r="D526">
        <v>43</v>
      </c>
      <c r="E526">
        <v>50</v>
      </c>
      <c r="F526">
        <v>7</v>
      </c>
      <c r="G526">
        <v>2</v>
      </c>
      <c r="H526" s="1">
        <v>4.7916666666666663E-3</v>
      </c>
      <c r="I526">
        <v>2024</v>
      </c>
      <c r="J526" t="s">
        <v>83</v>
      </c>
      <c r="K526" s="2" t="str">
        <f>HYPERLINK("https://www.nba.com/stats/events?CFID=&amp;CFPARAMS=&amp;GameEventID=235&amp;GameID=0022400783&amp;Season=2024-25&amp;flag=1&amp;title=Leonard%208'%20turnaround%20fadeaway%20Jump%20Shot%20(14%20PTS)", "8' turnaround fadeaway Jump Shot (14 PTS)")</f>
        <v>8' turnaround fadeaway Jump Shot (14 PTS)</v>
      </c>
      <c r="L526" s="2" t="str">
        <f>HYPERLINK("https://www.nba.com/game/...-vs-...-0022400783/play-by-play?watchFullGame=true", "LAC vs MEM - Q2 06:54.00")</f>
        <v>LAC vs MEM - Q2 06:54.00</v>
      </c>
      <c r="M526">
        <v>8.83</v>
      </c>
      <c r="N526">
        <v>10.78</v>
      </c>
      <c r="O526">
        <v>64.72</v>
      </c>
      <c r="P526">
        <v>-74</v>
      </c>
      <c r="Q526">
        <v>49</v>
      </c>
      <c r="R526">
        <v>10</v>
      </c>
      <c r="S526">
        <v>64</v>
      </c>
    </row>
    <row r="527" spans="1:19" hidden="1" x14ac:dyDescent="0.25">
      <c r="A527">
        <v>22000091</v>
      </c>
      <c r="B527" t="s">
        <v>18</v>
      </c>
      <c r="C527" t="s">
        <v>19</v>
      </c>
      <c r="D527">
        <v>23</v>
      </c>
      <c r="E527">
        <v>16</v>
      </c>
      <c r="F527">
        <v>7</v>
      </c>
      <c r="G527">
        <v>1</v>
      </c>
      <c r="H527" s="1">
        <v>2.8935185185185184E-3</v>
      </c>
      <c r="I527">
        <v>2020</v>
      </c>
      <c r="J527" t="s">
        <v>83</v>
      </c>
      <c r="K527" s="2" t="str">
        <f>HYPERLINK("https://www.nba.com/stats/events?CFID=&amp;CFPARAMS=&amp;GameEventID=90&amp;GameID=0022000091&amp;Season=2020-21&amp;flag=1&amp;title=Leonard%208'%20turnaround%20Jump%20Shot%20(5%20PTS)", "8' turnaround Jump Shot (5 PTS)")</f>
        <v>8' turnaround Jump Shot (5 PTS)</v>
      </c>
      <c r="L527" s="2" t="str">
        <f>HYPERLINK("https://www.nba.com/game/...-vs-...-0022000091/play-by-play?watchFullGame=true", "LAC vs PHX - Q1 04:10.00")</f>
        <v>LAC vs PHX - Q1 04:10.00</v>
      </c>
      <c r="M527">
        <v>8.34</v>
      </c>
      <c r="N527">
        <v>10.86</v>
      </c>
      <c r="O527">
        <v>36.590000000000003</v>
      </c>
      <c r="P527">
        <v>67</v>
      </c>
      <c r="Q527">
        <v>50</v>
      </c>
      <c r="R527">
        <v>10</v>
      </c>
      <c r="S527">
        <v>36</v>
      </c>
    </row>
    <row r="528" spans="1:19" hidden="1" x14ac:dyDescent="0.25">
      <c r="A528">
        <v>22300688</v>
      </c>
      <c r="B528" t="s">
        <v>18</v>
      </c>
      <c r="C528" t="s">
        <v>19</v>
      </c>
      <c r="D528">
        <v>89</v>
      </c>
      <c r="E528">
        <v>80</v>
      </c>
      <c r="F528">
        <v>9</v>
      </c>
      <c r="G528">
        <v>3</v>
      </c>
      <c r="H528" s="1">
        <v>3.6226851851851854E-3</v>
      </c>
      <c r="I528">
        <v>2023</v>
      </c>
      <c r="J528" t="s">
        <v>83</v>
      </c>
      <c r="K528" s="2" t="str">
        <f>HYPERLINK("https://www.nba.com/stats/events?CFID=&amp;CFPARAMS=&amp;GameEventID=410&amp;GameID=0022300688&amp;Season=2023-24&amp;flag=1&amp;title=Leonard%207'%20fadeaway%20Jump%20Shot%20(31%20PTS)", "7' fadeaway Jump Shot (31 PTS)")</f>
        <v>7' fadeaway Jump Shot (31 PTS)</v>
      </c>
      <c r="L528" s="2" t="str">
        <f>HYPERLINK("https://www.nba.com/game/...-vs-...-0022300688/play-by-play?watchFullGame=true", "LAC vs DET - Q3 05:13.00")</f>
        <v>LAC vs DET - Q3 05:13.00</v>
      </c>
      <c r="M528">
        <v>7.88</v>
      </c>
      <c r="N528">
        <v>10.33</v>
      </c>
      <c r="O528">
        <v>37.01</v>
      </c>
      <c r="P528">
        <v>65</v>
      </c>
      <c r="Q528">
        <v>45</v>
      </c>
      <c r="R528">
        <v>10</v>
      </c>
      <c r="S528">
        <v>37</v>
      </c>
    </row>
    <row r="529" spans="1:19" hidden="1" x14ac:dyDescent="0.25">
      <c r="A529">
        <v>22200438</v>
      </c>
      <c r="B529" t="s">
        <v>18</v>
      </c>
      <c r="C529" t="s">
        <v>19</v>
      </c>
      <c r="D529">
        <v>34</v>
      </c>
      <c r="E529">
        <v>45</v>
      </c>
      <c r="F529">
        <v>11</v>
      </c>
      <c r="G529">
        <v>2</v>
      </c>
      <c r="H529" s="1">
        <v>4.6296296296296294E-3</v>
      </c>
      <c r="I529">
        <v>2022</v>
      </c>
      <c r="J529" t="s">
        <v>83</v>
      </c>
      <c r="K529" s="2" t="str">
        <f>HYPERLINK("https://www.nba.com/stats/events?CFID=&amp;CFPARAMS=&amp;GameEventID=210&amp;GameID=0022200438&amp;Season=2022-23&amp;flag=1&amp;title=Leonard%207'%20step%20back%20Jump%20Shot%20(5%20PTS)", "7' step back Jump Shot (5 PTS)")</f>
        <v>7' step back Jump Shot (5 PTS)</v>
      </c>
      <c r="L529" s="2" t="str">
        <f>HYPERLINK("https://www.nba.com/game/...-vs-...-0022200438/play-by-play?watchFullGame=true", "LAC vs WAS - Q2 06:40.00")</f>
        <v>LAC vs WAS - Q2 06:40.00</v>
      </c>
      <c r="M529">
        <v>7.05</v>
      </c>
      <c r="N529">
        <v>10.43</v>
      </c>
      <c r="O529">
        <v>39.22</v>
      </c>
      <c r="P529">
        <v>54</v>
      </c>
      <c r="Q529">
        <v>46</v>
      </c>
      <c r="R529">
        <v>10</v>
      </c>
      <c r="S529">
        <v>39</v>
      </c>
    </row>
    <row r="530" spans="1:19" hidden="1" x14ac:dyDescent="0.25">
      <c r="A530">
        <v>22300799</v>
      </c>
      <c r="B530" t="s">
        <v>18</v>
      </c>
      <c r="C530" t="s">
        <v>19</v>
      </c>
      <c r="D530">
        <v>59</v>
      </c>
      <c r="E530">
        <v>61</v>
      </c>
      <c r="F530">
        <v>2</v>
      </c>
      <c r="G530">
        <v>2</v>
      </c>
      <c r="H530" s="1">
        <v>9.837962962962962E-4</v>
      </c>
      <c r="I530">
        <v>2023</v>
      </c>
      <c r="J530" t="s">
        <v>83</v>
      </c>
      <c r="K530" s="2" t="str">
        <f>HYPERLINK("https://www.nba.com/stats/events?CFID=&amp;CFPARAMS=&amp;GameEventID=291&amp;GameID=0022300799&amp;Season=2023-24&amp;flag=1&amp;title=Leonard%206'%20driving%20floating%20Jump%20Shot%20(12%20PTS)", "6' driving floating Jump Shot (12 PTS)")</f>
        <v>6' driving floating Jump Shot (12 PTS)</v>
      </c>
      <c r="L530" s="2" t="str">
        <f>HYPERLINK("https://www.nba.com/game/...-vs-...-0022300799/play-by-play?watchFullGame=true", "LAC vs OKC - Q2 01:25.00")</f>
        <v>LAC vs OKC - Q2 01:25.00</v>
      </c>
      <c r="M530">
        <v>6.75</v>
      </c>
      <c r="N530">
        <v>10.07</v>
      </c>
      <c r="O530">
        <v>39.46</v>
      </c>
      <c r="P530">
        <v>53</v>
      </c>
      <c r="Q530">
        <v>42</v>
      </c>
      <c r="R530">
        <v>10</v>
      </c>
      <c r="S530">
        <v>39</v>
      </c>
    </row>
    <row r="531" spans="1:19" hidden="1" x14ac:dyDescent="0.25">
      <c r="A531">
        <v>22000224</v>
      </c>
      <c r="B531" t="s">
        <v>18</v>
      </c>
      <c r="C531" t="s">
        <v>19</v>
      </c>
      <c r="D531">
        <v>88</v>
      </c>
      <c r="E531">
        <v>73</v>
      </c>
      <c r="F531">
        <v>15</v>
      </c>
      <c r="G531">
        <v>3</v>
      </c>
      <c r="H531" s="1">
        <v>1.261574074074074E-3</v>
      </c>
      <c r="I531">
        <v>2020</v>
      </c>
      <c r="J531" t="s">
        <v>83</v>
      </c>
      <c r="K531" s="2" t="str">
        <f>HYPERLINK("https://www.nba.com/stats/events?CFID=&amp;CFPARAMS=&amp;GameEventID=434&amp;GameID=0022000224&amp;Season=2020-21&amp;flag=1&amp;title=Leonard%206'%20driving%20floating%20Jump%20Shot%20(27%20PTS)", "6' driving floating Jump Shot (27 PTS)")</f>
        <v>6' driving floating Jump Shot (27 PTS)</v>
      </c>
      <c r="L531" s="2" t="str">
        <f>HYPERLINK("https://www.nba.com/game/...-vs-...-0022000224/play-by-play?watchFullGame=true", "LAC vs SAC - Q3 01:49.00")</f>
        <v>LAC vs SAC - Q3 01:49.00</v>
      </c>
      <c r="M531">
        <v>6.7</v>
      </c>
      <c r="N531">
        <v>10.86</v>
      </c>
      <c r="O531">
        <v>41</v>
      </c>
      <c r="P531">
        <v>45</v>
      </c>
      <c r="Q531">
        <v>50</v>
      </c>
      <c r="R531">
        <v>10</v>
      </c>
      <c r="S531">
        <v>41</v>
      </c>
    </row>
    <row r="532" spans="1:19" hidden="1" x14ac:dyDescent="0.25">
      <c r="A532">
        <v>22200525</v>
      </c>
      <c r="B532" t="s">
        <v>18</v>
      </c>
      <c r="C532" t="s">
        <v>89</v>
      </c>
      <c r="D532">
        <v>60</v>
      </c>
      <c r="E532">
        <v>65</v>
      </c>
      <c r="F532">
        <v>5</v>
      </c>
      <c r="G532">
        <v>3</v>
      </c>
      <c r="H532" s="1">
        <v>6.3657407407407404E-3</v>
      </c>
      <c r="I532">
        <v>2022</v>
      </c>
      <c r="J532" t="s">
        <v>83</v>
      </c>
      <c r="K532" s="2" t="str">
        <f>HYPERLINK("https://www.nba.com/stats/events?CFID=&amp;CFPARAMS=&amp;GameEventID=347&amp;GameID=0022200525&amp;Season=2022-23&amp;flag=1&amp;title=Leonard%206'%20driving%20bank%20Hook%20(17%20PTS)", "6' driving bank Hook (17 PTS)")</f>
        <v>6' driving bank Hook (17 PTS)</v>
      </c>
      <c r="L532" s="2" t="str">
        <f>HYPERLINK("https://www.nba.com/game/...-vs-...-0022200525/play-by-play?watchFullGame=true", "LAC vs BOS - Q3 09:10.00")</f>
        <v>LAC vs BOS - Q3 09:10.00</v>
      </c>
      <c r="M532">
        <v>6.55</v>
      </c>
      <c r="N532">
        <v>10.07</v>
      </c>
      <c r="O532">
        <v>39.950000000000003</v>
      </c>
      <c r="P532">
        <v>50</v>
      </c>
      <c r="Q532">
        <v>42</v>
      </c>
      <c r="R532">
        <v>10</v>
      </c>
      <c r="S532">
        <v>39</v>
      </c>
    </row>
    <row r="533" spans="1:19" hidden="1" x14ac:dyDescent="0.25">
      <c r="A533">
        <v>42000175</v>
      </c>
      <c r="B533" t="s">
        <v>18</v>
      </c>
      <c r="C533" t="s">
        <v>19</v>
      </c>
      <c r="D533">
        <v>72</v>
      </c>
      <c r="E533">
        <v>67</v>
      </c>
      <c r="F533">
        <v>5</v>
      </c>
      <c r="G533">
        <v>3</v>
      </c>
      <c r="H533" s="1">
        <v>3.5532407407407409E-3</v>
      </c>
      <c r="I533" t="s">
        <v>91</v>
      </c>
      <c r="J533" t="s">
        <v>83</v>
      </c>
      <c r="K533" s="2" t="str">
        <f>HYPERLINK("https://www.nba.com/stats/events?CFID=&amp;CFPARAMS=&amp;GameEventID=425&amp;GameID=0042000175&amp;Season=2020-21&amp;flag=1&amp;title=Leonard%206'%20driving%20floating%20bank%20Jump%20Shot%20(15%20PTS)%20(R.%20Jackson%202%20AST)", "6' driving floating bank Jump Shot (15 PTS) (R. Jackson 2 AST)")</f>
        <v>6' driving floating bank Jump Shot (15 PTS) (R. Jackson 2 AST)</v>
      </c>
      <c r="L533" s="2" t="str">
        <f>HYPERLINK("https://www.nba.com/game/...-vs-...-0042000175/play-by-play?watchFullGame=true", "LAC vs DAL - Q3 05:07.00")</f>
        <v>LAC vs DAL - Q3 05:07.00</v>
      </c>
      <c r="M533">
        <v>6.08</v>
      </c>
      <c r="N533">
        <v>10.99</v>
      </c>
      <c r="O533">
        <v>56.69</v>
      </c>
      <c r="P533">
        <v>10</v>
      </c>
      <c r="Q533">
        <v>56</v>
      </c>
      <c r="R533">
        <v>10</v>
      </c>
      <c r="S533">
        <v>56</v>
      </c>
    </row>
    <row r="534" spans="1:19" hidden="1" x14ac:dyDescent="0.25">
      <c r="A534">
        <v>41900151</v>
      </c>
      <c r="B534" t="s">
        <v>18</v>
      </c>
      <c r="C534" t="s">
        <v>95</v>
      </c>
      <c r="D534">
        <v>97</v>
      </c>
      <c r="E534">
        <v>94</v>
      </c>
      <c r="F534">
        <v>3</v>
      </c>
      <c r="G534">
        <v>4</v>
      </c>
      <c r="H534" s="1">
        <v>4.8842592592592592E-3</v>
      </c>
      <c r="I534" t="s">
        <v>86</v>
      </c>
      <c r="J534" t="s">
        <v>83</v>
      </c>
      <c r="K534" s="2" t="str">
        <f>HYPERLINK("https://www.nba.com/stats/events?CFID=&amp;CFPARAMS=&amp;GameEventID=595&amp;GameID=0041900151&amp;Season=2019-20&amp;flag=1&amp;title=Leonard%206'%20hook%20(21%20PTS)", "6' hook (21 PTS)")</f>
        <v>6' hook (21 PTS)</v>
      </c>
      <c r="L534" s="2" t="str">
        <f>HYPERLINK("https://www.nba.com/game/...-vs-...-0041900151/play-by-play?watchFullGame=true", "LAC vs DAL - Q4 07:02.00")</f>
        <v>LAC vs DAL - Q4 07:02.00</v>
      </c>
      <c r="M534">
        <v>5.91</v>
      </c>
      <c r="N534">
        <v>10.46</v>
      </c>
      <c r="O534">
        <v>44.19</v>
      </c>
      <c r="P534">
        <v>29</v>
      </c>
      <c r="Q534">
        <v>46</v>
      </c>
      <c r="R534">
        <v>10</v>
      </c>
      <c r="S534">
        <v>44</v>
      </c>
    </row>
    <row r="535" spans="1:19" hidden="1" x14ac:dyDescent="0.25">
      <c r="A535">
        <v>21901271</v>
      </c>
      <c r="B535" t="s">
        <v>18</v>
      </c>
      <c r="C535" t="s">
        <v>95</v>
      </c>
      <c r="D535">
        <v>11</v>
      </c>
      <c r="E535">
        <v>9</v>
      </c>
      <c r="F535">
        <v>2</v>
      </c>
      <c r="G535">
        <v>1</v>
      </c>
      <c r="H535" s="1">
        <v>4.43287037037037E-3</v>
      </c>
      <c r="I535">
        <v>2019</v>
      </c>
      <c r="J535" t="s">
        <v>83</v>
      </c>
      <c r="K535" s="2" t="str">
        <f>HYPERLINK("https://www.nba.com/stats/events?CFID=&amp;CFPARAMS=&amp;GameEventID=73&amp;GameID=0021901271&amp;Season=2019-20&amp;flag=1&amp;title=Leonard%206'%20hook%20(2%20PTS)", "6' hook (2 PTS)")</f>
        <v>6' hook (2 PTS)</v>
      </c>
      <c r="L535" s="2" t="str">
        <f>HYPERLINK("https://www.nba.com/game/...-vs-...-0021901271/play-by-play?watchFullGame=true", "LAC vs DAL - Q1 06:23.00")</f>
        <v>LAC vs DAL - Q1 06:23.00</v>
      </c>
      <c r="M535">
        <v>5.69</v>
      </c>
      <c r="N535">
        <v>10.59</v>
      </c>
      <c r="O535">
        <v>45.66</v>
      </c>
      <c r="P535">
        <v>22</v>
      </c>
      <c r="Q535">
        <v>47</v>
      </c>
      <c r="R535">
        <v>10</v>
      </c>
      <c r="S535">
        <v>45</v>
      </c>
    </row>
    <row r="536" spans="1:19" hidden="1" x14ac:dyDescent="0.25">
      <c r="A536">
        <v>22300658</v>
      </c>
      <c r="B536" t="s">
        <v>18</v>
      </c>
      <c r="C536" t="s">
        <v>89</v>
      </c>
      <c r="D536">
        <v>101</v>
      </c>
      <c r="E536">
        <v>109</v>
      </c>
      <c r="F536">
        <v>8</v>
      </c>
      <c r="G536">
        <v>4</v>
      </c>
      <c r="H536" s="1">
        <v>3.0439814814814813E-3</v>
      </c>
      <c r="I536">
        <v>2023</v>
      </c>
      <c r="J536" t="s">
        <v>83</v>
      </c>
      <c r="K536" s="2" t="str">
        <f>HYPERLINK("https://www.nba.com/stats/events?CFID=&amp;CFPARAMS=&amp;GameEventID=594&amp;GameID=0022300658&amp;Season=2023-24&amp;flag=1&amp;title=Leonard%20driving%20Hook%20(30%20PTS)", "Driving Hook (30 PTS)")</f>
        <v>Driving Hook (30 PTS)</v>
      </c>
      <c r="L536" s="2" t="str">
        <f>HYPERLINK("https://www.nba.com/game/...-vs-...-0022300658/play-by-play?watchFullGame=true", "LAC vs CLE - Q4 04:23.00")</f>
        <v>LAC vs CLE - Q4 04:23.00</v>
      </c>
      <c r="M536">
        <v>5.49</v>
      </c>
      <c r="N536">
        <v>10.99</v>
      </c>
      <c r="O536">
        <v>45.83</v>
      </c>
      <c r="P536">
        <v>21</v>
      </c>
      <c r="Q536">
        <v>51</v>
      </c>
      <c r="R536">
        <v>10</v>
      </c>
      <c r="S536">
        <v>45</v>
      </c>
    </row>
    <row r="537" spans="1:19" hidden="1" x14ac:dyDescent="0.25">
      <c r="A537">
        <v>22201096</v>
      </c>
      <c r="B537" t="s">
        <v>18</v>
      </c>
      <c r="C537" t="s">
        <v>89</v>
      </c>
      <c r="D537">
        <v>58</v>
      </c>
      <c r="E537">
        <v>58</v>
      </c>
      <c r="F537">
        <v>0</v>
      </c>
      <c r="G537">
        <v>3</v>
      </c>
      <c r="H537" s="1">
        <v>6.9907407407407409E-3</v>
      </c>
      <c r="I537">
        <v>2022</v>
      </c>
      <c r="J537" t="s">
        <v>83</v>
      </c>
      <c r="K537" s="2" t="str">
        <f>HYPERLINK("https://www.nba.com/stats/events?CFID=&amp;CFPARAMS=&amp;GameEventID=347&amp;GameID=0022201096&amp;Season=2022-23&amp;flag=1&amp;title=Leonard%20turnaround%20Hook%20(17%20PTS)", "Turnaround Hook (17 PTS)")</f>
        <v>Turnaround Hook (17 PTS)</v>
      </c>
      <c r="L537" s="2" t="str">
        <f>HYPERLINK("https://www.nba.com/game/...-vs-...-0022201096/play-by-play?watchFullGame=true", "LAC vs OKC - Q3 10:04.00")</f>
        <v>LAC vs OKC - Q3 10:04.00</v>
      </c>
      <c r="M537">
        <v>5.0999999999999996</v>
      </c>
      <c r="N537">
        <v>10.69</v>
      </c>
      <c r="O537">
        <v>46.57</v>
      </c>
      <c r="P537">
        <v>17</v>
      </c>
      <c r="Q537">
        <v>48</v>
      </c>
      <c r="R537">
        <v>10</v>
      </c>
      <c r="S537">
        <v>46</v>
      </c>
    </row>
    <row r="538" spans="1:19" hidden="1" x14ac:dyDescent="0.25">
      <c r="A538">
        <v>41900231</v>
      </c>
      <c r="B538" t="s">
        <v>18</v>
      </c>
      <c r="C538" t="s">
        <v>84</v>
      </c>
      <c r="D538">
        <v>87</v>
      </c>
      <c r="E538">
        <v>62</v>
      </c>
      <c r="F538">
        <v>25</v>
      </c>
      <c r="G538">
        <v>3</v>
      </c>
      <c r="H538" s="1">
        <v>3.3796296296296296E-3</v>
      </c>
      <c r="I538" t="s">
        <v>85</v>
      </c>
      <c r="J538" t="s">
        <v>83</v>
      </c>
      <c r="K538" s="2" t="str">
        <f>HYPERLINK("https://www.nba.com/stats/events?CFID=&amp;CFPARAMS=&amp;GameEventID=403&amp;GameID=0041900231&amp;Season=2019-20&amp;flag=1&amp;title=Leonard%20jumpshot%20(27%20PTS)", "Jumpshot (27 PTS)")</f>
        <v>Jumpshot (27 PTS)</v>
      </c>
      <c r="L538" s="2" t="str">
        <f>HYPERLINK("https://www.nba.com/game/...-vs-...-0041900231/play-by-play?watchFullGame=true", "LAC vs DEN - Q3 04:52.00")</f>
        <v>LAC vs DEN - Q3 04:52.00</v>
      </c>
      <c r="M538">
        <v>5.01</v>
      </c>
      <c r="N538">
        <v>10.33</v>
      </c>
      <c r="O538">
        <v>50.31</v>
      </c>
      <c r="P538">
        <v>-2</v>
      </c>
      <c r="Q538">
        <v>45</v>
      </c>
      <c r="R538">
        <v>10</v>
      </c>
      <c r="S538">
        <v>50</v>
      </c>
    </row>
    <row r="539" spans="1:19" hidden="1" x14ac:dyDescent="0.25">
      <c r="A539">
        <v>22201162</v>
      </c>
      <c r="B539" t="s">
        <v>18</v>
      </c>
      <c r="C539" t="s">
        <v>19</v>
      </c>
      <c r="D539">
        <v>99</v>
      </c>
      <c r="E539">
        <v>101</v>
      </c>
      <c r="F539">
        <v>2</v>
      </c>
      <c r="G539">
        <v>4</v>
      </c>
      <c r="H539" s="1">
        <v>5.5092592592592589E-3</v>
      </c>
      <c r="I539">
        <v>2022</v>
      </c>
      <c r="J539" t="s">
        <v>83</v>
      </c>
      <c r="K539" s="2" t="str">
        <f>HYPERLINK("https://www.nba.com/stats/events?CFID=&amp;CFPARAMS=&amp;GameEventID=535&amp;GameID=0022201162&amp;Season=2022-23&amp;flag=1&amp;title=Leonard%20turnaround%20fadeaway%20Jump%20Shot%20(31%20PTS)", "Turnaround fadeaway Jump Shot (31 PTS)")</f>
        <v>Turnaround fadeaway Jump Shot (31 PTS)</v>
      </c>
      <c r="L539" s="2" t="str">
        <f>HYPERLINK("https://www.nba.com/game/...-vs-...-0022201162/play-by-play?watchFullGame=true", "LAC vs NOP - Q4 07:56.00")</f>
        <v>LAC vs NOP - Q4 07:56.00</v>
      </c>
      <c r="M539">
        <v>4.9800000000000004</v>
      </c>
      <c r="N539">
        <v>10.33</v>
      </c>
      <c r="O539">
        <v>45.59</v>
      </c>
      <c r="P539">
        <v>22</v>
      </c>
      <c r="Q539">
        <v>45</v>
      </c>
      <c r="R539">
        <v>10</v>
      </c>
      <c r="S539">
        <v>45</v>
      </c>
    </row>
    <row r="540" spans="1:19" hidden="1" x14ac:dyDescent="0.25">
      <c r="A540">
        <v>22000324</v>
      </c>
      <c r="B540" t="s">
        <v>18</v>
      </c>
      <c r="C540" t="s">
        <v>19</v>
      </c>
      <c r="D540">
        <v>5</v>
      </c>
      <c r="E540">
        <v>2</v>
      </c>
      <c r="F540">
        <v>3</v>
      </c>
      <c r="G540">
        <v>1</v>
      </c>
      <c r="H540" s="1">
        <v>7.5231481481481477E-3</v>
      </c>
      <c r="I540">
        <v>2020</v>
      </c>
      <c r="J540" t="s">
        <v>83</v>
      </c>
      <c r="K540" s="2" t="str">
        <f>HYPERLINK("https://www.nba.com/stats/events?CFID=&amp;CFPARAMS=&amp;GameEventID=14&amp;GameID=0022000324&amp;Season=2020-21&amp;flag=1&amp;title=Leonard%20driving%20floating%20Jump%20Shot%20(2%20PTS)", "Driving floating Jump Shot (2 PTS)")</f>
        <v>Driving floating Jump Shot (2 PTS)</v>
      </c>
      <c r="L540" s="2" t="str">
        <f>HYPERLINK("https://www.nba.com/game/...-vs-...-0022000324/play-by-play?watchFullGame=true", "LAC vs BKN - Q1 10:50.00")</f>
        <v>LAC vs BKN - Q1 10:50.00</v>
      </c>
      <c r="M540">
        <v>4.92</v>
      </c>
      <c r="N540">
        <v>10.07</v>
      </c>
      <c r="O540">
        <v>44.92</v>
      </c>
      <c r="P540">
        <v>25</v>
      </c>
      <c r="Q540">
        <v>42</v>
      </c>
      <c r="R540">
        <v>10</v>
      </c>
      <c r="S540">
        <v>44</v>
      </c>
    </row>
    <row r="541" spans="1:19" hidden="1" x14ac:dyDescent="0.25">
      <c r="A541">
        <v>22000224</v>
      </c>
      <c r="B541" t="s">
        <v>18</v>
      </c>
      <c r="C541" t="s">
        <v>89</v>
      </c>
      <c r="D541">
        <v>78</v>
      </c>
      <c r="E541">
        <v>63</v>
      </c>
      <c r="F541">
        <v>15</v>
      </c>
      <c r="G541">
        <v>3</v>
      </c>
      <c r="H541" s="1">
        <v>4.8032407407407407E-3</v>
      </c>
      <c r="I541">
        <v>2020</v>
      </c>
      <c r="J541" t="s">
        <v>83</v>
      </c>
      <c r="K541" s="2" t="str">
        <f>HYPERLINK("https://www.nba.com/stats/events?CFID=&amp;CFPARAMS=&amp;GameEventID=368&amp;GameID=0022000224&amp;Season=2020-21&amp;flag=1&amp;title=Leonard%20turnaround%20Hook%20(23%20PTS)", "Turnaround Hook (23 PTS)")</f>
        <v>Turnaround Hook (23 PTS)</v>
      </c>
      <c r="L541" s="2" t="str">
        <f>HYPERLINK("https://www.nba.com/game/...-vs-...-0022000224/play-by-play?watchFullGame=true", "LAC vs SAC - Q3 06:55.00")</f>
        <v>LAC vs SAC - Q3 06:55.00</v>
      </c>
      <c r="M541">
        <v>4.83</v>
      </c>
      <c r="N541">
        <v>10.73</v>
      </c>
      <c r="O541">
        <v>50.07</v>
      </c>
      <c r="P541">
        <v>10</v>
      </c>
      <c r="Q541">
        <v>48</v>
      </c>
      <c r="R541">
        <v>10</v>
      </c>
      <c r="S541">
        <v>50</v>
      </c>
    </row>
    <row r="542" spans="1:19" hidden="1" x14ac:dyDescent="0.25">
      <c r="A542">
        <v>22200604</v>
      </c>
      <c r="B542" t="s">
        <v>18</v>
      </c>
      <c r="C542" t="s">
        <v>19</v>
      </c>
      <c r="D542">
        <v>78</v>
      </c>
      <c r="E542">
        <v>79</v>
      </c>
      <c r="F542">
        <v>1</v>
      </c>
      <c r="G542">
        <v>3</v>
      </c>
      <c r="H542" s="1">
        <v>2.2222222222222222E-3</v>
      </c>
      <c r="I542">
        <v>2022</v>
      </c>
      <c r="J542" t="s">
        <v>83</v>
      </c>
      <c r="K542" s="2" t="str">
        <f>HYPERLINK("https://www.nba.com/stats/events?CFID=&amp;CFPARAMS=&amp;GameEventID=445&amp;GameID=0022200604&amp;Season=2022-23&amp;flag=1&amp;title=Leonard%20driving%20floating%20Jump%20Shot%20(20%20PTS)", "Driving floating Jump Shot (20 PTS)")</f>
        <v>Driving floating Jump Shot (20 PTS)</v>
      </c>
      <c r="L542" s="2" t="str">
        <f>HYPERLINK("https://www.nba.com/game/...-vs-...-0022200604/play-by-play?watchFullGame=true", "LAC vs ATL - Q3 03:12.00")</f>
        <v>LAC vs ATL - Q3 03:12.00</v>
      </c>
      <c r="M542">
        <v>4.8099999999999996</v>
      </c>
      <c r="N542">
        <v>10.69</v>
      </c>
      <c r="O542">
        <v>50.49</v>
      </c>
      <c r="P542">
        <v>-2</v>
      </c>
      <c r="Q542">
        <v>48</v>
      </c>
      <c r="R542">
        <v>10</v>
      </c>
      <c r="S542">
        <v>50</v>
      </c>
    </row>
    <row r="543" spans="1:19" hidden="1" x14ac:dyDescent="0.25">
      <c r="A543">
        <v>22200016</v>
      </c>
      <c r="B543" t="s">
        <v>18</v>
      </c>
      <c r="C543" t="s">
        <v>89</v>
      </c>
      <c r="D543">
        <v>97</v>
      </c>
      <c r="E543">
        <v>93</v>
      </c>
      <c r="F543">
        <v>4</v>
      </c>
      <c r="G543">
        <v>4</v>
      </c>
      <c r="H543" s="1">
        <v>3.449074074074074E-3</v>
      </c>
      <c r="I543">
        <v>2022</v>
      </c>
      <c r="J543" t="s">
        <v>83</v>
      </c>
      <c r="K543" s="2" t="str">
        <f>HYPERLINK("https://www.nba.com/stats/events?CFID=&amp;CFPARAMS=&amp;GameEventID=643&amp;GameID=0022200016&amp;Season=2022-23&amp;flag=1&amp;title=Leonard%20turnaround%20bank%20Hook%20(12%20PTS)", "Turnaround bank Hook (12 PTS)")</f>
        <v>Turnaround bank Hook (12 PTS)</v>
      </c>
      <c r="L543" s="2" t="str">
        <f>HYPERLINK("https://www.nba.com/game/...-vs-...-0022200016/play-by-play?watchFullGame=true", "LAC vs LAL - Q4 04:58.00")</f>
        <v>LAC vs LAL - Q4 04:58.00</v>
      </c>
      <c r="M543">
        <v>4.8</v>
      </c>
      <c r="N543">
        <v>10.69</v>
      </c>
      <c r="O543">
        <v>50</v>
      </c>
      <c r="P543">
        <v>10</v>
      </c>
      <c r="Q543">
        <v>48</v>
      </c>
      <c r="R543">
        <v>10</v>
      </c>
      <c r="S543">
        <v>50</v>
      </c>
    </row>
    <row r="544" spans="1:19" hidden="1" x14ac:dyDescent="0.25">
      <c r="A544">
        <v>22200795</v>
      </c>
      <c r="B544" t="s">
        <v>18</v>
      </c>
      <c r="C544" t="s">
        <v>19</v>
      </c>
      <c r="D544">
        <v>78</v>
      </c>
      <c r="E544">
        <v>71</v>
      </c>
      <c r="F544">
        <v>7</v>
      </c>
      <c r="G544">
        <v>3</v>
      </c>
      <c r="H544" s="1">
        <v>4.5717592592592589E-3</v>
      </c>
      <c r="I544">
        <v>2022</v>
      </c>
      <c r="J544" t="s">
        <v>83</v>
      </c>
      <c r="K544" s="2" t="str">
        <f>HYPERLINK("https://www.nba.com/stats/events?CFID=&amp;CFPARAMS=&amp;GameEventID=358&amp;GameID=0022200795&amp;Season=2022-23&amp;flag=1&amp;title=Leonard%20driving%20floating%20Jump%20Shot%20(16%20PTS)", "Driving floating Jump Shot (16 PTS)")</f>
        <v>Driving floating Jump Shot (16 PTS)</v>
      </c>
      <c r="L544" s="2" t="str">
        <f>HYPERLINK("https://www.nba.com/game/...-vs-...-0022200795/play-by-play?watchFullGame=true", "LAC vs NYK - Q3 06:35.00")</f>
        <v>LAC vs NYK - Q3 06:35.00</v>
      </c>
      <c r="M544">
        <v>4.63</v>
      </c>
      <c r="N544">
        <v>10.46</v>
      </c>
      <c r="O544">
        <v>51.23</v>
      </c>
      <c r="P544">
        <v>-6</v>
      </c>
      <c r="Q544">
        <v>46</v>
      </c>
      <c r="R544">
        <v>10</v>
      </c>
      <c r="S544">
        <v>51</v>
      </c>
    </row>
    <row r="545" spans="1:19" hidden="1" x14ac:dyDescent="0.25">
      <c r="A545">
        <v>22300956</v>
      </c>
      <c r="B545" t="s">
        <v>18</v>
      </c>
      <c r="C545" t="s">
        <v>19</v>
      </c>
      <c r="D545">
        <v>35</v>
      </c>
      <c r="E545">
        <v>26</v>
      </c>
      <c r="F545">
        <v>9</v>
      </c>
      <c r="G545">
        <v>1</v>
      </c>
      <c r="H545" s="1">
        <v>5.3472222222222224E-4</v>
      </c>
      <c r="I545">
        <v>2023</v>
      </c>
      <c r="J545" t="s">
        <v>83</v>
      </c>
      <c r="K545" s="2" t="str">
        <f>HYPERLINK("https://www.nba.com/stats/events?CFID=&amp;CFPARAMS=&amp;GameEventID=122&amp;GameID=0022300956&amp;Season=2023-24&amp;flag=1&amp;title=Leonard%20floating%20Jump%20Shot%20(12%20PTS)", "Floating Jump Shot (12 PTS)")</f>
        <v>Floating Jump Shot (12 PTS)</v>
      </c>
      <c r="L545" s="2" t="str">
        <f>HYPERLINK("https://www.nba.com/game/...-vs-...-0022300956/play-by-play?watchFullGame=true", "LAC vs CHI - Q1 00:46.20")</f>
        <v>LAC vs CHI - Q1 00:46.20</v>
      </c>
      <c r="M545">
        <v>4.5999999999999996</v>
      </c>
      <c r="N545">
        <v>10.46</v>
      </c>
      <c r="O545">
        <v>50.49</v>
      </c>
      <c r="P545">
        <v>-2</v>
      </c>
      <c r="Q545">
        <v>46</v>
      </c>
      <c r="R545">
        <v>10</v>
      </c>
      <c r="S545">
        <v>50</v>
      </c>
    </row>
    <row r="546" spans="1:19" hidden="1" x14ac:dyDescent="0.25">
      <c r="A546">
        <v>22301079</v>
      </c>
      <c r="B546" t="s">
        <v>18</v>
      </c>
      <c r="C546" t="s">
        <v>19</v>
      </c>
      <c r="D546">
        <v>122</v>
      </c>
      <c r="E546">
        <v>113</v>
      </c>
      <c r="F546">
        <v>9</v>
      </c>
      <c r="G546">
        <v>4</v>
      </c>
      <c r="H546" s="1">
        <v>1.3541666666666667E-3</v>
      </c>
      <c r="I546">
        <v>2023</v>
      </c>
      <c r="J546" t="s">
        <v>83</v>
      </c>
      <c r="K546" s="2" t="str">
        <f>HYPERLINK("https://www.nba.com/stats/events?CFID=&amp;CFPARAMS=&amp;GameEventID=558&amp;GameID=0022301079&amp;Season=2023-24&amp;flag=1&amp;title=Leonard%20fadeaway%20Jump%20Shot%20(22%20PTS)%20(P.%20George%204%20AST)", "Fadeaway Jump Shot (22 PTS) (P. George 4 AST)")</f>
        <v>Fadeaway Jump Shot (22 PTS) (P. George 4 AST)</v>
      </c>
      <c r="L546" s="2" t="str">
        <f>HYPERLINK("https://www.nba.com/game/...-vs-...-0022301079/play-by-play?watchFullGame=true", "LAC vs CHA - Q4 01:57.00")</f>
        <v>LAC vs CHA - Q4 01:57.00</v>
      </c>
      <c r="M546">
        <v>4.46</v>
      </c>
      <c r="N546">
        <v>10.33</v>
      </c>
      <c r="O546">
        <v>50</v>
      </c>
      <c r="P546">
        <v>10</v>
      </c>
      <c r="Q546">
        <v>45</v>
      </c>
      <c r="R546">
        <v>10</v>
      </c>
      <c r="S546">
        <v>50</v>
      </c>
    </row>
    <row r="547" spans="1:19" hidden="1" x14ac:dyDescent="0.25">
      <c r="A547">
        <v>22301043</v>
      </c>
      <c r="B547" t="s">
        <v>18</v>
      </c>
      <c r="C547" t="s">
        <v>87</v>
      </c>
      <c r="D547">
        <v>29</v>
      </c>
      <c r="E547">
        <v>24</v>
      </c>
      <c r="F547">
        <v>5</v>
      </c>
      <c r="G547">
        <v>1</v>
      </c>
      <c r="H547" s="1">
        <v>1.4583333333333334E-3</v>
      </c>
      <c r="I547">
        <v>2023</v>
      </c>
      <c r="J547" t="s">
        <v>83</v>
      </c>
      <c r="K547" s="2" t="str">
        <f>HYPERLINK("https://www.nba.com/stats/events?CFID=&amp;CFPARAMS=&amp;GameEventID=113&amp;GameID=0022301043&amp;Season=2023-24&amp;flag=1&amp;title=Leonard%20driving%20Layup%20(4%20PTS)%20(R.%20Westbrook%202%20AST)", "Driving Layup (4 PTS) (R. Westbrook 2 AST)")</f>
        <v>Driving Layup (4 PTS) (R. Westbrook 2 AST)</v>
      </c>
      <c r="L547" s="2" t="str">
        <f>HYPERLINK("https://www.nba.com/game/...-vs-...-0022301043/play-by-play?watchFullGame=true", "LAC vs IND - Q1 02:06.00")</f>
        <v>LAC vs IND - Q1 02:06.00</v>
      </c>
      <c r="M547">
        <v>4.42</v>
      </c>
      <c r="N547">
        <v>10.17</v>
      </c>
      <c r="O547">
        <v>48.04</v>
      </c>
      <c r="P547">
        <v>10</v>
      </c>
      <c r="Q547">
        <v>43</v>
      </c>
      <c r="R547">
        <v>10</v>
      </c>
      <c r="S547">
        <v>48</v>
      </c>
    </row>
    <row r="548" spans="1:19" hidden="1" x14ac:dyDescent="0.25">
      <c r="A548">
        <v>22001034</v>
      </c>
      <c r="B548" t="s">
        <v>18</v>
      </c>
      <c r="C548" t="s">
        <v>89</v>
      </c>
      <c r="D548">
        <v>50</v>
      </c>
      <c r="E548">
        <v>37</v>
      </c>
      <c r="F548">
        <v>13</v>
      </c>
      <c r="G548">
        <v>2</v>
      </c>
      <c r="H548" s="1">
        <v>3.1134259259259257E-3</v>
      </c>
      <c r="I548">
        <v>2020</v>
      </c>
      <c r="J548" t="s">
        <v>83</v>
      </c>
      <c r="K548" s="2" t="str">
        <f>HYPERLINK("https://www.nba.com/stats/events?CFID=&amp;CFPARAMS=&amp;GameEventID=269&amp;GameID=0022001034&amp;Season=2020-21&amp;flag=1&amp;title=Leonard%20Hook%20(11%20PTS)%20(T.%20Mann%201%20AST)", "Hook (11 PTS) (T. Mann 1 AST)")</f>
        <v>Hook (11 PTS) (T. Mann 1 AST)</v>
      </c>
      <c r="L548" s="2" t="str">
        <f>HYPERLINK("https://www.nba.com/game/...-vs-...-0022001034/play-by-play?watchFullGame=true", "LAC vs TOR - Q2 04:29.00")</f>
        <v>LAC vs TOR - Q2 04:29.00</v>
      </c>
      <c r="M548">
        <v>4.3600000000000003</v>
      </c>
      <c r="N548">
        <v>10.199999999999999</v>
      </c>
      <c r="O548">
        <v>50.8</v>
      </c>
      <c r="P548">
        <v>-4</v>
      </c>
      <c r="Q548">
        <v>43</v>
      </c>
      <c r="R548">
        <v>10</v>
      </c>
      <c r="S548">
        <v>50</v>
      </c>
    </row>
    <row r="549" spans="1:19" hidden="1" x14ac:dyDescent="0.25">
      <c r="A549">
        <v>22300309</v>
      </c>
      <c r="B549" t="s">
        <v>18</v>
      </c>
      <c r="C549" t="s">
        <v>87</v>
      </c>
      <c r="D549">
        <v>72</v>
      </c>
      <c r="E549">
        <v>50</v>
      </c>
      <c r="F549">
        <v>22</v>
      </c>
      <c r="G549">
        <v>3</v>
      </c>
      <c r="H549" s="1">
        <v>7.3842592592592597E-3</v>
      </c>
      <c r="I549">
        <v>2023</v>
      </c>
      <c r="J549" t="s">
        <v>83</v>
      </c>
      <c r="K549" s="2" t="str">
        <f>HYPERLINK("https://www.nba.com/stats/events?CFID=&amp;CFPARAMS=&amp;GameEventID=337&amp;GameID=0022300309&amp;Season=2023-24&amp;flag=1&amp;title=Leonard%20driving%20finger%20roll%20Layup%20(19%20PTS)", "Driving finger roll Layup (19 PTS)")</f>
        <v>Driving finger roll Layup (19 PTS)</v>
      </c>
      <c r="L549" s="2" t="str">
        <f>HYPERLINK("https://www.nba.com/game/...-vs-...-0022300309/play-by-play?watchFullGame=true", "LAC vs SAC - Q3 10:38.00")</f>
        <v>LAC vs SAC - Q3 10:38.00</v>
      </c>
      <c r="M549">
        <v>4.29</v>
      </c>
      <c r="N549">
        <v>10.039999999999999</v>
      </c>
      <c r="O549">
        <v>48.04</v>
      </c>
      <c r="P549">
        <v>10</v>
      </c>
      <c r="Q549">
        <v>42</v>
      </c>
      <c r="R549">
        <v>10</v>
      </c>
      <c r="S549">
        <v>48</v>
      </c>
    </row>
    <row r="550" spans="1:19" hidden="1" x14ac:dyDescent="0.25">
      <c r="A550">
        <v>22300486</v>
      </c>
      <c r="B550" t="s">
        <v>26</v>
      </c>
      <c r="C550" t="s">
        <v>19</v>
      </c>
      <c r="D550">
        <v>70</v>
      </c>
      <c r="E550">
        <v>49</v>
      </c>
      <c r="F550">
        <v>21</v>
      </c>
      <c r="G550">
        <v>3</v>
      </c>
      <c r="H550" s="1">
        <v>5.0810185185185186E-3</v>
      </c>
      <c r="I550">
        <v>2023</v>
      </c>
      <c r="J550" t="s">
        <v>83</v>
      </c>
      <c r="K550" s="2" t="str">
        <f>HYPERLINK("https://www.nba.com/stats/events?CFID=&amp;CFPARAMS=&amp;GameEventID=394&amp;GameID=0022300486&amp;Season=2023-24&amp;flag=1&amp;title=Leonard%203PT%20%20(13%20PTS)%20(I.%20Zubac%202%20AST)", "3PT  (13 PTS) (I. Zubac 2 AST)")</f>
        <v>3PT  (13 PTS) (I. Zubac 2 AST)</v>
      </c>
      <c r="L550" s="2" t="str">
        <f>HYPERLINK("https://www.nba.com/game/...-vs-...-0022300486/play-by-play?watchFullGame=true", "LAC vs NOP - Q3 07:19.00")</f>
        <v>LAC vs NOP - Q3 07:19.00</v>
      </c>
      <c r="M550">
        <v>23.91</v>
      </c>
      <c r="N550">
        <v>11.91</v>
      </c>
      <c r="O550">
        <v>3.68</v>
      </c>
      <c r="P550">
        <v>232</v>
      </c>
      <c r="Q550">
        <v>59</v>
      </c>
      <c r="R550">
        <v>11</v>
      </c>
      <c r="S550">
        <v>3</v>
      </c>
    </row>
    <row r="551" spans="1:19" hidden="1" x14ac:dyDescent="0.25">
      <c r="A551">
        <v>22000720</v>
      </c>
      <c r="B551" t="s">
        <v>26</v>
      </c>
      <c r="C551" t="s">
        <v>19</v>
      </c>
      <c r="D551">
        <v>15</v>
      </c>
      <c r="E551">
        <v>6</v>
      </c>
      <c r="F551">
        <v>9</v>
      </c>
      <c r="G551">
        <v>1</v>
      </c>
      <c r="H551" s="1">
        <v>4.8032407407407407E-3</v>
      </c>
      <c r="I551">
        <v>2020</v>
      </c>
      <c r="J551" t="s">
        <v>83</v>
      </c>
      <c r="K551" s="2" t="str">
        <f>HYPERLINK("https://www.nba.com/stats/events?CFID=&amp;CFPARAMS=&amp;GameEventID=53&amp;GameID=0022000720&amp;Season=2020-21&amp;flag=1&amp;title=Leonard%203PT%20%20(5%20PTS)%20(R.%20Jackson%201%20AST)", "3PT  (5 PTS) (R. Jackson 1 AST)")</f>
        <v>3PT  (5 PTS) (R. Jackson 1 AST)</v>
      </c>
      <c r="L551" s="2" t="str">
        <f>HYPERLINK("https://www.nba.com/game/...-vs-...-0022000720/play-by-play?watchFullGame=true", "LAC vs ORL - Q1 06:55.00")</f>
        <v>LAC vs ORL - Q1 06:55.00</v>
      </c>
      <c r="M551">
        <v>23.43</v>
      </c>
      <c r="N551">
        <v>11.51</v>
      </c>
      <c r="O551">
        <v>4.4800000000000004</v>
      </c>
      <c r="P551">
        <v>228</v>
      </c>
      <c r="Q551">
        <v>56</v>
      </c>
      <c r="R551">
        <v>11</v>
      </c>
      <c r="S551">
        <v>4</v>
      </c>
    </row>
    <row r="552" spans="1:19" hidden="1" x14ac:dyDescent="0.25">
      <c r="A552">
        <v>41900155</v>
      </c>
      <c r="B552" t="s">
        <v>18</v>
      </c>
      <c r="C552" t="s">
        <v>84</v>
      </c>
      <c r="D552">
        <v>76</v>
      </c>
      <c r="E552">
        <v>49</v>
      </c>
      <c r="F552">
        <v>27</v>
      </c>
      <c r="G552">
        <v>2</v>
      </c>
      <c r="H552" s="1">
        <v>1.0648148148148149E-3</v>
      </c>
      <c r="I552" t="s">
        <v>86</v>
      </c>
      <c r="J552" t="s">
        <v>83</v>
      </c>
      <c r="K552" s="2" t="str">
        <f>HYPERLINK("https://www.nba.com/stats/events?CFID=&amp;CFPARAMS=&amp;GameEventID=327&amp;GameID=0041900155&amp;Season=2019-20&amp;flag=1&amp;title=Leonard%2020'%20jumpshot%20(22%20PTS)%20(M.%20Morris%20Sr.%203%20AST)", "20' jumpshot (22 PTS) (M. Morris Sr. 3 AST)")</f>
        <v>20' jumpshot (22 PTS) (M. Morris Sr. 3 AST)</v>
      </c>
      <c r="L552" s="2" t="str">
        <f>HYPERLINK("https://www.nba.com/game/...-vs-...-0041900155/play-by-play?watchFullGame=true", "LAC vs DAL - Q2 01:32.00")</f>
        <v>LAC vs DAL - Q2 01:32.00</v>
      </c>
      <c r="M552">
        <v>19.579999999999998</v>
      </c>
      <c r="N552">
        <v>11.12</v>
      </c>
      <c r="O552">
        <v>12.57</v>
      </c>
      <c r="P552">
        <v>187</v>
      </c>
      <c r="Q552">
        <v>52</v>
      </c>
      <c r="R552">
        <v>11</v>
      </c>
      <c r="S552">
        <v>12</v>
      </c>
    </row>
    <row r="553" spans="1:19" hidden="1" x14ac:dyDescent="0.25">
      <c r="A553">
        <v>42000171</v>
      </c>
      <c r="B553" t="s">
        <v>18</v>
      </c>
      <c r="C553" t="s">
        <v>19</v>
      </c>
      <c r="D553">
        <v>91</v>
      </c>
      <c r="E553">
        <v>90</v>
      </c>
      <c r="F553">
        <v>1</v>
      </c>
      <c r="G553">
        <v>4</v>
      </c>
      <c r="H553" s="1">
        <v>5.6712962962962967E-3</v>
      </c>
      <c r="I553" t="s">
        <v>91</v>
      </c>
      <c r="J553" t="s">
        <v>83</v>
      </c>
      <c r="K553" s="2" t="str">
        <f>HYPERLINK("https://www.nba.com/stats/events?CFID=&amp;CFPARAMS=&amp;GameEventID=513&amp;GameID=0042000171&amp;Season=2020-21&amp;flag=1&amp;title=Leonard%2017'%20step%20back%20Jump%20Shot%20(25%20PTS)", "17' step back Jump Shot (25 PTS)")</f>
        <v>17' step back Jump Shot (25 PTS)</v>
      </c>
      <c r="L553" s="2" t="str">
        <f>HYPERLINK("https://www.nba.com/game/...-vs-...-0042000171/play-by-play?watchFullGame=true", "LAC vs DAL - Q4 08:10.00")</f>
        <v>LAC vs DAL - Q4 08:10.00</v>
      </c>
      <c r="M553">
        <v>17.73</v>
      </c>
      <c r="N553">
        <v>11.78</v>
      </c>
      <c r="O553">
        <v>16.489999999999998</v>
      </c>
      <c r="P553">
        <v>11</v>
      </c>
      <c r="Q553">
        <v>16</v>
      </c>
      <c r="R553">
        <v>11</v>
      </c>
      <c r="S553">
        <v>16</v>
      </c>
    </row>
    <row r="554" spans="1:19" hidden="1" x14ac:dyDescent="0.25">
      <c r="A554">
        <v>42000176</v>
      </c>
      <c r="B554" t="s">
        <v>18</v>
      </c>
      <c r="C554" t="s">
        <v>19</v>
      </c>
      <c r="D554">
        <v>84</v>
      </c>
      <c r="E554">
        <v>82</v>
      </c>
      <c r="F554">
        <v>2</v>
      </c>
      <c r="G554">
        <v>4</v>
      </c>
      <c r="H554" s="1">
        <v>5.5092592592592589E-3</v>
      </c>
      <c r="I554" t="s">
        <v>91</v>
      </c>
      <c r="J554" t="s">
        <v>83</v>
      </c>
      <c r="K554" s="2" t="str">
        <f>HYPERLINK("https://www.nba.com/stats/events?CFID=&amp;CFPARAMS=&amp;GameEventID=527&amp;GameID=0042000176&amp;Season=2020-21&amp;flag=1&amp;title=Leonard%2015'%20turnaround%20Jump%20Shot%20(35%20PTS)%20(R.%20Jackson%203%20AST)", "15' turnaround Jump Shot (35 PTS) (R. Jackson 3 AST)")</f>
        <v>15' turnaround Jump Shot (35 PTS) (R. Jackson 3 AST)</v>
      </c>
      <c r="L554" s="2" t="str">
        <f>HYPERLINK("https://www.nba.com/game/...-vs-...-0042000176/play-by-play?watchFullGame=true", "LAC vs DAL - Q4 07:56.00")</f>
        <v>LAC vs DAL - Q4 07:56.00</v>
      </c>
      <c r="M554">
        <v>15.1</v>
      </c>
      <c r="N554">
        <v>11.12</v>
      </c>
      <c r="O554">
        <v>21.64</v>
      </c>
      <c r="P554">
        <v>11</v>
      </c>
      <c r="Q554">
        <v>21</v>
      </c>
      <c r="R554">
        <v>11</v>
      </c>
      <c r="S554">
        <v>21</v>
      </c>
    </row>
    <row r="555" spans="1:19" hidden="1" x14ac:dyDescent="0.25">
      <c r="A555">
        <v>22400596</v>
      </c>
      <c r="B555" t="s">
        <v>18</v>
      </c>
      <c r="C555" t="s">
        <v>19</v>
      </c>
      <c r="D555">
        <v>83</v>
      </c>
      <c r="E555">
        <v>62</v>
      </c>
      <c r="F555">
        <v>21</v>
      </c>
      <c r="G555">
        <v>3</v>
      </c>
      <c r="H555" s="1">
        <v>3.8541666666666668E-3</v>
      </c>
      <c r="I555">
        <v>2024</v>
      </c>
      <c r="J555" t="s">
        <v>83</v>
      </c>
      <c r="K555" s="2" t="str">
        <f>HYPERLINK("https://www.nba.com/stats/events?CFID=&amp;CFPARAMS=&amp;GameEventID=359&amp;GameID=0022400596&amp;Season=2024-25&amp;flag=1&amp;title=Leonard%2013'%20step%20back%20Jump%20Shot%20(19%20PTS)", "13' step back Jump Shot (19 PTS)")</f>
        <v>13' step back Jump Shot (19 PTS)</v>
      </c>
      <c r="L555" s="2" t="str">
        <f>HYPERLINK("https://www.nba.com/game/...-vs-...-0022400596/play-by-play?watchFullGame=true", "LAC vs LAL - Q3 05:33.00")</f>
        <v>LAC vs LAL - Q3 05:33.00</v>
      </c>
      <c r="M555">
        <v>13.1</v>
      </c>
      <c r="N555">
        <v>11.96</v>
      </c>
      <c r="O555">
        <v>73.31</v>
      </c>
      <c r="P555">
        <v>-117</v>
      </c>
      <c r="Q555">
        <v>60</v>
      </c>
      <c r="R555">
        <v>11</v>
      </c>
      <c r="S555">
        <v>73</v>
      </c>
    </row>
    <row r="556" spans="1:19" hidden="1" x14ac:dyDescent="0.25">
      <c r="A556">
        <v>22301028</v>
      </c>
      <c r="B556" t="s">
        <v>18</v>
      </c>
      <c r="C556" t="s">
        <v>19</v>
      </c>
      <c r="D556">
        <v>60</v>
      </c>
      <c r="E556">
        <v>63</v>
      </c>
      <c r="F556">
        <v>3</v>
      </c>
      <c r="G556">
        <v>3</v>
      </c>
      <c r="H556" s="1">
        <v>7.8703703703703696E-3</v>
      </c>
      <c r="I556">
        <v>2023</v>
      </c>
      <c r="J556" t="s">
        <v>83</v>
      </c>
      <c r="K556" s="2" t="str">
        <f>HYPERLINK("https://www.nba.com/stats/events?CFID=&amp;CFPARAMS=&amp;GameEventID=297&amp;GameID=0022301028&amp;Season=2023-24&amp;flag=1&amp;title=Leonard%2013'%20Jump%20Shot%20(14%20PTS)", "13' Jump Shot (14 PTS)")</f>
        <v>13' Jump Shot (14 PTS)</v>
      </c>
      <c r="L556" s="2" t="str">
        <f>HYPERLINK("https://www.nba.com/game/...-vs-...-0022301028/play-by-play?watchFullGame=true", "LAC vs PHI - Q3 11:20.00")</f>
        <v>LAC vs PHI - Q3 11:20.00</v>
      </c>
      <c r="M556">
        <v>13</v>
      </c>
      <c r="N556">
        <v>11.74</v>
      </c>
      <c r="O556">
        <v>73.28</v>
      </c>
      <c r="P556">
        <v>-116</v>
      </c>
      <c r="Q556">
        <v>58</v>
      </c>
      <c r="R556">
        <v>11</v>
      </c>
      <c r="S556">
        <v>73</v>
      </c>
    </row>
    <row r="557" spans="1:19" hidden="1" x14ac:dyDescent="0.25">
      <c r="A557">
        <v>21900653</v>
      </c>
      <c r="B557" t="s">
        <v>18</v>
      </c>
      <c r="C557" t="s">
        <v>84</v>
      </c>
      <c r="D557">
        <v>9</v>
      </c>
      <c r="E557">
        <v>9</v>
      </c>
      <c r="F557">
        <v>0</v>
      </c>
      <c r="G557">
        <v>1</v>
      </c>
      <c r="H557" s="1">
        <v>4.0393518518518521E-3</v>
      </c>
      <c r="I557">
        <v>2019</v>
      </c>
      <c r="J557" t="s">
        <v>83</v>
      </c>
      <c r="K557" s="2" t="str">
        <f>HYPERLINK("https://www.nba.com/stats/events?CFID=&amp;CFPARAMS=&amp;GameEventID=80&amp;GameID=0021900653&amp;Season=2019-20&amp;flag=1&amp;title=Leonard%2011'%20jumpshot%20(6%20PTS)%20(P.%20Beverley%201%20AST)", "11' jumpshot (6 PTS) (P. Beverley 1 AST)")</f>
        <v>11' jumpshot (6 PTS) (P. Beverley 1 AST)</v>
      </c>
      <c r="L557" s="2" t="str">
        <f>HYPERLINK("https://www.nba.com/game/...-vs-...-0021900653/play-by-play?watchFullGame=true", "LAC vs DAL - Q1 05:49.00")</f>
        <v>LAC vs DAL - Q1 05:49.00</v>
      </c>
      <c r="M557">
        <v>11.15</v>
      </c>
      <c r="N557">
        <v>11.25</v>
      </c>
      <c r="O557">
        <v>68.94</v>
      </c>
      <c r="P557">
        <v>-95</v>
      </c>
      <c r="Q557">
        <v>53</v>
      </c>
      <c r="R557">
        <v>11</v>
      </c>
      <c r="S557">
        <v>68</v>
      </c>
    </row>
    <row r="558" spans="1:19" hidden="1" x14ac:dyDescent="0.25">
      <c r="A558">
        <v>21900589</v>
      </c>
      <c r="B558" t="s">
        <v>18</v>
      </c>
      <c r="C558" t="s">
        <v>84</v>
      </c>
      <c r="D558">
        <v>14</v>
      </c>
      <c r="E558">
        <v>8</v>
      </c>
      <c r="F558">
        <v>6</v>
      </c>
      <c r="G558">
        <v>1</v>
      </c>
      <c r="H558" s="1">
        <v>5.0810185185185186E-3</v>
      </c>
      <c r="I558">
        <v>2019</v>
      </c>
      <c r="J558" t="s">
        <v>83</v>
      </c>
      <c r="K558" s="2" t="str">
        <f>HYPERLINK("https://www.nba.com/stats/events?CFID=&amp;CFPARAMS=&amp;GameEventID=51&amp;GameID=0021900589&amp;Season=2019-20&amp;flag=1&amp;title=Leonard%2011'%20jumpshot%20(4%20PTS)", "11' jumpshot (4 PTS)")</f>
        <v>11' jumpshot (4 PTS)</v>
      </c>
      <c r="L558" s="2" t="str">
        <f>HYPERLINK("https://www.nba.com/game/...-vs-...-0021900589/play-by-play?watchFullGame=true", "LAC vs DEN - Q1 07:19.00")</f>
        <v>LAC vs DEN - Q1 07:19.00</v>
      </c>
      <c r="M558">
        <v>10.64</v>
      </c>
      <c r="N558">
        <v>11.38</v>
      </c>
      <c r="O558">
        <v>32.42</v>
      </c>
      <c r="P558">
        <v>88</v>
      </c>
      <c r="Q558">
        <v>55</v>
      </c>
      <c r="R558">
        <v>11</v>
      </c>
      <c r="S558">
        <v>32</v>
      </c>
    </row>
    <row r="559" spans="1:19" hidden="1" x14ac:dyDescent="0.25">
      <c r="A559">
        <v>22300956</v>
      </c>
      <c r="B559" t="s">
        <v>18</v>
      </c>
      <c r="C559" t="s">
        <v>19</v>
      </c>
      <c r="D559">
        <v>13</v>
      </c>
      <c r="E559">
        <v>6</v>
      </c>
      <c r="F559">
        <v>7</v>
      </c>
      <c r="G559">
        <v>1</v>
      </c>
      <c r="H559" s="1">
        <v>4.4791666666666669E-3</v>
      </c>
      <c r="I559">
        <v>2023</v>
      </c>
      <c r="J559" t="s">
        <v>83</v>
      </c>
      <c r="K559" s="2" t="str">
        <f>HYPERLINK("https://www.nba.com/stats/events?CFID=&amp;CFPARAMS=&amp;GameEventID=62&amp;GameID=0022300956&amp;Season=2023-24&amp;flag=1&amp;title=Leonard%2010'%20fadeaway%20Jump%20Shot%20(6%20PTS)", "10' fadeaway Jump Shot (6 PTS)")</f>
        <v>10' fadeaway Jump Shot (6 PTS)</v>
      </c>
      <c r="L559" s="2" t="str">
        <f>HYPERLINK("https://www.nba.com/game/...-vs-...-0022300956/play-by-play?watchFullGame=true", "LAC vs CHI - Q1 06:27.00")</f>
        <v>LAC vs CHI - Q1 06:27.00</v>
      </c>
      <c r="M559">
        <v>10.48</v>
      </c>
      <c r="N559">
        <v>11.38</v>
      </c>
      <c r="O559">
        <v>67.89</v>
      </c>
      <c r="P559">
        <v>-89</v>
      </c>
      <c r="Q559">
        <v>55</v>
      </c>
      <c r="R559">
        <v>11</v>
      </c>
      <c r="S559">
        <v>67</v>
      </c>
    </row>
    <row r="560" spans="1:19" hidden="1" x14ac:dyDescent="0.25">
      <c r="A560">
        <v>22000717</v>
      </c>
      <c r="B560" t="s">
        <v>18</v>
      </c>
      <c r="C560" t="s">
        <v>19</v>
      </c>
      <c r="D560">
        <v>48</v>
      </c>
      <c r="E560">
        <v>46</v>
      </c>
      <c r="F560">
        <v>2</v>
      </c>
      <c r="G560">
        <v>2</v>
      </c>
      <c r="H560" s="1">
        <v>2.1064814814814813E-3</v>
      </c>
      <c r="I560">
        <v>2020</v>
      </c>
      <c r="J560" t="s">
        <v>83</v>
      </c>
      <c r="K560" s="2" t="str">
        <f>HYPERLINK("https://www.nba.com/stats/events?CFID=&amp;CFPARAMS=&amp;GameEventID=252&amp;GameID=0022000717&amp;Season=2020-21&amp;flag=1&amp;title=Leonard%2010'%20pullup%20Jump%20Shot%20(12%20PTS)", "10' pullup Jump Shot (12 PTS)")</f>
        <v>10' pullup Jump Shot (12 PTS)</v>
      </c>
      <c r="L560" s="2" t="str">
        <f>HYPERLINK("https://www.nba.com/game/...-vs-...-0022000717/play-by-play?watchFullGame=true", "LAC vs MIL - Q2 03:02.00")</f>
        <v>LAC vs MIL - Q2 03:02.00</v>
      </c>
      <c r="M560">
        <v>10.29</v>
      </c>
      <c r="N560">
        <v>11.78</v>
      </c>
      <c r="O560">
        <v>66.98</v>
      </c>
      <c r="P560">
        <v>-85</v>
      </c>
      <c r="Q560">
        <v>58</v>
      </c>
      <c r="R560">
        <v>11</v>
      </c>
      <c r="S560">
        <v>66</v>
      </c>
    </row>
    <row r="561" spans="1:19" hidden="1" x14ac:dyDescent="0.25">
      <c r="A561">
        <v>41900155</v>
      </c>
      <c r="B561" t="s">
        <v>18</v>
      </c>
      <c r="C561" t="s">
        <v>84</v>
      </c>
      <c r="D561">
        <v>11</v>
      </c>
      <c r="E561">
        <v>16</v>
      </c>
      <c r="F561">
        <v>5</v>
      </c>
      <c r="G561">
        <v>1</v>
      </c>
      <c r="H561" s="1">
        <v>5.6481481481481478E-3</v>
      </c>
      <c r="I561" t="s">
        <v>86</v>
      </c>
      <c r="J561" t="s">
        <v>83</v>
      </c>
      <c r="K561" s="2" t="str">
        <f>HYPERLINK("https://www.nba.com/stats/events?CFID=&amp;CFPARAMS=&amp;GameEventID=40&amp;GameID=0041900155&amp;Season=2019-20&amp;flag=1&amp;title=Leonard%209'%20jumpshot%20(2%20PTS)", "9' jumpshot (2 PTS)")</f>
        <v>9' jumpshot (2 PTS)</v>
      </c>
      <c r="L561" s="2" t="str">
        <f>HYPERLINK("https://www.nba.com/game/...-vs-...-0041900155/play-by-play?watchFullGame=true", "LAC vs DAL - Q1 08:08.00")</f>
        <v>LAC vs DAL - Q1 08:08.00</v>
      </c>
      <c r="M561">
        <v>9.1999999999999993</v>
      </c>
      <c r="N561">
        <v>11.25</v>
      </c>
      <c r="O561">
        <v>35.85</v>
      </c>
      <c r="P561">
        <v>71</v>
      </c>
      <c r="Q561">
        <v>53</v>
      </c>
      <c r="R561">
        <v>11</v>
      </c>
      <c r="S561">
        <v>35</v>
      </c>
    </row>
    <row r="562" spans="1:19" hidden="1" x14ac:dyDescent="0.25">
      <c r="A562">
        <v>21901291</v>
      </c>
      <c r="B562" t="s">
        <v>18</v>
      </c>
      <c r="C562" t="s">
        <v>84</v>
      </c>
      <c r="D562">
        <v>109</v>
      </c>
      <c r="E562">
        <v>118</v>
      </c>
      <c r="F562">
        <v>9</v>
      </c>
      <c r="G562">
        <v>4</v>
      </c>
      <c r="H562" s="1">
        <v>2.1064814814814813E-3</v>
      </c>
      <c r="I562">
        <v>2019</v>
      </c>
      <c r="J562" t="s">
        <v>83</v>
      </c>
      <c r="K562" s="2" t="str">
        <f>HYPERLINK("https://www.nba.com/stats/events?CFID=&amp;CFPARAMS=&amp;GameEventID=629&amp;GameID=0021901291&amp;Season=2019-20&amp;flag=1&amp;title=Leonard%209'%20jumpshot%20(34%20PTS)%20(M.%20Morris%20Sr.%202%20AST)", "9' jumpshot (34 PTS) (M. Morris Sr. 2 AST)")</f>
        <v>9' jumpshot (34 PTS) (M. Morris Sr. 2 AST)</v>
      </c>
      <c r="L562" s="2" t="str">
        <f>HYPERLINK("https://www.nba.com/game/...-vs-...-0021901291/play-by-play?watchFullGame=true", "LAC vs BKN - Q4 03:02.00")</f>
        <v>LAC vs BKN - Q4 03:02.00</v>
      </c>
      <c r="M562">
        <v>8.82</v>
      </c>
      <c r="N562">
        <v>11.65</v>
      </c>
      <c r="O562">
        <v>37.57</v>
      </c>
      <c r="P562">
        <v>62</v>
      </c>
      <c r="Q562">
        <v>57</v>
      </c>
      <c r="R562">
        <v>11</v>
      </c>
      <c r="S562">
        <v>37</v>
      </c>
    </row>
    <row r="563" spans="1:19" hidden="1" x14ac:dyDescent="0.25">
      <c r="A563">
        <v>22000328</v>
      </c>
      <c r="B563" t="s">
        <v>18</v>
      </c>
      <c r="C563" t="s">
        <v>89</v>
      </c>
      <c r="D563">
        <v>43</v>
      </c>
      <c r="E563">
        <v>45</v>
      </c>
      <c r="F563">
        <v>2</v>
      </c>
      <c r="G563">
        <v>2</v>
      </c>
      <c r="H563" s="1">
        <v>1.724537037037037E-3</v>
      </c>
      <c r="I563">
        <v>2020</v>
      </c>
      <c r="J563" t="s">
        <v>83</v>
      </c>
      <c r="K563" s="2" t="str">
        <f>HYPERLINK("https://www.nba.com/stats/events?CFID=&amp;CFPARAMS=&amp;GameEventID=256&amp;GameID=0022000328&amp;Season=2020-21&amp;flag=1&amp;title=Leonard%208'%20driving%20Hook%20(14%20PTS)", "8' driving Hook (14 PTS)")</f>
        <v>8' driving Hook (14 PTS)</v>
      </c>
      <c r="L563" s="2" t="str">
        <f>HYPERLINK("https://www.nba.com/game/...-vs-...-0022000328/play-by-play?watchFullGame=true", "LAC vs CLE - Q2 02:29.00")</f>
        <v>LAC vs CLE - Q2 02:29.00</v>
      </c>
      <c r="M563">
        <v>8.7799999999999994</v>
      </c>
      <c r="N563">
        <v>11.78</v>
      </c>
      <c r="O563">
        <v>36.83</v>
      </c>
      <c r="P563">
        <v>66</v>
      </c>
      <c r="Q563">
        <v>58</v>
      </c>
      <c r="R563">
        <v>11</v>
      </c>
      <c r="S563">
        <v>36</v>
      </c>
    </row>
    <row r="564" spans="1:19" hidden="1" x14ac:dyDescent="0.25">
      <c r="A564">
        <v>22000488</v>
      </c>
      <c r="B564" t="s">
        <v>18</v>
      </c>
      <c r="C564" t="s">
        <v>19</v>
      </c>
      <c r="D564">
        <v>74</v>
      </c>
      <c r="E564">
        <v>57</v>
      </c>
      <c r="F564">
        <v>17</v>
      </c>
      <c r="G564">
        <v>3</v>
      </c>
      <c r="H564" s="1">
        <v>8.0092592592592594E-3</v>
      </c>
      <c r="I564">
        <v>2020</v>
      </c>
      <c r="J564" t="s">
        <v>83</v>
      </c>
      <c r="K564" s="2" t="str">
        <f>HYPERLINK("https://www.nba.com/stats/events?CFID=&amp;CFPARAMS=&amp;GameEventID=329&amp;GameID=0022000488&amp;Season=2020-21&amp;flag=1&amp;title=Leonard%208'%20driving%20floating%20bank%20Jump%20Shot%20(18%20PTS)", "8' driving floating bank Jump Shot (18 PTS)")</f>
        <v>8' driving floating bank Jump Shot (18 PTS)</v>
      </c>
      <c r="L564" s="2" t="str">
        <f>HYPERLINK("https://www.nba.com/game/...-vs-...-0022000488/play-by-play?watchFullGame=true", "LAC vs WAS - Q3 11:32.00")</f>
        <v>LAC vs WAS - Q3 11:32.00</v>
      </c>
      <c r="M564">
        <v>8.4499999999999993</v>
      </c>
      <c r="N564">
        <v>11.38</v>
      </c>
      <c r="O564">
        <v>37.08</v>
      </c>
      <c r="P564">
        <v>65</v>
      </c>
      <c r="Q564">
        <v>55</v>
      </c>
      <c r="R564">
        <v>11</v>
      </c>
      <c r="S564">
        <v>37</v>
      </c>
    </row>
    <row r="565" spans="1:19" hidden="1" x14ac:dyDescent="0.25">
      <c r="A565">
        <v>22300553</v>
      </c>
      <c r="B565" t="s">
        <v>18</v>
      </c>
      <c r="C565" t="s">
        <v>19</v>
      </c>
      <c r="D565">
        <v>10</v>
      </c>
      <c r="E565">
        <v>21</v>
      </c>
      <c r="F565">
        <v>11</v>
      </c>
      <c r="G565">
        <v>1</v>
      </c>
      <c r="H565" s="1">
        <v>2.4421296296296296E-3</v>
      </c>
      <c r="I565">
        <v>2023</v>
      </c>
      <c r="J565" t="s">
        <v>83</v>
      </c>
      <c r="K565" s="2" t="str">
        <f>HYPERLINK("https://www.nba.com/stats/events?CFID=&amp;CFPARAMS=&amp;GameEventID=94&amp;GameID=0022300553&amp;Season=2023-24&amp;flag=1&amp;title=Leonard%208'%20Jump%20Shot%20(6%20PTS)%20(R.%20Westbrook%201%20AST)", "8' Jump Shot (6 PTS) (R. Westbrook 1 AST)")</f>
        <v>8' Jump Shot (6 PTS) (R. Westbrook 1 AST)</v>
      </c>
      <c r="L565" s="2" t="str">
        <f>HYPERLINK("https://www.nba.com/game/...-vs-...-0022300553/play-by-play?watchFullGame=true", "LAC vs MIN - Q1 03:31.00")</f>
        <v>LAC vs MIN - Q1 03:31.00</v>
      </c>
      <c r="M565">
        <v>8.41</v>
      </c>
      <c r="N565">
        <v>11.7</v>
      </c>
      <c r="O565">
        <v>62.28</v>
      </c>
      <c r="P565">
        <v>-61</v>
      </c>
      <c r="Q565">
        <v>57</v>
      </c>
      <c r="R565">
        <v>11</v>
      </c>
      <c r="S565">
        <v>62</v>
      </c>
    </row>
    <row r="566" spans="1:19" hidden="1" x14ac:dyDescent="0.25">
      <c r="A566">
        <v>22200932</v>
      </c>
      <c r="B566" t="s">
        <v>18</v>
      </c>
      <c r="C566" t="s">
        <v>19</v>
      </c>
      <c r="D566">
        <v>75</v>
      </c>
      <c r="E566">
        <v>79</v>
      </c>
      <c r="F566">
        <v>4</v>
      </c>
      <c r="G566">
        <v>3</v>
      </c>
      <c r="H566" s="1">
        <v>1.4120370370370369E-3</v>
      </c>
      <c r="I566">
        <v>2022</v>
      </c>
      <c r="J566" t="s">
        <v>83</v>
      </c>
      <c r="K566" s="2" t="str">
        <f>HYPERLINK("https://www.nba.com/stats/events?CFID=&amp;CFPARAMS=&amp;GameEventID=488&amp;GameID=0022200932&amp;Season=2022-23&amp;flag=1&amp;title=Leonard%208'%20fadeaway%20Jump%20Shot%20(20%20PTS)", "8' fadeaway Jump Shot (20 PTS)")</f>
        <v>8' fadeaway Jump Shot (20 PTS)</v>
      </c>
      <c r="L566" s="2" t="str">
        <f>HYPERLINK("https://www.nba.com/game/...-vs-...-0022200932/play-by-play?watchFullGame=true", "LAC vs MIN - Q3 02:02.00")</f>
        <v>LAC vs MIN - Q3 02:02.00</v>
      </c>
      <c r="M566">
        <v>8.35</v>
      </c>
      <c r="N566">
        <v>11.61</v>
      </c>
      <c r="O566">
        <v>37.75</v>
      </c>
      <c r="P566">
        <v>61</v>
      </c>
      <c r="Q566">
        <v>57</v>
      </c>
      <c r="R566">
        <v>11</v>
      </c>
      <c r="S566">
        <v>37</v>
      </c>
    </row>
    <row r="567" spans="1:19" hidden="1" x14ac:dyDescent="0.25">
      <c r="A567">
        <v>22300799</v>
      </c>
      <c r="B567" t="s">
        <v>18</v>
      </c>
      <c r="C567" t="s">
        <v>19</v>
      </c>
      <c r="D567">
        <v>25</v>
      </c>
      <c r="E567">
        <v>19</v>
      </c>
      <c r="F567">
        <v>6</v>
      </c>
      <c r="G567">
        <v>1</v>
      </c>
      <c r="H567" s="1">
        <v>2.7546296296296294E-3</v>
      </c>
      <c r="I567">
        <v>2023</v>
      </c>
      <c r="J567" t="s">
        <v>83</v>
      </c>
      <c r="K567" s="2" t="str">
        <f>HYPERLINK("https://www.nba.com/stats/events?CFID=&amp;CFPARAMS=&amp;GameEventID=94&amp;GameID=0022300799&amp;Season=2023-24&amp;flag=1&amp;title=Leonard%208'%20driving%20bank%20Jump%20Shot%20(6%20PTS)", "8' driving bank Jump Shot (6 PTS)")</f>
        <v>8' driving bank Jump Shot (6 PTS)</v>
      </c>
      <c r="L567" s="2" t="str">
        <f>HYPERLINK("https://www.nba.com/game/...-vs-...-0022300799/play-by-play?watchFullGame=true", "LAC vs OKC - Q1 03:58.00")</f>
        <v>LAC vs OKC - Q1 03:58.00</v>
      </c>
      <c r="M567">
        <v>8.1199999999999992</v>
      </c>
      <c r="N567">
        <v>11.25</v>
      </c>
      <c r="O567">
        <v>37.75</v>
      </c>
      <c r="P567">
        <v>61</v>
      </c>
      <c r="Q567">
        <v>53</v>
      </c>
      <c r="R567">
        <v>11</v>
      </c>
      <c r="S567">
        <v>37</v>
      </c>
    </row>
    <row r="568" spans="1:19" hidden="1" x14ac:dyDescent="0.25">
      <c r="A568">
        <v>22300273</v>
      </c>
      <c r="B568" t="s">
        <v>18</v>
      </c>
      <c r="C568" t="s">
        <v>87</v>
      </c>
      <c r="D568">
        <v>73</v>
      </c>
      <c r="E568">
        <v>82</v>
      </c>
      <c r="F568">
        <v>9</v>
      </c>
      <c r="G568">
        <v>3</v>
      </c>
      <c r="H568" s="1">
        <v>2.0254629629629629E-3</v>
      </c>
      <c r="I568">
        <v>2023</v>
      </c>
      <c r="J568" t="s">
        <v>83</v>
      </c>
      <c r="K568" s="2" t="str">
        <f>HYPERLINK("https://www.nba.com/stats/events?CFID=&amp;CFPARAMS=&amp;GameEventID=436&amp;GameID=0022300273&amp;Season=2023-24&amp;flag=1&amp;title=Leonard%207'%20driving%20Layup%20(21%20PTS)%20(R.%20Westbrook%202%20AST)", "7' driving Layup (21 PTS) (R. Westbrook 2 AST)")</f>
        <v>7' driving Layup (21 PTS) (R. Westbrook 2 AST)</v>
      </c>
      <c r="L568" s="2" t="str">
        <f>HYPERLINK("https://www.nba.com/game/...-vs-...-0022300273/play-by-play?watchFullGame=true", "LAC vs GSW - Q3 02:55.00")</f>
        <v>LAC vs GSW - Q3 02:55.00</v>
      </c>
      <c r="M568">
        <v>7.09</v>
      </c>
      <c r="N568">
        <v>11.38</v>
      </c>
      <c r="O568">
        <v>40.93</v>
      </c>
      <c r="P568">
        <v>45</v>
      </c>
      <c r="Q568">
        <v>55</v>
      </c>
      <c r="R568">
        <v>11</v>
      </c>
      <c r="S568">
        <v>40</v>
      </c>
    </row>
    <row r="569" spans="1:19" hidden="1" x14ac:dyDescent="0.25">
      <c r="A569">
        <v>22000675</v>
      </c>
      <c r="B569" t="s">
        <v>18</v>
      </c>
      <c r="C569" t="s">
        <v>87</v>
      </c>
      <c r="D569">
        <v>30</v>
      </c>
      <c r="E569">
        <v>15</v>
      </c>
      <c r="F569">
        <v>15</v>
      </c>
      <c r="G569">
        <v>1</v>
      </c>
      <c r="H569" s="1">
        <v>2.3379629629629631E-3</v>
      </c>
      <c r="I569">
        <v>2020</v>
      </c>
      <c r="J569" t="s">
        <v>83</v>
      </c>
      <c r="K569" s="2" t="str">
        <f>HYPERLINK("https://www.nba.com/stats/events?CFID=&amp;CFPARAMS=&amp;GameEventID=101&amp;GameID=0022000675&amp;Season=2020-21&amp;flag=1&amp;title=Leonard%206'%20driving%20Layup%20(7%20PTS)%20(N.%20Batum%202%20AST)", "6' driving Layup (7 PTS) (N. Batum 2 AST)")</f>
        <v>6' driving Layup (7 PTS) (N. Batum 2 AST)</v>
      </c>
      <c r="L569" s="2" t="str">
        <f>HYPERLINK("https://www.nba.com/game/...-vs-...-0022000675/play-by-play?watchFullGame=true", "LAC vs SAS - Q1 03:22.00")</f>
        <v>LAC vs SAS - Q1 03:22.00</v>
      </c>
      <c r="M569">
        <v>6.91</v>
      </c>
      <c r="N569">
        <v>11.38</v>
      </c>
      <c r="O569">
        <v>41.49</v>
      </c>
      <c r="P569">
        <v>43</v>
      </c>
      <c r="Q569">
        <v>55</v>
      </c>
      <c r="R569">
        <v>11</v>
      </c>
      <c r="S569">
        <v>41</v>
      </c>
    </row>
    <row r="570" spans="1:19" hidden="1" x14ac:dyDescent="0.25">
      <c r="A570">
        <v>21900016</v>
      </c>
      <c r="B570" t="s">
        <v>18</v>
      </c>
      <c r="C570" t="s">
        <v>90</v>
      </c>
      <c r="D570">
        <v>18</v>
      </c>
      <c r="E570">
        <v>10</v>
      </c>
      <c r="F570">
        <v>8</v>
      </c>
      <c r="G570">
        <v>1</v>
      </c>
      <c r="H570" s="1">
        <v>4.5138888888888885E-3</v>
      </c>
      <c r="I570">
        <v>2019</v>
      </c>
      <c r="J570" t="s">
        <v>83</v>
      </c>
      <c r="K570" s="2" t="str">
        <f>HYPERLINK("https://www.nba.com/stats/events?CFID=&amp;CFPARAMS=&amp;GameEventID=72&amp;GameID=0021900016&amp;Season=2019-20&amp;flag=1&amp;title=[LAC]%20Leonard%20layup:%20Made%20(4%20PTS)", "[LAC] Leonard layup: Made (4 PTS)")</f>
        <v>[LAC] Leonard layup: Made (4 PTS)</v>
      </c>
      <c r="L570" s="2" t="str">
        <f>HYPERLINK("https://www.nba.com/game/...-vs-...-0021900016/play-by-play?watchFullGame=true", "LAC vs GSW - Q1 06:30.00")</f>
        <v>LAC vs GSW - Q1 06:30.00</v>
      </c>
      <c r="M570">
        <v>6.83</v>
      </c>
      <c r="N570">
        <v>11.51</v>
      </c>
      <c r="O570">
        <v>43.94</v>
      </c>
      <c r="P570">
        <v>30</v>
      </c>
      <c r="Q570">
        <v>56</v>
      </c>
      <c r="R570">
        <v>11</v>
      </c>
      <c r="S570">
        <v>43</v>
      </c>
    </row>
    <row r="571" spans="1:19" hidden="1" x14ac:dyDescent="0.25">
      <c r="A571">
        <v>21900359</v>
      </c>
      <c r="B571" t="s">
        <v>18</v>
      </c>
      <c r="C571" t="s">
        <v>84</v>
      </c>
      <c r="D571">
        <v>59</v>
      </c>
      <c r="E571">
        <v>46</v>
      </c>
      <c r="F571">
        <v>13</v>
      </c>
      <c r="G571">
        <v>2</v>
      </c>
      <c r="H571" s="1">
        <v>6.2037037037037041E-4</v>
      </c>
      <c r="I571">
        <v>2019</v>
      </c>
      <c r="J571" t="s">
        <v>83</v>
      </c>
      <c r="K571" s="2" t="str">
        <f>HYPERLINK("https://www.nba.com/stats/events?CFID=&amp;CFPARAMS=&amp;GameEventID=339&amp;GameID=0021900359&amp;Season=2019-20&amp;flag=1&amp;title=Leonard%206'%20jumpshot%20(11%20PTS)", "6' jumpshot (11 PTS)")</f>
        <v>6' jumpshot (11 PTS)</v>
      </c>
      <c r="L571" s="2" t="str">
        <f>HYPERLINK("https://www.nba.com/game/...-vs-...-0021900359/play-by-play?watchFullGame=true", "LAC vs TOR - Q2 00:53.60")</f>
        <v>LAC vs TOR - Q2 00:53.60</v>
      </c>
      <c r="M571">
        <v>6.41</v>
      </c>
      <c r="N571">
        <v>11.78</v>
      </c>
      <c r="O571">
        <v>48.6</v>
      </c>
      <c r="P571">
        <v>7</v>
      </c>
      <c r="Q571">
        <v>58</v>
      </c>
      <c r="R571">
        <v>11</v>
      </c>
      <c r="S571">
        <v>48</v>
      </c>
    </row>
    <row r="572" spans="1:19" hidden="1" x14ac:dyDescent="0.25">
      <c r="A572">
        <v>21901271</v>
      </c>
      <c r="B572" t="s">
        <v>18</v>
      </c>
      <c r="C572" t="s">
        <v>84</v>
      </c>
      <c r="D572">
        <v>44</v>
      </c>
      <c r="E572">
        <v>42</v>
      </c>
      <c r="F572">
        <v>2</v>
      </c>
      <c r="G572">
        <v>2</v>
      </c>
      <c r="H572" s="1">
        <v>3.4375E-3</v>
      </c>
      <c r="I572">
        <v>2019</v>
      </c>
      <c r="J572" t="s">
        <v>83</v>
      </c>
      <c r="K572" s="2" t="str">
        <f>HYPERLINK("https://www.nba.com/stats/events?CFID=&amp;CFPARAMS=&amp;GameEventID=266&amp;GameID=0021901271&amp;Season=2019-20&amp;flag=1&amp;title=Leonard%206'%20jumpshot%20(7%20PTS)%20(L.%20Shamet%202%20AST)", "6' jumpshot (7 PTS) (L. Shamet 2 AST)")</f>
        <v>6' jumpshot (7 PTS) (L. Shamet 2 AST)</v>
      </c>
      <c r="L572" s="2" t="str">
        <f>HYPERLINK("https://www.nba.com/game/...-vs-...-0021901271/play-by-play?watchFullGame=true", "LAC vs DAL - Q2 04:57.00")</f>
        <v>LAC vs DAL - Q2 04:57.00</v>
      </c>
      <c r="M572">
        <v>6.41</v>
      </c>
      <c r="N572">
        <v>11.25</v>
      </c>
      <c r="O572">
        <v>44.92</v>
      </c>
      <c r="P572">
        <v>25</v>
      </c>
      <c r="Q572">
        <v>53</v>
      </c>
      <c r="R572">
        <v>11</v>
      </c>
      <c r="S572">
        <v>44</v>
      </c>
    </row>
    <row r="573" spans="1:19" hidden="1" x14ac:dyDescent="0.25">
      <c r="A573">
        <v>22300127</v>
      </c>
      <c r="B573" t="s">
        <v>18</v>
      </c>
      <c r="C573" t="s">
        <v>19</v>
      </c>
      <c r="D573">
        <v>97</v>
      </c>
      <c r="E573">
        <v>100</v>
      </c>
      <c r="F573">
        <v>3</v>
      </c>
      <c r="G573">
        <v>4</v>
      </c>
      <c r="H573" s="1">
        <v>5.0231481481481481E-3</v>
      </c>
      <c r="I573">
        <v>2023</v>
      </c>
      <c r="J573" t="s">
        <v>83</v>
      </c>
      <c r="K573" s="2" t="str">
        <f>HYPERLINK("https://www.nba.com/stats/events?CFID=&amp;CFPARAMS=&amp;GameEventID=573&amp;GameID=0022300127&amp;Season=2023-24&amp;flag=1&amp;title=Leonard%206'%20driving%20floating%20Jump%20Shot%20(30%20PTS)%20(R.%20Westbrook%205%20AST)", "6' driving floating Jump Shot (30 PTS) (R. Westbrook 5 AST)")</f>
        <v>6' driving floating Jump Shot (30 PTS) (R. Westbrook 5 AST)</v>
      </c>
      <c r="L573" s="2" t="str">
        <f>HYPERLINK("https://www.nba.com/game/...-vs-...-0022300127/play-by-play?watchFullGame=true", "LAC vs LAL - Q4 07:14.00")</f>
        <v>LAC vs LAL - Q4 07:14.00</v>
      </c>
      <c r="M573">
        <v>6.39</v>
      </c>
      <c r="N573">
        <v>11.74</v>
      </c>
      <c r="O573">
        <v>44.61</v>
      </c>
      <c r="P573">
        <v>27</v>
      </c>
      <c r="Q573">
        <v>58</v>
      </c>
      <c r="R573">
        <v>11</v>
      </c>
      <c r="S573">
        <v>44</v>
      </c>
    </row>
    <row r="574" spans="1:19" hidden="1" x14ac:dyDescent="0.25">
      <c r="A574">
        <v>21900292</v>
      </c>
      <c r="B574" t="s">
        <v>18</v>
      </c>
      <c r="C574" t="s">
        <v>84</v>
      </c>
      <c r="D574">
        <v>127</v>
      </c>
      <c r="E574">
        <v>105</v>
      </c>
      <c r="F574">
        <v>22</v>
      </c>
      <c r="G574">
        <v>4</v>
      </c>
      <c r="H574" s="1">
        <v>5.9027777777777776E-3</v>
      </c>
      <c r="I574">
        <v>2019</v>
      </c>
      <c r="J574" t="s">
        <v>83</v>
      </c>
      <c r="K574" s="2" t="str">
        <f>HYPERLINK("https://www.nba.com/stats/events?CFID=&amp;CFPARAMS=&amp;GameEventID=622&amp;GameID=0021900292&amp;Season=2019-20&amp;flag=1&amp;title=Leonard%206'%20jumpshot%20(27%20PTS)", "6' jumpshot (27 PTS)")</f>
        <v>6' jumpshot (27 PTS)</v>
      </c>
      <c r="L574" s="2" t="str">
        <f>HYPERLINK("https://www.nba.com/game/...-vs-...-0021900292/play-by-play?watchFullGame=true", "LAC vs WAS - Q4 08:30.00")</f>
        <v>LAC vs WAS - Q4 08:30.00</v>
      </c>
      <c r="M574">
        <v>6.34</v>
      </c>
      <c r="N574">
        <v>11.74</v>
      </c>
      <c r="O574">
        <v>50.18</v>
      </c>
      <c r="P574">
        <v>-1</v>
      </c>
      <c r="Q574">
        <v>58</v>
      </c>
      <c r="R574">
        <v>11</v>
      </c>
      <c r="S574">
        <v>50</v>
      </c>
    </row>
    <row r="575" spans="1:19" hidden="1" x14ac:dyDescent="0.25">
      <c r="A575">
        <v>21900618</v>
      </c>
      <c r="B575" t="s">
        <v>18</v>
      </c>
      <c r="C575" t="s">
        <v>84</v>
      </c>
      <c r="D575">
        <v>80</v>
      </c>
      <c r="E575">
        <v>59</v>
      </c>
      <c r="F575">
        <v>21</v>
      </c>
      <c r="G575">
        <v>3</v>
      </c>
      <c r="H575" s="1">
        <v>5.4282407407407404E-3</v>
      </c>
      <c r="I575">
        <v>2019</v>
      </c>
      <c r="J575" t="s">
        <v>83</v>
      </c>
      <c r="K575" s="2" t="str">
        <f>HYPERLINK("https://www.nba.com/stats/events?CFID=&amp;CFPARAMS=&amp;GameEventID=366&amp;GameID=0021900618&amp;Season=2019-20&amp;flag=1&amp;title=Leonard%206'%20jumpshot%20(30%20PTS)", "6' jumpshot (30 PTS)")</f>
        <v>6' jumpshot (30 PTS)</v>
      </c>
      <c r="L575" s="2" t="str">
        <f>HYPERLINK("https://www.nba.com/game/...-vs-...-0021900618/play-by-play?watchFullGame=true", "LAC vs ORL - Q3 07:49.00")</f>
        <v>LAC vs ORL - Q3 07:49.00</v>
      </c>
      <c r="M575">
        <v>6.22</v>
      </c>
      <c r="N575">
        <v>11.61</v>
      </c>
      <c r="O575">
        <v>50.42</v>
      </c>
      <c r="P575">
        <v>-2</v>
      </c>
      <c r="Q575">
        <v>57</v>
      </c>
      <c r="R575">
        <v>11</v>
      </c>
      <c r="S575">
        <v>50</v>
      </c>
    </row>
    <row r="576" spans="1:19" hidden="1" x14ac:dyDescent="0.25">
      <c r="A576">
        <v>22000142</v>
      </c>
      <c r="B576" t="s">
        <v>18</v>
      </c>
      <c r="C576" t="s">
        <v>89</v>
      </c>
      <c r="D576">
        <v>48</v>
      </c>
      <c r="E576">
        <v>50</v>
      </c>
      <c r="F576">
        <v>2</v>
      </c>
      <c r="G576">
        <v>2</v>
      </c>
      <c r="H576" s="1">
        <v>2.1064814814814813E-3</v>
      </c>
      <c r="I576">
        <v>2020</v>
      </c>
      <c r="J576" t="s">
        <v>83</v>
      </c>
      <c r="K576" s="2" t="str">
        <f>HYPERLINK("https://www.nba.com/stats/events?CFID=&amp;CFPARAMS=&amp;GameEventID=278&amp;GameID=0022000142&amp;Season=2020-21&amp;flag=1&amp;title=Leonard%206'%20turnaround%20Hook%20(12%20PTS)", "6' turnaround Hook (12 PTS)")</f>
        <v>6' turnaround Hook (12 PTS)</v>
      </c>
      <c r="L576" s="2" t="str">
        <f>HYPERLINK("https://www.nba.com/game/...-vs-...-0022000142/play-by-play?watchFullGame=true", "LAC vs CHI - Q2 03:02.00")</f>
        <v>LAC vs CHI - Q2 03:02.00</v>
      </c>
      <c r="M576">
        <v>6.12</v>
      </c>
      <c r="N576">
        <v>11.65</v>
      </c>
      <c r="O576">
        <v>54.48</v>
      </c>
      <c r="P576">
        <v>-22</v>
      </c>
      <c r="Q576">
        <v>57</v>
      </c>
      <c r="R576">
        <v>11</v>
      </c>
      <c r="S576">
        <v>54</v>
      </c>
    </row>
    <row r="577" spans="1:19" hidden="1" x14ac:dyDescent="0.25">
      <c r="A577">
        <v>22400733</v>
      </c>
      <c r="B577" t="s">
        <v>18</v>
      </c>
      <c r="C577" t="s">
        <v>19</v>
      </c>
      <c r="D577">
        <v>94</v>
      </c>
      <c r="E577">
        <v>92</v>
      </c>
      <c r="F577">
        <v>2</v>
      </c>
      <c r="G577">
        <v>4</v>
      </c>
      <c r="H577" s="1">
        <v>6.0069444444444441E-3</v>
      </c>
      <c r="I577">
        <v>2024</v>
      </c>
      <c r="J577" t="s">
        <v>83</v>
      </c>
      <c r="K577" s="2" t="str">
        <f>HYPERLINK("https://www.nba.com/stats/events?CFID=&amp;CFPARAMS=&amp;GameEventID=524&amp;GameID=0022400733&amp;Season=2024-25&amp;flag=1&amp;title=Leonard%206'%20driving%20floating%20Jump%20Shot%20(12%20PTS)", "6' driving floating Jump Shot (12 PTS)")</f>
        <v>6' driving floating Jump Shot (12 PTS)</v>
      </c>
      <c r="L577" s="2" t="str">
        <f>HYPERLINK("https://www.nba.com/game/...-vs-...-0022400733/play-by-play?watchFullGame=true", "LAC vs IND - Q4 08:39.00")</f>
        <v>LAC vs IND - Q4 08:39.00</v>
      </c>
      <c r="M577">
        <v>6.09</v>
      </c>
      <c r="N577">
        <v>11.51</v>
      </c>
      <c r="O577">
        <v>45.1</v>
      </c>
      <c r="P577">
        <v>25</v>
      </c>
      <c r="Q577">
        <v>56</v>
      </c>
      <c r="R577">
        <v>11</v>
      </c>
      <c r="S577">
        <v>45</v>
      </c>
    </row>
    <row r="578" spans="1:19" hidden="1" x14ac:dyDescent="0.25">
      <c r="A578">
        <v>22001047</v>
      </c>
      <c r="B578" t="s">
        <v>18</v>
      </c>
      <c r="C578" t="s">
        <v>19</v>
      </c>
      <c r="D578">
        <v>28</v>
      </c>
      <c r="E578">
        <v>23</v>
      </c>
      <c r="F578">
        <v>5</v>
      </c>
      <c r="G578">
        <v>1</v>
      </c>
      <c r="H578" s="1">
        <v>5.6250000000000007E-4</v>
      </c>
      <c r="I578">
        <v>2020</v>
      </c>
      <c r="J578" t="s">
        <v>83</v>
      </c>
      <c r="K578" s="2" t="str">
        <f>HYPERLINK("https://www.nba.com/stats/events?CFID=&amp;CFPARAMS=&amp;GameEventID=129&amp;GameID=0022001047&amp;Season=2020-21&amp;flag=1&amp;title=Leonard%206'%20driving%20floating%20Jump%20Shot%20(2%20PTS)", "6' driving floating Jump Shot (2 PTS)")</f>
        <v>6' driving floating Jump Shot (2 PTS)</v>
      </c>
      <c r="L578" s="2" t="str">
        <f>HYPERLINK("https://www.nba.com/game/...-vs-...-0022001047/play-by-play?watchFullGame=true", "LAC vs CHA - Q1 00:48.60")</f>
        <v>LAC vs CHA - Q1 00:48.60</v>
      </c>
      <c r="M578">
        <v>6.02</v>
      </c>
      <c r="N578">
        <v>11.51</v>
      </c>
      <c r="O578">
        <v>45.41</v>
      </c>
      <c r="P578">
        <v>23</v>
      </c>
      <c r="Q578">
        <v>56</v>
      </c>
      <c r="R578">
        <v>11</v>
      </c>
      <c r="S578">
        <v>45</v>
      </c>
    </row>
    <row r="579" spans="1:19" hidden="1" x14ac:dyDescent="0.25">
      <c r="A579">
        <v>22300873</v>
      </c>
      <c r="B579" t="s">
        <v>18</v>
      </c>
      <c r="C579" t="s">
        <v>89</v>
      </c>
      <c r="D579">
        <v>39</v>
      </c>
      <c r="E579">
        <v>40</v>
      </c>
      <c r="F579">
        <v>1</v>
      </c>
      <c r="G579">
        <v>2</v>
      </c>
      <c r="H579" s="1">
        <v>2.9861111111111113E-3</v>
      </c>
      <c r="I579">
        <v>2023</v>
      </c>
      <c r="J579" t="s">
        <v>83</v>
      </c>
      <c r="K579" s="2" t="str">
        <f>HYPERLINK("https://www.nba.com/stats/events?CFID=&amp;CFPARAMS=&amp;GameEventID=225&amp;GameID=0022300873&amp;Season=2023-24&amp;flag=1&amp;title=Leonard%206'%20Hook%20(9%20PTS)%20(J.%20Harden%204%20AST)", "6' Hook (9 PTS) (J. Harden 4 AST)")</f>
        <v>6' Hook (9 PTS) (J. Harden 4 AST)</v>
      </c>
      <c r="L579" s="2" t="str">
        <f>HYPERLINK("https://www.nba.com/game/...-vs-...-0022300873/play-by-play?watchFullGame=true", "LAC vs MIN - Q2 04:18.00")</f>
        <v>LAC vs MIN - Q2 04:18.00</v>
      </c>
      <c r="M579">
        <v>6</v>
      </c>
      <c r="N579">
        <v>11.78</v>
      </c>
      <c r="O579">
        <v>47.06</v>
      </c>
      <c r="P579">
        <v>15</v>
      </c>
      <c r="Q579">
        <v>58</v>
      </c>
      <c r="R579">
        <v>11</v>
      </c>
      <c r="S579">
        <v>47</v>
      </c>
    </row>
    <row r="580" spans="1:19" hidden="1" x14ac:dyDescent="0.25">
      <c r="A580">
        <v>22301052</v>
      </c>
      <c r="B580" t="s">
        <v>18</v>
      </c>
      <c r="C580" t="s">
        <v>19</v>
      </c>
      <c r="D580">
        <v>94</v>
      </c>
      <c r="E580">
        <v>97</v>
      </c>
      <c r="F580">
        <v>3</v>
      </c>
      <c r="G580">
        <v>4</v>
      </c>
      <c r="H580" s="1">
        <v>2.9976851851851853E-3</v>
      </c>
      <c r="I580">
        <v>2023</v>
      </c>
      <c r="J580" t="s">
        <v>83</v>
      </c>
      <c r="K580" s="2" t="str">
        <f>HYPERLINK("https://www.nba.com/stats/events?CFID=&amp;CFPARAMS=&amp;GameEventID=552&amp;GameID=0022301052&amp;Season=2023-24&amp;flag=1&amp;title=Leonard%20turnaround%20Jump%20Shot%20(11%20PTS)", "Turnaround Jump Shot (11 PTS)")</f>
        <v>Turnaround Jump Shot (11 PTS)</v>
      </c>
      <c r="L580" s="2" t="str">
        <f>HYPERLINK("https://www.nba.com/game/...-vs-...-0022301052/play-by-play?watchFullGame=true", "LAC vs PHI - Q4 04:19.00")</f>
        <v>LAC vs PHI - Q4 04:19.00</v>
      </c>
      <c r="M580">
        <v>5.96</v>
      </c>
      <c r="N580">
        <v>11.61</v>
      </c>
      <c r="O580">
        <v>46.32</v>
      </c>
      <c r="P580">
        <v>18</v>
      </c>
      <c r="Q580">
        <v>57</v>
      </c>
      <c r="R580">
        <v>11</v>
      </c>
      <c r="S580">
        <v>46</v>
      </c>
    </row>
    <row r="581" spans="1:19" hidden="1" x14ac:dyDescent="0.25">
      <c r="A581">
        <v>22300273</v>
      </c>
      <c r="B581" t="s">
        <v>18</v>
      </c>
      <c r="C581" t="s">
        <v>87</v>
      </c>
      <c r="D581">
        <v>104</v>
      </c>
      <c r="E581">
        <v>111</v>
      </c>
      <c r="F581">
        <v>7</v>
      </c>
      <c r="G581">
        <v>4</v>
      </c>
      <c r="H581" s="1">
        <v>1.0300925925925926E-3</v>
      </c>
      <c r="I581">
        <v>2023</v>
      </c>
      <c r="J581" t="s">
        <v>83</v>
      </c>
      <c r="K581" s="2" t="str">
        <f>HYPERLINK("https://www.nba.com/stats/events?CFID=&amp;CFPARAMS=&amp;GameEventID=631&amp;GameID=0022300273&amp;Season=2023-24&amp;flag=1&amp;title=Leonard%20running%20finger%20roll%20Layup%20(23%20PTS)%20(P.%20George%2010%20AST)", "Running finger roll Layup (23 PTS) (P. George 10 AST)")</f>
        <v>Running finger roll Layup (23 PTS) (P. George 10 AST)</v>
      </c>
      <c r="L581" s="2" t="str">
        <f>HYPERLINK("https://www.nba.com/game/...-vs-...-0022300273/play-by-play?watchFullGame=true", "LAC vs GSW - Q4 01:29.00")</f>
        <v>LAC vs GSW - Q4 01:29.00</v>
      </c>
      <c r="M581">
        <v>5.83</v>
      </c>
      <c r="N581">
        <v>11.38</v>
      </c>
      <c r="O581">
        <v>45.83</v>
      </c>
      <c r="P581">
        <v>21</v>
      </c>
      <c r="Q581">
        <v>55</v>
      </c>
      <c r="R581">
        <v>11</v>
      </c>
      <c r="S581">
        <v>45</v>
      </c>
    </row>
    <row r="582" spans="1:19" hidden="1" x14ac:dyDescent="0.25">
      <c r="A582">
        <v>22000701</v>
      </c>
      <c r="B582" t="s">
        <v>18</v>
      </c>
      <c r="C582" t="s">
        <v>89</v>
      </c>
      <c r="D582">
        <v>50</v>
      </c>
      <c r="E582">
        <v>48</v>
      </c>
      <c r="F582">
        <v>2</v>
      </c>
      <c r="G582">
        <v>2</v>
      </c>
      <c r="H582" s="1">
        <v>3.8657407407407408E-3</v>
      </c>
      <c r="I582">
        <v>2020</v>
      </c>
      <c r="J582" t="s">
        <v>83</v>
      </c>
      <c r="K582" s="2" t="str">
        <f>HYPERLINK("https://www.nba.com/stats/events?CFID=&amp;CFPARAMS=&amp;GameEventID=249&amp;GameID=0022000701&amp;Season=2020-21&amp;flag=1&amp;title=Leonard%20turnaround%20Hook%20(9%20PTS)", "Turnaround Hook (9 PTS)")</f>
        <v>Turnaround Hook (9 PTS)</v>
      </c>
      <c r="L582" s="2" t="str">
        <f>HYPERLINK("https://www.nba.com/game/...-vs-...-0022000701/play-by-play?watchFullGame=true", "LAC vs PHI - Q2 05:34.00")</f>
        <v>LAC vs PHI - Q2 05:34.00</v>
      </c>
      <c r="M582">
        <v>5.81</v>
      </c>
      <c r="N582">
        <v>11.74</v>
      </c>
      <c r="O582">
        <v>48.95</v>
      </c>
      <c r="P582">
        <v>5</v>
      </c>
      <c r="Q582">
        <v>58</v>
      </c>
      <c r="R582">
        <v>11</v>
      </c>
      <c r="S582">
        <v>48</v>
      </c>
    </row>
    <row r="583" spans="1:19" hidden="1" x14ac:dyDescent="0.25">
      <c r="A583">
        <v>22300873</v>
      </c>
      <c r="B583" t="s">
        <v>18</v>
      </c>
      <c r="C583" t="s">
        <v>87</v>
      </c>
      <c r="D583">
        <v>37</v>
      </c>
      <c r="E583">
        <v>37</v>
      </c>
      <c r="F583">
        <v>0</v>
      </c>
      <c r="G583">
        <v>2</v>
      </c>
      <c r="H583" s="1">
        <v>3.3796296296296296E-3</v>
      </c>
      <c r="I583">
        <v>2023</v>
      </c>
      <c r="J583" t="s">
        <v>83</v>
      </c>
      <c r="K583" s="2" t="str">
        <f>HYPERLINK("https://www.nba.com/stats/events?CFID=&amp;CFPARAMS=&amp;GameEventID=221&amp;GameID=0022300873&amp;Season=2023-24&amp;flag=1&amp;title=Leonard%20finger%20roll%20Layup%20(7%20PTS)%20(J.%20Harden%203%20AST)", "Finger roll Layup (7 PTS) (J. Harden 3 AST)")</f>
        <v>Finger roll Layup (7 PTS) (J. Harden 3 AST)</v>
      </c>
      <c r="L583" s="2" t="str">
        <f>HYPERLINK("https://www.nba.com/game/...-vs-...-0022300873/play-by-play?watchFullGame=true", "LAC vs MIN - Q2 04:52.00")</f>
        <v>LAC vs MIN - Q2 04:52.00</v>
      </c>
      <c r="M583">
        <v>5.79</v>
      </c>
      <c r="N583">
        <v>11.56</v>
      </c>
      <c r="O583">
        <v>47.24</v>
      </c>
      <c r="P583">
        <v>14</v>
      </c>
      <c r="Q583">
        <v>56</v>
      </c>
      <c r="R583">
        <v>11</v>
      </c>
      <c r="S583">
        <v>47</v>
      </c>
    </row>
    <row r="584" spans="1:19" hidden="1" x14ac:dyDescent="0.25">
      <c r="A584">
        <v>22201112</v>
      </c>
      <c r="B584" t="s">
        <v>18</v>
      </c>
      <c r="C584" t="s">
        <v>89</v>
      </c>
      <c r="D584">
        <v>46</v>
      </c>
      <c r="E584">
        <v>54</v>
      </c>
      <c r="F584">
        <v>8</v>
      </c>
      <c r="G584">
        <v>2</v>
      </c>
      <c r="H584" s="1">
        <v>2.8472222222222223E-3</v>
      </c>
      <c r="I584">
        <v>2022</v>
      </c>
      <c r="J584" t="s">
        <v>83</v>
      </c>
      <c r="K584" s="2" t="str">
        <f>HYPERLINK("https://www.nba.com/stats/events?CFID=&amp;CFPARAMS=&amp;GameEventID=260&amp;GameID=0022201112&amp;Season=2022-23&amp;flag=1&amp;title=Leonard%20Hook%20(7%20PTS)", "Hook (7 PTS)")</f>
        <v>Hook (7 PTS)</v>
      </c>
      <c r="L584" s="2" t="str">
        <f>HYPERLINK("https://www.nba.com/game/...-vs-...-0022201112/play-by-play?watchFullGame=true", "LAC vs NOP - Q2 04:06.00")</f>
        <v>LAC vs NOP - Q2 04:06.00</v>
      </c>
      <c r="M584">
        <v>5.55</v>
      </c>
      <c r="N584">
        <v>11.48</v>
      </c>
      <c r="O584">
        <v>50.49</v>
      </c>
      <c r="P584">
        <v>-2</v>
      </c>
      <c r="Q584">
        <v>55</v>
      </c>
      <c r="R584">
        <v>11</v>
      </c>
      <c r="S584">
        <v>50</v>
      </c>
    </row>
    <row r="585" spans="1:19" hidden="1" x14ac:dyDescent="0.25">
      <c r="A585">
        <v>22300646</v>
      </c>
      <c r="B585" t="s">
        <v>18</v>
      </c>
      <c r="C585" t="s">
        <v>89</v>
      </c>
      <c r="D585">
        <v>62</v>
      </c>
      <c r="E585">
        <v>46</v>
      </c>
      <c r="F585">
        <v>16</v>
      </c>
      <c r="G585">
        <v>3</v>
      </c>
      <c r="H585" s="1">
        <v>6.1111111111111114E-3</v>
      </c>
      <c r="I585">
        <v>2023</v>
      </c>
      <c r="J585" t="s">
        <v>83</v>
      </c>
      <c r="K585" s="2" t="str">
        <f>HYPERLINK("https://www.nba.com/stats/events?CFID=&amp;CFPARAMS=&amp;GameEventID=359&amp;GameID=0022300646&amp;Season=2023-24&amp;flag=1&amp;title=Leonard%20driving%20Hook%20(14%20PTS)", "Driving Hook (14 PTS)")</f>
        <v>Driving Hook (14 PTS)</v>
      </c>
      <c r="L585" s="2" t="str">
        <f>HYPERLINK("https://www.nba.com/game/...-vs-...-0022300646/play-by-play?watchFullGame=true", "LAC vs BOS - Q3 08:48.00")</f>
        <v>LAC vs BOS - Q3 08:48.00</v>
      </c>
      <c r="M585">
        <v>5.46</v>
      </c>
      <c r="N585">
        <v>11.38</v>
      </c>
      <c r="O585">
        <v>49.51</v>
      </c>
      <c r="P585">
        <v>2</v>
      </c>
      <c r="Q585">
        <v>55</v>
      </c>
      <c r="R585">
        <v>11</v>
      </c>
      <c r="S585">
        <v>49</v>
      </c>
    </row>
    <row r="586" spans="1:19" hidden="1" x14ac:dyDescent="0.25">
      <c r="A586">
        <v>22300223</v>
      </c>
      <c r="B586" t="s">
        <v>18</v>
      </c>
      <c r="C586" t="s">
        <v>87</v>
      </c>
      <c r="D586">
        <v>84</v>
      </c>
      <c r="E586">
        <v>66</v>
      </c>
      <c r="F586">
        <v>18</v>
      </c>
      <c r="G586">
        <v>3</v>
      </c>
      <c r="H586" s="1">
        <v>3.425925925925926E-3</v>
      </c>
      <c r="I586">
        <v>2023</v>
      </c>
      <c r="J586" t="s">
        <v>83</v>
      </c>
      <c r="K586" s="2" t="str">
        <f>HYPERLINK("https://www.nba.com/stats/events?CFID=&amp;CFPARAMS=&amp;GameEventID=396&amp;GameID=0022300223&amp;Season=2023-24&amp;flag=1&amp;title=Leonard%20driving%20Layup%20(21%20PTS)", "Driving Layup (21 PTS)")</f>
        <v>Driving Layup (21 PTS)</v>
      </c>
      <c r="L586" s="2" t="str">
        <f>HYPERLINK("https://www.nba.com/game/...-vs-...-0022300223/play-by-play?watchFullGame=true", "LAC vs SAS - Q3 04:56.00")</f>
        <v>LAC vs SAS - Q3 04:56.00</v>
      </c>
      <c r="M586">
        <v>5.44</v>
      </c>
      <c r="N586">
        <v>11.12</v>
      </c>
      <c r="O586">
        <v>46.81</v>
      </c>
      <c r="P586">
        <v>16</v>
      </c>
      <c r="Q586">
        <v>52</v>
      </c>
      <c r="R586">
        <v>11</v>
      </c>
      <c r="S586">
        <v>46</v>
      </c>
    </row>
    <row r="587" spans="1:19" hidden="1" x14ac:dyDescent="0.25">
      <c r="A587">
        <v>22301079</v>
      </c>
      <c r="B587" t="s">
        <v>18</v>
      </c>
      <c r="C587" t="s">
        <v>19</v>
      </c>
      <c r="D587">
        <v>88</v>
      </c>
      <c r="E587">
        <v>80</v>
      </c>
      <c r="F587">
        <v>8</v>
      </c>
      <c r="G587">
        <v>3</v>
      </c>
      <c r="H587" s="1">
        <v>2.3032407407407407E-3</v>
      </c>
      <c r="I587">
        <v>2023</v>
      </c>
      <c r="J587" t="s">
        <v>83</v>
      </c>
      <c r="K587" s="2" t="str">
        <f>HYPERLINK("https://www.nba.com/stats/events?CFID=&amp;CFPARAMS=&amp;GameEventID=393&amp;GameID=0022301079&amp;Season=2023-24&amp;flag=1&amp;title=Leonard%20step%20back%20Jump%20Shot%20(15%20PTS)", "Step back Jump Shot (15 PTS)")</f>
        <v>Step back Jump Shot (15 PTS)</v>
      </c>
      <c r="L587" s="2" t="str">
        <f>HYPERLINK("https://www.nba.com/game/...-vs-...-0022301079/play-by-play?watchFullGame=true", "LAC vs CHA - Q3 03:19.00")</f>
        <v>LAC vs CHA - Q3 03:19.00</v>
      </c>
      <c r="M587">
        <v>5.38</v>
      </c>
      <c r="N587">
        <v>11.25</v>
      </c>
      <c r="O587">
        <v>48.53</v>
      </c>
      <c r="P587">
        <v>7</v>
      </c>
      <c r="Q587">
        <v>53</v>
      </c>
      <c r="R587">
        <v>11</v>
      </c>
      <c r="S587">
        <v>48</v>
      </c>
    </row>
    <row r="588" spans="1:19" hidden="1" x14ac:dyDescent="0.25">
      <c r="A588">
        <v>22300309</v>
      </c>
      <c r="B588" t="s">
        <v>26</v>
      </c>
      <c r="C588" t="s">
        <v>19</v>
      </c>
      <c r="D588">
        <v>95</v>
      </c>
      <c r="E588">
        <v>66</v>
      </c>
      <c r="F588">
        <v>29</v>
      </c>
      <c r="G588">
        <v>3</v>
      </c>
      <c r="H588" s="1">
        <v>1.1921296296296296E-3</v>
      </c>
      <c r="I588">
        <v>2023</v>
      </c>
      <c r="J588" t="s">
        <v>83</v>
      </c>
      <c r="K588" s="2" t="str">
        <f>HYPERLINK("https://www.nba.com/stats/events?CFID=&amp;CFPARAMS=&amp;GameEventID=472&amp;GameID=0022300309&amp;Season=2023-24&amp;flag=1&amp;title=Leonard%2024'%203PT%20%20(27%20PTS)%20(R.%20Westbrook%202%20AST)", "24' 3PT  (27 PTS) (R. Westbrook 2 AST)")</f>
        <v>24' 3PT  (27 PTS) (R. Westbrook 2 AST)</v>
      </c>
      <c r="L588" s="2" t="str">
        <f>HYPERLINK("https://www.nba.com/game/...-vs-...-0022300309/play-by-play?watchFullGame=true", "LAC vs SAC - Q3 01:43.00")</f>
        <v>LAC vs SAC - Q3 01:43.00</v>
      </c>
      <c r="M588">
        <v>24.28</v>
      </c>
      <c r="N588">
        <v>12.93</v>
      </c>
      <c r="O588">
        <v>96.57</v>
      </c>
      <c r="P588">
        <v>-233</v>
      </c>
      <c r="Q588">
        <v>69</v>
      </c>
      <c r="R588">
        <v>12</v>
      </c>
      <c r="S588">
        <v>96</v>
      </c>
    </row>
    <row r="589" spans="1:19" hidden="1" x14ac:dyDescent="0.25">
      <c r="A589">
        <v>22201004</v>
      </c>
      <c r="B589" t="s">
        <v>26</v>
      </c>
      <c r="C589" t="s">
        <v>19</v>
      </c>
      <c r="D589">
        <v>55</v>
      </c>
      <c r="E589">
        <v>55</v>
      </c>
      <c r="F589">
        <v>0</v>
      </c>
      <c r="G589">
        <v>3</v>
      </c>
      <c r="H589" s="1">
        <v>6.4814814814814813E-3</v>
      </c>
      <c r="I589">
        <v>2022</v>
      </c>
      <c r="J589" t="s">
        <v>83</v>
      </c>
      <c r="K589" s="2" t="str">
        <f>HYPERLINK("https://www.nba.com/stats/events?CFID=&amp;CFPARAMS=&amp;GameEventID=346&amp;GameID=0022201004&amp;Season=2022-23&amp;flag=1&amp;title=Leonard%203PT%20%20(16%20PTS)", "3PT  (16 PTS)")</f>
        <v>3PT  (16 PTS)</v>
      </c>
      <c r="L589" s="2" t="str">
        <f>HYPERLINK("https://www.nba.com/game/...-vs-...-0022201004/play-by-play?watchFullGame=true", "LAC vs NYK - Q3 09:20.00")</f>
        <v>LAC vs NYK - Q3 09:20.00</v>
      </c>
      <c r="M589">
        <v>23.24</v>
      </c>
      <c r="N589">
        <v>12.53</v>
      </c>
      <c r="O589">
        <v>5.39</v>
      </c>
      <c r="P589">
        <v>223</v>
      </c>
      <c r="Q589">
        <v>65</v>
      </c>
      <c r="R589">
        <v>12</v>
      </c>
      <c r="S589">
        <v>5</v>
      </c>
    </row>
    <row r="590" spans="1:19" hidden="1" x14ac:dyDescent="0.25">
      <c r="A590">
        <v>22000350</v>
      </c>
      <c r="B590" t="s">
        <v>18</v>
      </c>
      <c r="C590" t="s">
        <v>19</v>
      </c>
      <c r="D590">
        <v>60</v>
      </c>
      <c r="E590">
        <v>47</v>
      </c>
      <c r="F590">
        <v>13</v>
      </c>
      <c r="G590">
        <v>2</v>
      </c>
      <c r="H590" s="1">
        <v>6.099537037037037E-4</v>
      </c>
      <c r="I590">
        <v>2020</v>
      </c>
      <c r="J590" t="s">
        <v>83</v>
      </c>
      <c r="K590" s="2" t="str">
        <f>HYPERLINK("https://www.nba.com/stats/events?CFID=&amp;CFPARAMS=&amp;GameEventID=301&amp;GameID=0022000350&amp;Season=2020-21&amp;flag=1&amp;title=Leonard%2020'%20Jump%20Shot%20(14%20PTS)", "20' Jump Shot (14 PTS)")</f>
        <v>20' Jump Shot (14 PTS)</v>
      </c>
      <c r="L590" s="2" t="str">
        <f>HYPERLINK("https://www.nba.com/game/...-vs-...-0022000350/play-by-play?watchFullGame=true", "LAC vs BOS - Q2 00:52.70")</f>
        <v>LAC vs BOS - Q2 00:52.70</v>
      </c>
      <c r="M590">
        <v>20.64</v>
      </c>
      <c r="N590">
        <v>12.57</v>
      </c>
      <c r="O590">
        <v>10.85</v>
      </c>
      <c r="P590">
        <v>196</v>
      </c>
      <c r="Q590">
        <v>66</v>
      </c>
      <c r="R590">
        <v>12</v>
      </c>
      <c r="S590">
        <v>10</v>
      </c>
    </row>
    <row r="591" spans="1:19" hidden="1" x14ac:dyDescent="0.25">
      <c r="A591">
        <v>21900212</v>
      </c>
      <c r="B591" t="s">
        <v>18</v>
      </c>
      <c r="C591" t="s">
        <v>84</v>
      </c>
      <c r="D591">
        <v>12</v>
      </c>
      <c r="E591">
        <v>7</v>
      </c>
      <c r="F591">
        <v>5</v>
      </c>
      <c r="G591">
        <v>1</v>
      </c>
      <c r="H591" s="1">
        <v>4.5601851851851853E-3</v>
      </c>
      <c r="I591">
        <v>2019</v>
      </c>
      <c r="J591" t="s">
        <v>83</v>
      </c>
      <c r="K591" s="2" t="str">
        <f>HYPERLINK("https://www.nba.com/stats/events?CFID=&amp;CFPARAMS=&amp;GameEventID=67&amp;GameID=0021900212&amp;Season=2019-20&amp;flag=1&amp;title=Leonard%2017'%20jumpshot%20(5%20PTS)%20(P.%20George%201%20AST)", "17' jumpshot (5 PTS) (P. George 1 AST)")</f>
        <v>17' jumpshot (5 PTS) (P. George 1 AST)</v>
      </c>
      <c r="L591" s="2" t="str">
        <f>HYPERLINK("https://www.nba.com/game/...-vs-...-0021900212/play-by-play?watchFullGame=true", "LAC vs BOS - Q1 06:34.00")</f>
        <v>LAC vs BOS - Q1 06:34.00</v>
      </c>
      <c r="M591">
        <v>17.18</v>
      </c>
      <c r="N591">
        <v>12.93</v>
      </c>
      <c r="O591">
        <v>19.05</v>
      </c>
      <c r="P591">
        <v>155</v>
      </c>
      <c r="Q591">
        <v>69</v>
      </c>
      <c r="R591">
        <v>12</v>
      </c>
      <c r="S591">
        <v>19</v>
      </c>
    </row>
    <row r="592" spans="1:19" hidden="1" x14ac:dyDescent="0.25">
      <c r="A592">
        <v>22201162</v>
      </c>
      <c r="B592" t="s">
        <v>18</v>
      </c>
      <c r="C592" t="s">
        <v>19</v>
      </c>
      <c r="D592">
        <v>69</v>
      </c>
      <c r="E592">
        <v>64</v>
      </c>
      <c r="F592">
        <v>5</v>
      </c>
      <c r="G592">
        <v>3</v>
      </c>
      <c r="H592" s="1">
        <v>6.2500000000000003E-3</v>
      </c>
      <c r="I592">
        <v>2022</v>
      </c>
      <c r="J592" t="s">
        <v>83</v>
      </c>
      <c r="K592" s="2" t="str">
        <f>HYPERLINK("https://www.nba.com/stats/events?CFID=&amp;CFPARAMS=&amp;GameEventID=366&amp;GameID=0022201162&amp;Season=2022-23&amp;flag=1&amp;title=Leonard%2016'%20fadeaway%20Jump%20Shot%20(19%20PTS)", "16' fadeaway Jump Shot (19 PTS)")</f>
        <v>16' fadeaway Jump Shot (19 PTS)</v>
      </c>
      <c r="L592" s="2" t="str">
        <f>HYPERLINK("https://www.nba.com/game/...-vs-...-0022201162/play-by-play?watchFullGame=true", "LAC vs NOP - Q3 09:00.00")</f>
        <v>LAC vs NOP - Q3 09:00.00</v>
      </c>
      <c r="M592">
        <v>16.62</v>
      </c>
      <c r="N592">
        <v>12.43</v>
      </c>
      <c r="O592">
        <v>19.36</v>
      </c>
      <c r="P592">
        <v>153</v>
      </c>
      <c r="Q592">
        <v>64</v>
      </c>
      <c r="R592">
        <v>12</v>
      </c>
      <c r="S592">
        <v>19</v>
      </c>
    </row>
    <row r="593" spans="1:21" hidden="1" x14ac:dyDescent="0.25">
      <c r="A593">
        <v>22300873</v>
      </c>
      <c r="B593" t="s">
        <v>18</v>
      </c>
      <c r="C593" t="s">
        <v>19</v>
      </c>
      <c r="D593">
        <v>47</v>
      </c>
      <c r="E593">
        <v>43</v>
      </c>
      <c r="F593">
        <v>4</v>
      </c>
      <c r="G593">
        <v>2</v>
      </c>
      <c r="H593" s="1">
        <v>1.0416666666666667E-3</v>
      </c>
      <c r="I593">
        <v>2023</v>
      </c>
      <c r="J593" t="s">
        <v>83</v>
      </c>
      <c r="K593" s="2" t="str">
        <f>HYPERLINK("https://www.nba.com/stats/events?CFID=&amp;CFPARAMS=&amp;GameEventID=256&amp;GameID=0022300873&amp;Season=2023-24&amp;flag=1&amp;title=Leonard%2013'%20fadeaway%20Jump%20Shot%20(13%20PTS)%20(T.%20Mann%201%20AST)", "13' fadeaway Jump Shot (13 PTS) (T. Mann 1 AST)")</f>
        <v>13' fadeaway Jump Shot (13 PTS) (T. Mann 1 AST)</v>
      </c>
      <c r="L593" s="2" t="str">
        <f>HYPERLINK("https://www.nba.com/game/...-vs-...-0022300873/play-by-play?watchFullGame=true", "LAC vs MIN - Q2 01:30.00")</f>
        <v>LAC vs MIN - Q2 01:30.00</v>
      </c>
      <c r="M593">
        <v>13.9</v>
      </c>
      <c r="N593">
        <v>12.3</v>
      </c>
      <c r="O593">
        <v>74.75</v>
      </c>
      <c r="P593">
        <v>-124</v>
      </c>
      <c r="Q593">
        <v>63</v>
      </c>
      <c r="R593">
        <v>12</v>
      </c>
      <c r="S593">
        <v>74</v>
      </c>
    </row>
    <row r="594" spans="1:21" hidden="1" x14ac:dyDescent="0.25">
      <c r="A594">
        <v>22000520</v>
      </c>
      <c r="B594" t="s">
        <v>18</v>
      </c>
      <c r="C594" t="s">
        <v>19</v>
      </c>
      <c r="D594">
        <v>100</v>
      </c>
      <c r="E594">
        <v>96</v>
      </c>
      <c r="F594">
        <v>4</v>
      </c>
      <c r="G594">
        <v>4</v>
      </c>
      <c r="H594" s="1">
        <v>2.7893518518518519E-3</v>
      </c>
      <c r="I594">
        <v>2020</v>
      </c>
      <c r="J594" t="s">
        <v>83</v>
      </c>
      <c r="K594" s="2" t="str">
        <f>HYPERLINK("https://www.nba.com/stats/events?CFID=&amp;CFPARAMS=&amp;GameEventID=577&amp;GameID=0022000520&amp;Season=2020-21&amp;flag=1&amp;title=Leonard%2013'%20Jump%20Shot%20(25%20PTS)", "13' Jump Shot (25 PTS)")</f>
        <v>13' Jump Shot (25 PTS)</v>
      </c>
      <c r="L594" s="2" t="str">
        <f>HYPERLINK("https://www.nba.com/game/...-vs-...-0022000520/play-by-play?watchFullGame=true", "LAC vs MIL - Q4 04:01.00")</f>
        <v>LAC vs MIL - Q4 04:01.00</v>
      </c>
      <c r="M594">
        <v>13.48</v>
      </c>
      <c r="N594">
        <v>12.17</v>
      </c>
      <c r="O594">
        <v>26.05</v>
      </c>
      <c r="P594">
        <v>120</v>
      </c>
      <c r="Q594">
        <v>62</v>
      </c>
      <c r="R594">
        <v>12</v>
      </c>
      <c r="S594">
        <v>26</v>
      </c>
    </row>
    <row r="595" spans="1:21" hidden="1" x14ac:dyDescent="0.25">
      <c r="A595">
        <v>22300511</v>
      </c>
      <c r="B595" t="s">
        <v>18</v>
      </c>
      <c r="C595" t="s">
        <v>19</v>
      </c>
      <c r="D595">
        <v>77</v>
      </c>
      <c r="E595">
        <v>68</v>
      </c>
      <c r="F595">
        <v>9</v>
      </c>
      <c r="G595">
        <v>3</v>
      </c>
      <c r="H595" s="1">
        <v>6.8055555555555551E-3</v>
      </c>
      <c r="I595">
        <v>2023</v>
      </c>
      <c r="J595" t="s">
        <v>83</v>
      </c>
      <c r="K595" s="2" t="str">
        <f>HYPERLINK("https://www.nba.com/stats/events?CFID=&amp;CFPARAMS=&amp;GameEventID=325&amp;GameID=0022300511&amp;Season=2023-24&amp;flag=1&amp;title=Leonard%2013'%20pullup%20Jump%20Shot%20(11%20PTS)", "13' pullup Jump Shot (11 PTS)")</f>
        <v>13' pullup Jump Shot (11 PTS)</v>
      </c>
      <c r="L595" s="2" t="str">
        <f>HYPERLINK("https://www.nba.com/game/...-vs-...-0022300511/play-by-play?watchFullGame=true", "LAC vs PHX - Q3 09:48.00")</f>
        <v>LAC vs PHX - Q3 09:48.00</v>
      </c>
      <c r="M595">
        <v>13.11</v>
      </c>
      <c r="N595">
        <v>12.01</v>
      </c>
      <c r="O595">
        <v>73.28</v>
      </c>
      <c r="P595">
        <v>-116</v>
      </c>
      <c r="Q595">
        <v>60</v>
      </c>
      <c r="R595">
        <v>12</v>
      </c>
      <c r="S595">
        <v>73</v>
      </c>
    </row>
    <row r="596" spans="1:21" hidden="1" x14ac:dyDescent="0.25">
      <c r="A596">
        <v>22000077</v>
      </c>
      <c r="B596" t="s">
        <v>18</v>
      </c>
      <c r="C596" t="s">
        <v>19</v>
      </c>
      <c r="D596">
        <v>26</v>
      </c>
      <c r="E596">
        <v>40</v>
      </c>
      <c r="F596">
        <v>14</v>
      </c>
      <c r="G596">
        <v>2</v>
      </c>
      <c r="H596" s="1">
        <v>5.1504629629629626E-3</v>
      </c>
      <c r="I596">
        <v>2020</v>
      </c>
      <c r="J596" t="s">
        <v>83</v>
      </c>
      <c r="K596" s="2" t="str">
        <f>HYPERLINK("https://www.nba.com/stats/events?CFID=&amp;CFPARAMS=&amp;GameEventID=253&amp;GameID=0022000077&amp;Season=2020-21&amp;flag=1&amp;title=Leonard%2012'%20pullup%20Jump%20Shot%20(7%20PTS)", "12' pullup Jump Shot (7 PTS)")</f>
        <v>12' pullup Jump Shot (7 PTS)</v>
      </c>
      <c r="L596" s="2" t="str">
        <f>HYPERLINK("https://www.nba.com/game/...-vs-...-0022000077/play-by-play?watchFullGame=true", "LAC vs UTA - Q2 07:25.00")</f>
        <v>LAC vs UTA - Q2 07:25.00</v>
      </c>
      <c r="M596">
        <v>12.56</v>
      </c>
      <c r="N596">
        <v>12.7</v>
      </c>
      <c r="O596">
        <v>28.75</v>
      </c>
      <c r="P596">
        <v>106</v>
      </c>
      <c r="Q596">
        <v>67</v>
      </c>
      <c r="R596">
        <v>12</v>
      </c>
      <c r="S596">
        <v>28</v>
      </c>
    </row>
    <row r="597" spans="1:21" hidden="1" x14ac:dyDescent="0.25">
      <c r="A597">
        <v>41900151</v>
      </c>
      <c r="B597" t="s">
        <v>18</v>
      </c>
      <c r="C597" t="s">
        <v>84</v>
      </c>
      <c r="D597">
        <v>82</v>
      </c>
      <c r="E597">
        <v>76</v>
      </c>
      <c r="F597">
        <v>6</v>
      </c>
      <c r="G597">
        <v>3</v>
      </c>
      <c r="H597" s="1">
        <v>2.7893518518518519E-3</v>
      </c>
      <c r="I597" t="s">
        <v>86</v>
      </c>
      <c r="J597" t="s">
        <v>83</v>
      </c>
      <c r="K597" s="2" t="str">
        <f>HYPERLINK("https://www.nba.com/stats/events?CFID=&amp;CFPARAMS=&amp;GameEventID=471&amp;GameID=0041900151&amp;Season=2019-20&amp;flag=1&amp;title=Leonard%2012'%20jumpshot%20(19%20PTS)", "12' jumpshot (19 PTS)")</f>
        <v>12' jumpshot (19 PTS)</v>
      </c>
      <c r="L597" s="2" t="str">
        <f>HYPERLINK("https://www.nba.com/game/...-vs-...-0041900151/play-by-play?watchFullGame=true", "LAC vs DAL - Q3 04:01.00")</f>
        <v>LAC vs DAL - Q3 04:01.00</v>
      </c>
      <c r="M597">
        <v>11.87</v>
      </c>
      <c r="N597">
        <v>12.17</v>
      </c>
      <c r="O597">
        <v>30.46</v>
      </c>
      <c r="P597">
        <v>98</v>
      </c>
      <c r="Q597">
        <v>62</v>
      </c>
      <c r="R597">
        <v>12</v>
      </c>
      <c r="S597">
        <v>30</v>
      </c>
    </row>
    <row r="598" spans="1:21" hidden="1" x14ac:dyDescent="0.25">
      <c r="A598">
        <v>22200719</v>
      </c>
      <c r="B598" t="s">
        <v>18</v>
      </c>
      <c r="C598" t="s">
        <v>19</v>
      </c>
      <c r="D598">
        <v>90</v>
      </c>
      <c r="E598">
        <v>74</v>
      </c>
      <c r="F598">
        <v>16</v>
      </c>
      <c r="G598">
        <v>3</v>
      </c>
      <c r="H598" s="1">
        <v>3.5416666666666665E-3</v>
      </c>
      <c r="I598">
        <v>2022</v>
      </c>
      <c r="J598" t="s">
        <v>83</v>
      </c>
      <c r="K598" s="2" t="str">
        <f>HYPERLINK("https://www.nba.com/stats/events?CFID=&amp;CFPARAMS=&amp;GameEventID=409&amp;GameID=0022200719&amp;Season=2022-23&amp;flag=1&amp;title=Leonard%2010'%20pullup%20Jump%20Shot%20(16%20PTS)", "10' pullup Jump Shot (16 PTS)")</f>
        <v>10' pullup Jump Shot (16 PTS)</v>
      </c>
      <c r="L598" s="2" t="str">
        <f>HYPERLINK("https://www.nba.com/game/...-vs-...-0022200719/play-by-play?watchFullGame=true", "LAC vs LAL - Q3 05:06.00")</f>
        <v>LAC vs LAL - Q3 05:06.00</v>
      </c>
      <c r="M598">
        <v>10.71</v>
      </c>
      <c r="N598">
        <v>12.4</v>
      </c>
      <c r="O598">
        <v>67.16</v>
      </c>
      <c r="P598">
        <v>-86</v>
      </c>
      <c r="Q598">
        <v>64</v>
      </c>
      <c r="R598">
        <v>12</v>
      </c>
      <c r="S598">
        <v>67</v>
      </c>
    </row>
    <row r="599" spans="1:21" hidden="1" x14ac:dyDescent="0.25">
      <c r="A599">
        <v>22300770</v>
      </c>
      <c r="B599" t="s">
        <v>18</v>
      </c>
      <c r="C599" t="s">
        <v>19</v>
      </c>
      <c r="D599">
        <v>15</v>
      </c>
      <c r="E599">
        <v>16</v>
      </c>
      <c r="F599">
        <v>1</v>
      </c>
      <c r="G599">
        <v>1</v>
      </c>
      <c r="H599" s="1">
        <v>2.685185185185185E-3</v>
      </c>
      <c r="I599">
        <v>2023</v>
      </c>
      <c r="J599" t="s">
        <v>83</v>
      </c>
      <c r="K599" s="2" t="str">
        <f>HYPERLINK("https://www.nba.com/stats/events?CFID=&amp;CFPARAMS=&amp;GameEventID=110&amp;GameID=0022300770&amp;Season=2023-24&amp;flag=1&amp;title=Leonard%2010'%20turnaround%20fadeaway%20Jump%20Shot%20(4%20PTS)", "10' turnaround fadeaway Jump Shot (4 PTS)")</f>
        <v>10' turnaround fadeaway Jump Shot (4 PTS)</v>
      </c>
      <c r="L599" s="2" t="str">
        <f>HYPERLINK("https://www.nba.com/game/...-vs-...-0022300770/play-by-play?watchFullGame=true", "LAC vs MIN - Q1 03:52.00")</f>
        <v>LAC vs MIN - Q1 03:52.00</v>
      </c>
      <c r="M599">
        <v>10.57</v>
      </c>
      <c r="N599">
        <v>12.66</v>
      </c>
      <c r="O599">
        <v>33.58</v>
      </c>
      <c r="P599">
        <v>82</v>
      </c>
      <c r="Q599">
        <v>67</v>
      </c>
      <c r="R599">
        <v>12</v>
      </c>
      <c r="S599">
        <v>33</v>
      </c>
    </row>
    <row r="600" spans="1:21" hidden="1" x14ac:dyDescent="0.25">
      <c r="A600">
        <v>22400671</v>
      </c>
      <c r="B600" t="s">
        <v>18</v>
      </c>
      <c r="C600" t="s">
        <v>19</v>
      </c>
      <c r="D600">
        <v>119</v>
      </c>
      <c r="E600">
        <v>107</v>
      </c>
      <c r="F600">
        <v>12</v>
      </c>
      <c r="G600">
        <v>4</v>
      </c>
      <c r="H600" s="1">
        <v>1.6203703703703703E-3</v>
      </c>
      <c r="I600">
        <v>2024</v>
      </c>
      <c r="J600" t="s">
        <v>83</v>
      </c>
      <c r="K600" s="2" t="str">
        <f>HYPERLINK("https://www.nba.com/stats/events?CFID=&amp;CFPARAMS=&amp;GameEventID=623&amp;GameID=0022400671&amp;Season=2024-25&amp;flag=1&amp;title=Leonard%2010'%20driving%20floating%20Jump%20Shot%20(25%20PTS)", "10' driving floating Jump Shot (25 PTS)")</f>
        <v>10' driving floating Jump Shot (25 PTS)</v>
      </c>
      <c r="L600" s="2" t="str">
        <f>HYPERLINK("https://www.nba.com/game/...-vs-...-0022400671/play-by-play?watchFullGame=true", "LAC vs SAS - Q4 02:20.00")</f>
        <v>LAC vs SAS - Q4 02:20.00</v>
      </c>
      <c r="M600">
        <v>10.38</v>
      </c>
      <c r="N600">
        <v>12.17</v>
      </c>
      <c r="O600">
        <v>33.33</v>
      </c>
      <c r="P600">
        <v>83</v>
      </c>
      <c r="Q600">
        <v>62</v>
      </c>
      <c r="R600">
        <v>12</v>
      </c>
      <c r="S600">
        <v>33</v>
      </c>
    </row>
    <row r="601" spans="1:21" hidden="1" x14ac:dyDescent="0.25">
      <c r="A601">
        <v>22300325</v>
      </c>
      <c r="B601" t="s">
        <v>18</v>
      </c>
      <c r="C601" t="s">
        <v>19</v>
      </c>
      <c r="D601">
        <v>51</v>
      </c>
      <c r="E601">
        <v>39</v>
      </c>
      <c r="F601">
        <v>12</v>
      </c>
      <c r="G601">
        <v>2</v>
      </c>
      <c r="H601" s="1">
        <v>4.2245370370370371E-3</v>
      </c>
      <c r="I601">
        <v>2023</v>
      </c>
      <c r="J601" t="s">
        <v>83</v>
      </c>
      <c r="K601" s="2" t="str">
        <f>HYPERLINK("https://www.nba.com/stats/events?CFID=&amp;CFPARAMS=&amp;GameEventID=266&amp;GameID=0022300325&amp;Season=2023-24&amp;flag=1&amp;title=Leonard%2010'%20pullup%20Jump%20Shot%20(10%20PTS)%20(N.%20Powell%201%20AST)", "10' pullup Jump Shot (10 PTS) (N. Powell 1 AST)")</f>
        <v>10' pullup Jump Shot (10 PTS) (N. Powell 1 AST)</v>
      </c>
      <c r="L601" s="2" t="str">
        <f>HYPERLINK("https://www.nba.com/game/...-vs-...-0022300325/play-by-play?watchFullGame=true", "LAC vs GSW - Q2 06:05.00")</f>
        <v>LAC vs GSW - Q2 06:05.00</v>
      </c>
      <c r="M601">
        <v>10.36</v>
      </c>
      <c r="N601">
        <v>12.14</v>
      </c>
      <c r="O601">
        <v>33.33</v>
      </c>
      <c r="P601">
        <v>83</v>
      </c>
      <c r="Q601">
        <v>62</v>
      </c>
      <c r="R601">
        <v>12</v>
      </c>
      <c r="S601">
        <v>33</v>
      </c>
    </row>
    <row r="602" spans="1:21" hidden="1" x14ac:dyDescent="0.25">
      <c r="A602">
        <v>22000457</v>
      </c>
      <c r="B602" t="s">
        <v>18</v>
      </c>
      <c r="C602" t="s">
        <v>19</v>
      </c>
      <c r="D602">
        <v>14</v>
      </c>
      <c r="E602">
        <v>9</v>
      </c>
      <c r="F602">
        <v>5</v>
      </c>
      <c r="G602">
        <v>1</v>
      </c>
      <c r="H602" s="1">
        <v>4.7916666666666663E-3</v>
      </c>
      <c r="I602">
        <v>2020</v>
      </c>
      <c r="J602" t="s">
        <v>83</v>
      </c>
      <c r="K602" s="2" t="str">
        <f>HYPERLINK("https://www.nba.com/stats/events?CFID=&amp;CFPARAMS=&amp;GameEventID=47&amp;GameID=0022000457&amp;Season=2020-21&amp;flag=1&amp;title=Leonard%2010'%20pullup%20Jump%20Shot%20(4%20PTS)", "10' pullup Jump Shot (4 PTS)")</f>
        <v>10' pullup Jump Shot (4 PTS)</v>
      </c>
      <c r="L602" s="2" t="str">
        <f>HYPERLINK("https://www.nba.com/game/...-vs-...-0022000457/play-by-play?watchFullGame=true", "LAC vs UTA - Q1 06:54.00")</f>
        <v>LAC vs UTA - Q1 06:54.00</v>
      </c>
      <c r="M602">
        <v>10.36</v>
      </c>
      <c r="N602">
        <v>12.83</v>
      </c>
      <c r="O602">
        <v>34.380000000000003</v>
      </c>
      <c r="P602">
        <v>78</v>
      </c>
      <c r="Q602">
        <v>68</v>
      </c>
      <c r="R602">
        <v>12</v>
      </c>
      <c r="S602">
        <v>34</v>
      </c>
    </row>
    <row r="603" spans="1:21" hidden="1" x14ac:dyDescent="0.25">
      <c r="A603">
        <v>21900516</v>
      </c>
      <c r="B603" t="s">
        <v>18</v>
      </c>
      <c r="C603" t="s">
        <v>84</v>
      </c>
      <c r="D603">
        <v>77</v>
      </c>
      <c r="E603">
        <v>67</v>
      </c>
      <c r="F603">
        <v>10</v>
      </c>
      <c r="G603">
        <v>3</v>
      </c>
      <c r="H603" s="1">
        <v>6.5162037037037037E-3</v>
      </c>
      <c r="I603">
        <v>2019</v>
      </c>
      <c r="J603" t="s">
        <v>83</v>
      </c>
      <c r="K603" s="2" t="str">
        <f>HYPERLINK("https://www.nba.com/stats/events?CFID=&amp;CFPARAMS=&amp;GameEventID=401&amp;GameID=0021900516&amp;Season=2019-20&amp;flag=1&amp;title=Leonard%2010'%20jumpshot%20(16%20PTS)%20(R.%20McGruder%201%20AST)", "10' jumpshot (16 PTS) (R. McGruder 1 AST)")</f>
        <v>10' jumpshot (16 PTS) (R. McGruder 1 AST)</v>
      </c>
      <c r="L603" s="2" t="str">
        <f>HYPERLINK("https://www.nba.com/game/...-vs-...-0021900516/play-by-play?watchFullGame=true", "LAC vs DET - Q3 09:23.00")</f>
        <v>LAC vs DET - Q3 09:23.00</v>
      </c>
      <c r="M603">
        <v>10.15</v>
      </c>
      <c r="N603">
        <v>12.61</v>
      </c>
      <c r="O603">
        <v>64.400000000000006</v>
      </c>
      <c r="P603">
        <v>-72</v>
      </c>
      <c r="Q603">
        <v>66</v>
      </c>
      <c r="R603">
        <v>12</v>
      </c>
      <c r="S603">
        <v>64</v>
      </c>
    </row>
    <row r="604" spans="1:21" hidden="1" x14ac:dyDescent="0.25">
      <c r="A604">
        <v>42200171</v>
      </c>
      <c r="B604" t="s">
        <v>18</v>
      </c>
      <c r="C604" t="s">
        <v>19</v>
      </c>
      <c r="D604">
        <v>65</v>
      </c>
      <c r="E604">
        <v>60</v>
      </c>
      <c r="F604">
        <v>5</v>
      </c>
      <c r="G604">
        <v>3</v>
      </c>
      <c r="H604" s="1">
        <v>6.6203703703703702E-3</v>
      </c>
      <c r="I604" t="s">
        <v>96</v>
      </c>
      <c r="J604" t="s">
        <v>83</v>
      </c>
      <c r="K604" s="2" t="str">
        <f>HYPERLINK("https://www.nba.com/stats/events?CFID=&amp;CFPARAMS=&amp;GameEventID=358&amp;GameID=0042200171&amp;Season=2022-23&amp;flag=1&amp;title=Leonard%209'%20running%20pullup%20Jump%20Shot%20(19%20PTS)", "9' running pullup Jump Shot (19 PTS)")</f>
        <v>9' running pullup Jump Shot (19 PTS)</v>
      </c>
      <c r="L604" s="2" t="str">
        <f>HYPERLINK("https://www.nba.com/game/...-vs-...-0042200171/play-by-play?watchFullGame=true", "LAC vs PHX - Q3 09:32.00")</f>
        <v>LAC vs PHX - Q3 09:32.00</v>
      </c>
      <c r="M604">
        <v>9.94</v>
      </c>
      <c r="N604">
        <v>12.7</v>
      </c>
      <c r="O604">
        <v>35.29</v>
      </c>
      <c r="P604">
        <v>12</v>
      </c>
      <c r="Q604">
        <v>35</v>
      </c>
      <c r="R604">
        <v>12</v>
      </c>
      <c r="S604">
        <v>35</v>
      </c>
    </row>
    <row r="605" spans="1:21" hidden="1" x14ac:dyDescent="0.25">
      <c r="A605">
        <v>22400927</v>
      </c>
      <c r="B605" t="s">
        <v>18</v>
      </c>
      <c r="C605" t="s">
        <v>19</v>
      </c>
      <c r="D605">
        <v>92</v>
      </c>
      <c r="E605">
        <v>97</v>
      </c>
      <c r="F605">
        <v>5</v>
      </c>
      <c r="G605">
        <v>4</v>
      </c>
      <c r="H605" s="1">
        <v>1.1574074074074073E-3</v>
      </c>
      <c r="I605">
        <v>2024</v>
      </c>
      <c r="J605" t="s">
        <v>83</v>
      </c>
      <c r="K605" s="2" t="str">
        <f>HYPERLINK("https://www.nba.com/stats/events?CFID=&amp;CFPARAMS=&amp;GameEventID=533&amp;GameID=0022400927&amp;Season=2024-25&amp;flag=1&amp;title=Leonard%209'%20driving%20floating%20Jump%20Shot%20(14%20PTS)", "9' driving floating Jump Shot (14 PTS)")</f>
        <v>9' driving floating Jump Shot (14 PTS)</v>
      </c>
      <c r="L605" s="2" t="str">
        <f>HYPERLINK("https://www.nba.com/game/...-vs-...-0022400927/play-by-play?watchFullGame=true", "LAC vs SAC - Q4 01:40.00")</f>
        <v>LAC vs SAC - Q4 01:40.00</v>
      </c>
      <c r="M605">
        <v>9.51</v>
      </c>
      <c r="N605">
        <v>12.3</v>
      </c>
      <c r="O605">
        <v>35.78</v>
      </c>
      <c r="P605">
        <v>71</v>
      </c>
      <c r="Q605">
        <v>63</v>
      </c>
      <c r="R605">
        <v>12</v>
      </c>
      <c r="S605">
        <v>35</v>
      </c>
    </row>
    <row r="606" spans="1:21" hidden="1" x14ac:dyDescent="0.25">
      <c r="A606">
        <v>22201229</v>
      </c>
      <c r="B606" t="s">
        <v>18</v>
      </c>
      <c r="C606" t="s">
        <v>19</v>
      </c>
      <c r="D606">
        <v>63</v>
      </c>
      <c r="E606">
        <v>61</v>
      </c>
      <c r="F606">
        <v>2</v>
      </c>
      <c r="G606">
        <v>3</v>
      </c>
      <c r="H606" s="1">
        <v>4.6296296296296294E-3</v>
      </c>
      <c r="I606">
        <v>2022</v>
      </c>
      <c r="J606" t="s">
        <v>83</v>
      </c>
      <c r="K606" s="2" t="str">
        <f>HYPERLINK("https://www.nba.com/stats/events?CFID=&amp;CFPARAMS=&amp;GameEventID=410&amp;GameID=0022201229&amp;Season=2022-23&amp;flag=1&amp;title=Leonard%208'%20driving%20floating%20Jump%20Shot%20(13%20PTS)", "8' driving floating Jump Shot (13 PTS)")</f>
        <v>8' driving floating Jump Shot (13 PTS)</v>
      </c>
      <c r="L606" s="2" t="str">
        <f>HYPERLINK("https://www.nba.com/game/...-vs-...-0022201229/play-by-play?watchFullGame=true", "LAC vs PHX - Q3 06:40.00")</f>
        <v>LAC vs PHX - Q3 06:40.00</v>
      </c>
      <c r="M606">
        <v>8.32</v>
      </c>
      <c r="N606">
        <v>12.83</v>
      </c>
      <c r="O606">
        <v>40.44</v>
      </c>
      <c r="P606">
        <v>48</v>
      </c>
      <c r="Q606">
        <v>68</v>
      </c>
      <c r="R606">
        <v>12</v>
      </c>
      <c r="S606">
        <v>40</v>
      </c>
    </row>
    <row r="607" spans="1:21" s="3" customFormat="1" hidden="1" x14ac:dyDescent="0.25">
      <c r="A607">
        <v>22201162</v>
      </c>
      <c r="B607" t="s">
        <v>18</v>
      </c>
      <c r="C607" t="s">
        <v>19</v>
      </c>
      <c r="D607">
        <v>108</v>
      </c>
      <c r="E607">
        <v>113</v>
      </c>
      <c r="F607">
        <v>5</v>
      </c>
      <c r="G607">
        <v>4</v>
      </c>
      <c r="H607" s="1">
        <v>2.0023148148148148E-3</v>
      </c>
      <c r="I607">
        <v>2022</v>
      </c>
      <c r="J607" t="s">
        <v>83</v>
      </c>
      <c r="K607" s="2" t="str">
        <f>HYPERLINK("https://www.nba.com/stats/events?CFID=&amp;CFPARAMS=&amp;GameEventID=590&amp;GameID=0022201162&amp;Season=2022-23&amp;flag=1&amp;title=Leonard%208'%20turnaround%20fadeaway%20Jump%20Shot%20(38%20PTS)", "8' turnaround fadeaway Jump Shot (38 PTS)")</f>
        <v>8' turnaround fadeaway Jump Shot (38 PTS)</v>
      </c>
      <c r="L607" s="2" t="str">
        <f>HYPERLINK("https://www.nba.com/game/...-vs-...-0022201162/play-by-play?watchFullGame=true", "LAC vs NOP - Q4 02:53.00")</f>
        <v>LAC vs NOP - Q4 02:53.00</v>
      </c>
      <c r="M607">
        <v>8.2799999999999994</v>
      </c>
      <c r="N607">
        <v>12.96</v>
      </c>
      <c r="O607">
        <v>59.07</v>
      </c>
      <c r="P607">
        <v>-45</v>
      </c>
      <c r="Q607">
        <v>69</v>
      </c>
      <c r="R607">
        <v>12</v>
      </c>
      <c r="S607">
        <v>59</v>
      </c>
      <c r="T607"/>
      <c r="U607"/>
    </row>
    <row r="608" spans="1:21" hidden="1" x14ac:dyDescent="0.25">
      <c r="A608">
        <v>22200538</v>
      </c>
      <c r="B608" t="s">
        <v>18</v>
      </c>
      <c r="C608" t="s">
        <v>19</v>
      </c>
      <c r="D608">
        <v>62</v>
      </c>
      <c r="E608">
        <v>71</v>
      </c>
      <c r="F608">
        <v>9</v>
      </c>
      <c r="G608">
        <v>3</v>
      </c>
      <c r="H608" s="1">
        <v>6.6319444444444446E-3</v>
      </c>
      <c r="I608">
        <v>2022</v>
      </c>
      <c r="J608" t="s">
        <v>83</v>
      </c>
      <c r="K608" s="2" t="str">
        <f>HYPERLINK("https://www.nba.com/stats/events?CFID=&amp;CFPARAMS=&amp;GameEventID=319&amp;GameID=0022200538&amp;Season=2022-23&amp;flag=1&amp;title=Leonard%208'%20turnaround%20fadeaway%20Jump%20Shot%20(9%20PTS)", "8' turnaround fadeaway Jump Shot (9 PTS)")</f>
        <v>8' turnaround fadeaway Jump Shot (9 PTS)</v>
      </c>
      <c r="L608" s="2" t="str">
        <f>HYPERLINK("https://www.nba.com/game/...-vs-...-0022200538/play-by-play?watchFullGame=true", "LAC vs IND - Q3 09:33.00")</f>
        <v>LAC vs IND - Q3 09:33.00</v>
      </c>
      <c r="M608">
        <v>8.14</v>
      </c>
      <c r="N608">
        <v>12.3</v>
      </c>
      <c r="O608">
        <v>60.29</v>
      </c>
      <c r="P608">
        <v>-51</v>
      </c>
      <c r="Q608">
        <v>63</v>
      </c>
      <c r="R608">
        <v>12</v>
      </c>
      <c r="S608">
        <v>60</v>
      </c>
    </row>
    <row r="609" spans="1:21" hidden="1" x14ac:dyDescent="0.25">
      <c r="A609">
        <v>22200829</v>
      </c>
      <c r="B609" t="s">
        <v>18</v>
      </c>
      <c r="C609" t="s">
        <v>19</v>
      </c>
      <c r="D609">
        <v>74</v>
      </c>
      <c r="E609">
        <v>77</v>
      </c>
      <c r="F609">
        <v>3</v>
      </c>
      <c r="G609">
        <v>3</v>
      </c>
      <c r="H609" s="1">
        <v>2.685185185185185E-3</v>
      </c>
      <c r="I609">
        <v>2022</v>
      </c>
      <c r="J609" t="s">
        <v>83</v>
      </c>
      <c r="K609" s="2" t="str">
        <f>HYPERLINK("https://www.nba.com/stats/events?CFID=&amp;CFPARAMS=&amp;GameEventID=400&amp;GameID=0022200829&amp;Season=2022-23&amp;flag=1&amp;title=Leonard%208'%20driving%20floating%20Jump%20Shot%20(13%20PTS)", "8' driving floating Jump Shot (13 PTS)")</f>
        <v>8' driving floating Jump Shot (13 PTS)</v>
      </c>
      <c r="L609" s="2" t="str">
        <f>HYPERLINK("https://www.nba.com/game/...-vs-...-0022200829/play-by-play?watchFullGame=true", "LAC vs DAL - Q3 03:52.00")</f>
        <v>LAC vs DAL - Q3 03:52.00</v>
      </c>
      <c r="M609">
        <v>8.06</v>
      </c>
      <c r="N609">
        <v>12.93</v>
      </c>
      <c r="O609">
        <v>58.33</v>
      </c>
      <c r="P609">
        <v>-42</v>
      </c>
      <c r="Q609">
        <v>69</v>
      </c>
      <c r="R609">
        <v>12</v>
      </c>
      <c r="S609">
        <v>58</v>
      </c>
    </row>
    <row r="610" spans="1:21" hidden="1" x14ac:dyDescent="0.25">
      <c r="A610">
        <v>22300897</v>
      </c>
      <c r="B610" t="s">
        <v>18</v>
      </c>
      <c r="C610" t="s">
        <v>89</v>
      </c>
      <c r="D610">
        <v>58</v>
      </c>
      <c r="E610">
        <v>70</v>
      </c>
      <c r="F610">
        <v>12</v>
      </c>
      <c r="G610">
        <v>3</v>
      </c>
      <c r="H610" s="1">
        <v>5.1504629629629626E-3</v>
      </c>
      <c r="I610">
        <v>2023</v>
      </c>
      <c r="J610" t="s">
        <v>83</v>
      </c>
      <c r="K610" s="2" t="str">
        <f>HYPERLINK("https://www.nba.com/stats/events?CFID=&amp;CFPARAMS=&amp;GameEventID=346&amp;GameID=0022300897&amp;Season=2023-24&amp;flag=1&amp;title=Leonard%207'%20turnaround%20Hook%20(14%20PTS)", "7' turnaround Hook (14 PTS)")</f>
        <v>7' turnaround Hook (14 PTS)</v>
      </c>
      <c r="L610" s="2" t="str">
        <f>HYPERLINK("https://www.nba.com/game/...-vs-...-0022300897/play-by-play?watchFullGame=true", "LAC vs HOU - Q3 07:25.00")</f>
        <v>LAC vs HOU - Q3 07:25.00</v>
      </c>
      <c r="M610">
        <v>7.95</v>
      </c>
      <c r="N610">
        <v>12.43</v>
      </c>
      <c r="O610">
        <v>59.31</v>
      </c>
      <c r="P610">
        <v>-47</v>
      </c>
      <c r="Q610">
        <v>64</v>
      </c>
      <c r="R610">
        <v>12</v>
      </c>
      <c r="S610">
        <v>59</v>
      </c>
    </row>
    <row r="611" spans="1:21" hidden="1" x14ac:dyDescent="0.25">
      <c r="A611">
        <v>21900339</v>
      </c>
      <c r="B611" t="s">
        <v>18</v>
      </c>
      <c r="C611" t="s">
        <v>90</v>
      </c>
      <c r="D611">
        <v>86</v>
      </c>
      <c r="E611">
        <v>70</v>
      </c>
      <c r="F611">
        <v>16</v>
      </c>
      <c r="G611">
        <v>3</v>
      </c>
      <c r="H611" s="1">
        <v>4.3981481481481484E-3</v>
      </c>
      <c r="I611">
        <v>2019</v>
      </c>
      <c r="J611" t="s">
        <v>83</v>
      </c>
      <c r="K611" s="2" t="str">
        <f>HYPERLINK("https://www.nba.com/stats/events?CFID=&amp;CFPARAMS=&amp;GameEventID=457&amp;GameID=0021900339&amp;Season=2019-20&amp;flag=1&amp;title=Leonard%208'%20layup%20(24%20PTS)", "8' layup (24 PTS)")</f>
        <v>8' layup (24 PTS)</v>
      </c>
      <c r="L611" s="2" t="str">
        <f>HYPERLINK("https://www.nba.com/game/...-vs-...-0021900339/play-by-play?watchFullGame=true", "LAC vs WAS - Q3 06:20.00")</f>
        <v>LAC vs WAS - Q3 06:20.00</v>
      </c>
      <c r="M611">
        <v>7.63</v>
      </c>
      <c r="N611">
        <v>12.27</v>
      </c>
      <c r="O611">
        <v>56.79</v>
      </c>
      <c r="P611">
        <v>-34</v>
      </c>
      <c r="Q611">
        <v>63</v>
      </c>
      <c r="R611">
        <v>12</v>
      </c>
      <c r="S611">
        <v>56</v>
      </c>
    </row>
    <row r="612" spans="1:21" hidden="1" x14ac:dyDescent="0.25">
      <c r="A612">
        <v>41900236</v>
      </c>
      <c r="B612" t="s">
        <v>18</v>
      </c>
      <c r="C612" t="s">
        <v>84</v>
      </c>
      <c r="D612">
        <v>25</v>
      </c>
      <c r="E612">
        <v>16</v>
      </c>
      <c r="F612">
        <v>9</v>
      </c>
      <c r="G612">
        <v>1</v>
      </c>
      <c r="H612" s="1">
        <v>1.9560185185185184E-3</v>
      </c>
      <c r="I612" t="s">
        <v>85</v>
      </c>
      <c r="J612" t="s">
        <v>83</v>
      </c>
      <c r="K612" s="2" t="str">
        <f>HYPERLINK("https://www.nba.com/stats/events?CFID=&amp;CFPARAMS=&amp;GameEventID=125&amp;GameID=0041900236&amp;Season=2019-20&amp;flag=1&amp;title=Leonard%207'%20jumpshot%20(9%20PTS)", "7' jumpshot (9 PTS)")</f>
        <v>7' jumpshot (9 PTS)</v>
      </c>
      <c r="L612" s="2" t="str">
        <f>HYPERLINK("https://www.nba.com/game/...-vs-...-0041900236/play-by-play?watchFullGame=true", "LAC vs DEN - Q1 02:49.00")</f>
        <v>LAC vs DEN - Q1 02:49.00</v>
      </c>
      <c r="M612">
        <v>7.49</v>
      </c>
      <c r="N612">
        <v>12.83</v>
      </c>
      <c r="O612">
        <v>52.77</v>
      </c>
      <c r="P612">
        <v>-14</v>
      </c>
      <c r="Q612">
        <v>68</v>
      </c>
      <c r="R612">
        <v>12</v>
      </c>
      <c r="S612">
        <v>52</v>
      </c>
    </row>
    <row r="613" spans="1:21" hidden="1" x14ac:dyDescent="0.25">
      <c r="A613">
        <v>22300160</v>
      </c>
      <c r="B613" t="s">
        <v>18</v>
      </c>
      <c r="C613" t="s">
        <v>89</v>
      </c>
      <c r="D613">
        <v>90</v>
      </c>
      <c r="E613">
        <v>94</v>
      </c>
      <c r="F613">
        <v>4</v>
      </c>
      <c r="G613">
        <v>4</v>
      </c>
      <c r="H613" s="1">
        <v>1.3310185185185185E-3</v>
      </c>
      <c r="I613">
        <v>2023</v>
      </c>
      <c r="J613" t="s">
        <v>83</v>
      </c>
      <c r="K613" s="2" t="str">
        <f>HYPERLINK("https://www.nba.com/stats/events?CFID=&amp;CFPARAMS=&amp;GameEventID=613&amp;GameID=0022300160&amp;Season=2023-24&amp;flag=1&amp;title=Leonard%207'%20turnaround%20Hook%20(17%20PTS)%20(R.%20Westbrook%207%20AST)", "7' turnaround Hook (17 PTS) (R. Westbrook 7 AST)")</f>
        <v>7' turnaround Hook (17 PTS) (R. Westbrook 7 AST)</v>
      </c>
      <c r="L613" s="2" t="str">
        <f>HYPERLINK("https://www.nba.com/game/...-vs-...-0022300160/play-by-play?watchFullGame=true", "LAC vs BKN - Q4 01:55.00")</f>
        <v>LAC vs BKN - Q4 01:55.00</v>
      </c>
      <c r="M613">
        <v>7.43</v>
      </c>
      <c r="N613">
        <v>12.3</v>
      </c>
      <c r="O613">
        <v>57.84</v>
      </c>
      <c r="P613">
        <v>-39</v>
      </c>
      <c r="Q613">
        <v>63</v>
      </c>
      <c r="R613">
        <v>12</v>
      </c>
      <c r="S613">
        <v>57</v>
      </c>
    </row>
    <row r="614" spans="1:21" hidden="1" x14ac:dyDescent="0.25">
      <c r="A614">
        <v>41900153</v>
      </c>
      <c r="B614" t="s">
        <v>18</v>
      </c>
      <c r="C614" t="s">
        <v>84</v>
      </c>
      <c r="D614">
        <v>60</v>
      </c>
      <c r="E614">
        <v>47</v>
      </c>
      <c r="F614">
        <v>13</v>
      </c>
      <c r="G614">
        <v>2</v>
      </c>
      <c r="H614" s="1">
        <v>1.0300925925925926E-3</v>
      </c>
      <c r="I614" t="s">
        <v>86</v>
      </c>
      <c r="J614" t="s">
        <v>83</v>
      </c>
      <c r="K614" s="2" t="str">
        <f>HYPERLINK("https://www.nba.com/stats/events?CFID=&amp;CFPARAMS=&amp;GameEventID=310&amp;GameID=0041900153&amp;Season=2019-20&amp;flag=1&amp;title=Leonard%207'%20jumpshot%20(18%20PTS)", "7' jumpshot (18 PTS)")</f>
        <v>7' jumpshot (18 PTS)</v>
      </c>
      <c r="L614" s="2" t="str">
        <f>HYPERLINK("https://www.nba.com/game/...-vs-...-0041900153/play-by-play?watchFullGame=true", "LAC vs DAL - Q2 01:29.00")</f>
        <v>LAC vs DAL - Q2 01:29.00</v>
      </c>
      <c r="M614">
        <v>7.38</v>
      </c>
      <c r="N614">
        <v>12.04</v>
      </c>
      <c r="O614">
        <v>43.45</v>
      </c>
      <c r="P614">
        <v>33</v>
      </c>
      <c r="Q614">
        <v>61</v>
      </c>
      <c r="R614">
        <v>12</v>
      </c>
      <c r="S614">
        <v>43</v>
      </c>
    </row>
    <row r="615" spans="1:21" hidden="1" x14ac:dyDescent="0.25">
      <c r="A615">
        <v>41900234</v>
      </c>
      <c r="B615" t="s">
        <v>18</v>
      </c>
      <c r="C615" t="s">
        <v>84</v>
      </c>
      <c r="D615">
        <v>39</v>
      </c>
      <c r="E615">
        <v>23</v>
      </c>
      <c r="F615">
        <v>16</v>
      </c>
      <c r="G615">
        <v>2</v>
      </c>
      <c r="H615" s="1">
        <v>5.2546296296296299E-3</v>
      </c>
      <c r="I615" t="s">
        <v>85</v>
      </c>
      <c r="J615" t="s">
        <v>83</v>
      </c>
      <c r="K615" s="2" t="str">
        <f>HYPERLINK("https://www.nba.com/stats/events?CFID=&amp;CFPARAMS=&amp;GameEventID=242&amp;GameID=0041900234&amp;Season=2019-20&amp;flag=1&amp;title=Leonard%207'%20jumpshot%20(11%20PTS)", "7' jumpshot (11 PTS)")</f>
        <v>7' jumpshot (11 PTS)</v>
      </c>
      <c r="L615" s="2" t="str">
        <f>HYPERLINK("https://www.nba.com/game/...-vs-...-0041900234/play-by-play?watchFullGame=true", "LAC vs DEN - Q2 07:34.00")</f>
        <v>LAC vs DEN - Q2 07:34.00</v>
      </c>
      <c r="M615">
        <v>7.14</v>
      </c>
      <c r="N615">
        <v>12.43</v>
      </c>
      <c r="O615">
        <v>47.13</v>
      </c>
      <c r="P615">
        <v>14</v>
      </c>
      <c r="Q615">
        <v>64</v>
      </c>
      <c r="R615">
        <v>12</v>
      </c>
      <c r="S615">
        <v>47</v>
      </c>
    </row>
    <row r="616" spans="1:21" s="3" customFormat="1" hidden="1" x14ac:dyDescent="0.25">
      <c r="A616">
        <v>22000509</v>
      </c>
      <c r="B616" t="s">
        <v>18</v>
      </c>
      <c r="C616" t="s">
        <v>89</v>
      </c>
      <c r="D616">
        <v>78</v>
      </c>
      <c r="E616">
        <v>64</v>
      </c>
      <c r="F616">
        <v>14</v>
      </c>
      <c r="G616">
        <v>3</v>
      </c>
      <c r="H616" s="1">
        <v>3.1712962962962962E-3</v>
      </c>
      <c r="I616">
        <v>2020</v>
      </c>
      <c r="J616" t="s">
        <v>83</v>
      </c>
      <c r="K616" s="2" t="str">
        <f>HYPERLINK("https://www.nba.com/stats/events?CFID=&amp;CFPARAMS=&amp;GameEventID=418&amp;GameID=0022000509&amp;Season=2020-21&amp;flag=1&amp;title=Leonard%207'%20driving%20Hook%20(20%20PTS)", "7' driving Hook (20 PTS)")</f>
        <v>7' driving Hook (20 PTS)</v>
      </c>
      <c r="L616" s="2" t="str">
        <f>HYPERLINK("https://www.nba.com/game/...-vs-...-0022000509/play-by-play?watchFullGame=true", "LAC vs MEM - Q3 04:34.00")</f>
        <v>LAC vs MEM - Q3 04:34.00</v>
      </c>
      <c r="M616">
        <v>7.12</v>
      </c>
      <c r="N616">
        <v>12.43</v>
      </c>
      <c r="O616">
        <v>43.94</v>
      </c>
      <c r="P616">
        <v>30</v>
      </c>
      <c r="Q616">
        <v>64</v>
      </c>
      <c r="R616">
        <v>12</v>
      </c>
      <c r="S616">
        <v>43</v>
      </c>
      <c r="T616"/>
      <c r="U616"/>
    </row>
    <row r="617" spans="1:21" hidden="1" x14ac:dyDescent="0.25">
      <c r="A617">
        <v>22300956</v>
      </c>
      <c r="B617" t="s">
        <v>18</v>
      </c>
      <c r="C617" t="s">
        <v>19</v>
      </c>
      <c r="D617">
        <v>58</v>
      </c>
      <c r="E617">
        <v>49</v>
      </c>
      <c r="F617">
        <v>9</v>
      </c>
      <c r="G617">
        <v>2</v>
      </c>
      <c r="H617" s="1">
        <v>2.638888888888889E-3</v>
      </c>
      <c r="I617">
        <v>2023</v>
      </c>
      <c r="J617" t="s">
        <v>83</v>
      </c>
      <c r="K617" s="2" t="str">
        <f>HYPERLINK("https://www.nba.com/stats/events?CFID=&amp;CFPARAMS=&amp;GameEventID=245&amp;GameID=0022300956&amp;Season=2023-24&amp;flag=1&amp;title=Leonard%206'%20pullup%20Jump%20Shot%20(14%20PTS)%20(B.%20Hyland%203%20AST)", "6' pullup Jump Shot (14 PTS) (B. Hyland 3 AST)")</f>
        <v>6' pullup Jump Shot (14 PTS) (B. Hyland 3 AST)</v>
      </c>
      <c r="L617" s="2" t="str">
        <f>HYPERLINK("https://www.nba.com/game/...-vs-...-0022300956/play-by-play?watchFullGame=true", "LAC vs CHI - Q2 03:48.00")</f>
        <v>LAC vs CHI - Q2 03:48.00</v>
      </c>
      <c r="M617">
        <v>6.92</v>
      </c>
      <c r="N617">
        <v>12.57</v>
      </c>
      <c r="O617">
        <v>45.59</v>
      </c>
      <c r="P617">
        <v>22</v>
      </c>
      <c r="Q617">
        <v>66</v>
      </c>
      <c r="R617">
        <v>12</v>
      </c>
      <c r="S617">
        <v>45</v>
      </c>
    </row>
    <row r="618" spans="1:21" hidden="1" x14ac:dyDescent="0.25">
      <c r="A618">
        <v>22200902</v>
      </c>
      <c r="B618" t="s">
        <v>18</v>
      </c>
      <c r="C618" t="s">
        <v>89</v>
      </c>
      <c r="D618">
        <v>114</v>
      </c>
      <c r="E618">
        <v>104</v>
      </c>
      <c r="F618">
        <v>10</v>
      </c>
      <c r="G618">
        <v>3</v>
      </c>
      <c r="H618" s="1">
        <v>8.3333333333333339E-4</v>
      </c>
      <c r="I618">
        <v>2022</v>
      </c>
      <c r="J618" t="s">
        <v>83</v>
      </c>
      <c r="K618" s="2" t="str">
        <f>HYPERLINK("https://www.nba.com/stats/events?CFID=&amp;CFPARAMS=&amp;GameEventID=476&amp;GameID=0022200902&amp;Season=2022-23&amp;flag=1&amp;title=Leonard%206'%20driving%20Hook%20(38%20PTS)", "6' driving Hook (38 PTS)")</f>
        <v>6' driving Hook (38 PTS)</v>
      </c>
      <c r="L618" s="2" t="str">
        <f>HYPERLINK("https://www.nba.com/game/...-vs-...-0022200902/play-by-play?watchFullGame=true", "LAC vs SAC - Q3 01:12.00")</f>
        <v>LAC vs SAC - Q3 01:12.00</v>
      </c>
      <c r="M618">
        <v>6.9</v>
      </c>
      <c r="N618">
        <v>12.93</v>
      </c>
      <c r="O618">
        <v>50.49</v>
      </c>
      <c r="P618">
        <v>-2</v>
      </c>
      <c r="Q618">
        <v>69</v>
      </c>
      <c r="R618">
        <v>12</v>
      </c>
      <c r="S618">
        <v>50</v>
      </c>
    </row>
    <row r="619" spans="1:21" hidden="1" x14ac:dyDescent="0.25">
      <c r="A619">
        <v>22200423</v>
      </c>
      <c r="B619" t="s">
        <v>18</v>
      </c>
      <c r="C619" t="s">
        <v>89</v>
      </c>
      <c r="D619">
        <v>69</v>
      </c>
      <c r="E619">
        <v>69</v>
      </c>
      <c r="F619">
        <v>0</v>
      </c>
      <c r="G619">
        <v>4</v>
      </c>
      <c r="H619" s="1">
        <v>7.6388888888888886E-3</v>
      </c>
      <c r="I619">
        <v>2022</v>
      </c>
      <c r="J619" t="s">
        <v>83</v>
      </c>
      <c r="K619" s="2" t="str">
        <f>HYPERLINK("https://www.nba.com/stats/events?CFID=&amp;CFPARAMS=&amp;GameEventID=482&amp;GameID=0022200423&amp;Season=2022-23&amp;flag=1&amp;title=Leonard%206'%20Hook%20(11%20PTS)", "6' Hook (11 PTS)")</f>
        <v>6' Hook (11 PTS)</v>
      </c>
      <c r="L619" s="2" t="str">
        <f>HYPERLINK("https://www.nba.com/game/...-vs-...-0022200423/play-by-play?watchFullGame=true", "LAC vs MIN - Q4 11:00.00")</f>
        <v>LAC vs MIN - Q4 11:00.00</v>
      </c>
      <c r="M619">
        <v>6.86</v>
      </c>
      <c r="N619">
        <v>12.4</v>
      </c>
      <c r="O619">
        <v>54.9</v>
      </c>
      <c r="P619">
        <v>-25</v>
      </c>
      <c r="Q619">
        <v>64</v>
      </c>
      <c r="R619">
        <v>12</v>
      </c>
      <c r="S619">
        <v>54</v>
      </c>
    </row>
    <row r="620" spans="1:21" hidden="1" x14ac:dyDescent="0.25">
      <c r="A620">
        <v>42000175</v>
      </c>
      <c r="B620" t="s">
        <v>18</v>
      </c>
      <c r="C620" t="s">
        <v>19</v>
      </c>
      <c r="D620">
        <v>67</v>
      </c>
      <c r="E620">
        <v>62</v>
      </c>
      <c r="F620">
        <v>5</v>
      </c>
      <c r="G620">
        <v>3</v>
      </c>
      <c r="H620" s="1">
        <v>5.6365740740740742E-3</v>
      </c>
      <c r="I620" t="s">
        <v>91</v>
      </c>
      <c r="J620" t="s">
        <v>83</v>
      </c>
      <c r="K620" s="2" t="str">
        <f>HYPERLINK("https://www.nba.com/stats/events?CFID=&amp;CFPARAMS=&amp;GameEventID=378&amp;GameID=0042000175&amp;Season=2020-21&amp;flag=1&amp;title=Leonard%206'%20fadeaway%20Jump%20Shot%20(13%20PTS)%20(R.%20Jackson%201%20AST)", "6' fadeaway Jump Shot (13 PTS) (R. Jackson 1 AST)")</f>
        <v>6' fadeaway Jump Shot (13 PTS) (R. Jackson 1 AST)</v>
      </c>
      <c r="L620" s="2" t="str">
        <f>HYPERLINK("https://www.nba.com/game/...-vs-...-0042000175/play-by-play?watchFullGame=true", "LAC vs DAL - Q3 08:07.00")</f>
        <v>LAC vs DAL - Q3 08:07.00</v>
      </c>
      <c r="M620">
        <v>6.83</v>
      </c>
      <c r="N620">
        <v>12.7</v>
      </c>
      <c r="O620">
        <v>52.77</v>
      </c>
      <c r="P620">
        <v>12</v>
      </c>
      <c r="Q620">
        <v>52</v>
      </c>
      <c r="R620">
        <v>12</v>
      </c>
      <c r="S620">
        <v>52</v>
      </c>
    </row>
    <row r="621" spans="1:21" hidden="1" x14ac:dyDescent="0.25">
      <c r="A621">
        <v>22301225</v>
      </c>
      <c r="B621" t="s">
        <v>18</v>
      </c>
      <c r="C621" t="s">
        <v>19</v>
      </c>
      <c r="D621">
        <v>77</v>
      </c>
      <c r="E621">
        <v>61</v>
      </c>
      <c r="F621">
        <v>16</v>
      </c>
      <c r="G621">
        <v>3</v>
      </c>
      <c r="H621" s="1">
        <v>3.3912037037037036E-3</v>
      </c>
      <c r="I621">
        <v>2023</v>
      </c>
      <c r="J621" t="s">
        <v>83</v>
      </c>
      <c r="K621" s="2" t="str">
        <f>HYPERLINK("https://www.nba.com/stats/events?CFID=&amp;CFPARAMS=&amp;GameEventID=425&amp;GameID=0022301225&amp;Season=2023-24&amp;flag=1&amp;title=Leonard%206'%20driving%20floating%20Jump%20Shot%20(26%20PTS)", "6' driving floating Jump Shot (26 PTS)")</f>
        <v>6' driving floating Jump Shot (26 PTS)</v>
      </c>
      <c r="L621" s="2" t="str">
        <f>HYPERLINK("https://www.nba.com/game/...-vs-...-0022301225/play-by-play?watchFullGame=true", "LAC vs UTA - Q3 04:53.00")</f>
        <v>LAC vs UTA - Q3 04:53.00</v>
      </c>
      <c r="M621">
        <v>6.72</v>
      </c>
      <c r="N621">
        <v>12.7</v>
      </c>
      <c r="O621">
        <v>48.77</v>
      </c>
      <c r="P621">
        <v>6</v>
      </c>
      <c r="Q621">
        <v>67</v>
      </c>
      <c r="R621">
        <v>12</v>
      </c>
      <c r="S621">
        <v>48</v>
      </c>
    </row>
    <row r="622" spans="1:21" hidden="1" x14ac:dyDescent="0.25">
      <c r="A622">
        <v>21900016</v>
      </c>
      <c r="B622" t="s">
        <v>18</v>
      </c>
      <c r="C622" t="s">
        <v>84</v>
      </c>
      <c r="D622">
        <v>46</v>
      </c>
      <c r="E622">
        <v>38</v>
      </c>
      <c r="F622">
        <v>8</v>
      </c>
      <c r="G622">
        <v>2</v>
      </c>
      <c r="H622" s="1">
        <v>5.6712962962962967E-3</v>
      </c>
      <c r="I622">
        <v>2019</v>
      </c>
      <c r="J622" t="s">
        <v>83</v>
      </c>
      <c r="K622" s="2" t="str">
        <f>HYPERLINK("https://www.nba.com/stats/events?CFID=&amp;CFPARAMS=&amp;GameEventID=226&amp;GameID=0021900016&amp;Season=2019-20&amp;flag=1&amp;title=[LAC]%20Leonard%20jumpshot:%20Made%20(6%20PTS)", "[LAC] Leonard jumpshot: Made (6 PTS)")</f>
        <v>[LAC] Leonard jumpshot: Made (6 PTS)</v>
      </c>
      <c r="L622" s="2" t="str">
        <f>HYPERLINK("https://www.nba.com/game/...-vs-...-0021900016/play-by-play?watchFullGame=true", "LAC vs GSW - Q2 08:10.00")</f>
        <v>LAC vs GSW - Q2 08:10.00</v>
      </c>
      <c r="M622">
        <v>6.63</v>
      </c>
      <c r="N622">
        <v>12.04</v>
      </c>
      <c r="O622">
        <v>49.33</v>
      </c>
      <c r="P622">
        <v>3</v>
      </c>
      <c r="Q622">
        <v>61</v>
      </c>
      <c r="R622">
        <v>12</v>
      </c>
      <c r="S622">
        <v>49</v>
      </c>
    </row>
    <row r="623" spans="1:21" hidden="1" x14ac:dyDescent="0.25">
      <c r="A623">
        <v>22201162</v>
      </c>
      <c r="B623" t="s">
        <v>18</v>
      </c>
      <c r="C623" t="s">
        <v>19</v>
      </c>
      <c r="D623">
        <v>64</v>
      </c>
      <c r="E623">
        <v>62</v>
      </c>
      <c r="F623">
        <v>2</v>
      </c>
      <c r="G623">
        <v>3</v>
      </c>
      <c r="H623" s="1">
        <v>6.9212962962962961E-3</v>
      </c>
      <c r="I623">
        <v>2022</v>
      </c>
      <c r="J623" t="s">
        <v>83</v>
      </c>
      <c r="K623" s="2" t="str">
        <f>HYPERLINK("https://www.nba.com/stats/events?CFID=&amp;CFPARAMS=&amp;GameEventID=356&amp;GameID=0022201162&amp;Season=2022-23&amp;flag=1&amp;title=Leonard%206'%20floating%20Jump%20Shot%20(17%20PTS)", "6' floating Jump Shot (17 PTS)")</f>
        <v>6' floating Jump Shot (17 PTS)</v>
      </c>
      <c r="L623" s="2" t="str">
        <f>HYPERLINK("https://www.nba.com/game/...-vs-...-0022201162/play-by-play?watchFullGame=true", "LAC vs NOP - Q3 09:58.00")</f>
        <v>LAC vs NOP - Q3 09:58.00</v>
      </c>
      <c r="M623">
        <v>6.6</v>
      </c>
      <c r="N623">
        <v>12.57</v>
      </c>
      <c r="O623">
        <v>48.53</v>
      </c>
      <c r="P623">
        <v>7</v>
      </c>
      <c r="Q623">
        <v>66</v>
      </c>
      <c r="R623">
        <v>12</v>
      </c>
      <c r="S623">
        <v>48</v>
      </c>
    </row>
    <row r="624" spans="1:21" hidden="1" x14ac:dyDescent="0.25">
      <c r="A624">
        <v>22300964</v>
      </c>
      <c r="B624" t="s">
        <v>18</v>
      </c>
      <c r="C624" t="s">
        <v>89</v>
      </c>
      <c r="D624">
        <v>102</v>
      </c>
      <c r="E624">
        <v>107</v>
      </c>
      <c r="F624">
        <v>5</v>
      </c>
      <c r="G624">
        <v>4</v>
      </c>
      <c r="H624" s="1">
        <v>1.3888888888888889E-3</v>
      </c>
      <c r="I624">
        <v>2023</v>
      </c>
      <c r="J624" t="s">
        <v>83</v>
      </c>
      <c r="K624" s="2" t="str">
        <f>HYPERLINK("https://www.nba.com/stats/events?CFID=&amp;CFPARAMS=&amp;GameEventID=590&amp;GameID=0022300964&amp;Season=2023-24&amp;flag=1&amp;title=Leonard%206'%20driving%20Hook%20(23%20PTS)%20(N.%20Powell%201%20AST)", "6' driving Hook (23 PTS) (N. Powell 1 AST)")</f>
        <v>6' driving Hook (23 PTS) (N. Powell 1 AST)</v>
      </c>
      <c r="L624" s="2" t="str">
        <f>HYPERLINK("https://www.nba.com/game/...-vs-...-0022300964/play-by-play?watchFullGame=true", "LAC vs NOP - Q4 02:00.00")</f>
        <v>LAC vs NOP - Q4 02:00.00</v>
      </c>
      <c r="M624">
        <v>6.43</v>
      </c>
      <c r="N624">
        <v>12.3</v>
      </c>
      <c r="O624">
        <v>47.55</v>
      </c>
      <c r="P624">
        <v>12</v>
      </c>
      <c r="Q624">
        <v>63</v>
      </c>
      <c r="R624">
        <v>12</v>
      </c>
      <c r="S624">
        <v>47</v>
      </c>
    </row>
    <row r="625" spans="1:19" hidden="1" x14ac:dyDescent="0.25">
      <c r="A625">
        <v>22300325</v>
      </c>
      <c r="B625" t="s">
        <v>18</v>
      </c>
      <c r="C625" t="s">
        <v>89</v>
      </c>
      <c r="D625">
        <v>57</v>
      </c>
      <c r="E625">
        <v>45</v>
      </c>
      <c r="F625">
        <v>12</v>
      </c>
      <c r="G625">
        <v>2</v>
      </c>
      <c r="H625" s="1">
        <v>3.1944444444444446E-3</v>
      </c>
      <c r="I625">
        <v>2023</v>
      </c>
      <c r="J625" t="s">
        <v>83</v>
      </c>
      <c r="K625" s="2" t="str">
        <f>HYPERLINK("https://www.nba.com/stats/events?CFID=&amp;CFPARAMS=&amp;GameEventID=289&amp;GameID=0022300325&amp;Season=2023-24&amp;flag=1&amp;title=Leonard%206'%20driving%20Hook%20(16%20PTS)", "6' driving Hook (16 PTS)")</f>
        <v>6' driving Hook (16 PTS)</v>
      </c>
      <c r="L625" s="2" t="str">
        <f>HYPERLINK("https://www.nba.com/game/...-vs-...-0022300325/play-by-play?watchFullGame=true", "LAC vs GSW - Q2 04:36.00")</f>
        <v>LAC vs GSW - Q2 04:36.00</v>
      </c>
      <c r="M625">
        <v>6.41</v>
      </c>
      <c r="N625">
        <v>12.4</v>
      </c>
      <c r="O625">
        <v>50.49</v>
      </c>
      <c r="P625">
        <v>-2</v>
      </c>
      <c r="Q625">
        <v>64</v>
      </c>
      <c r="R625">
        <v>12</v>
      </c>
      <c r="S625">
        <v>50</v>
      </c>
    </row>
    <row r="626" spans="1:19" hidden="1" x14ac:dyDescent="0.25">
      <c r="A626">
        <v>22000701</v>
      </c>
      <c r="B626" t="s">
        <v>18</v>
      </c>
      <c r="C626" t="s">
        <v>19</v>
      </c>
      <c r="D626">
        <v>2</v>
      </c>
      <c r="E626">
        <v>0</v>
      </c>
      <c r="F626">
        <v>2</v>
      </c>
      <c r="G626">
        <v>1</v>
      </c>
      <c r="H626" s="1">
        <v>7.8819444444444449E-3</v>
      </c>
      <c r="I626">
        <v>2020</v>
      </c>
      <c r="J626" t="s">
        <v>83</v>
      </c>
      <c r="K626" s="2" t="str">
        <f>HYPERLINK("https://www.nba.com/stats/events?CFID=&amp;CFPARAMS=&amp;GameEventID=9&amp;GameID=0022000701&amp;Season=2020-21&amp;flag=1&amp;title=Leonard%206'%20Jump%20Shot%20(2%20PTS)", "6' Jump Shot (2 PTS)")</f>
        <v>6' Jump Shot (2 PTS)</v>
      </c>
      <c r="L626" s="2" t="str">
        <f>HYPERLINK("https://www.nba.com/game/...-vs-...-0022000701/play-by-play?watchFullGame=true", "LAC vs PHI - Q1 11:21.00")</f>
        <v>LAC vs PHI - Q1 11:21.00</v>
      </c>
      <c r="M626">
        <v>6.41</v>
      </c>
      <c r="N626">
        <v>12.4</v>
      </c>
      <c r="O626">
        <v>49.69</v>
      </c>
      <c r="P626">
        <v>2</v>
      </c>
      <c r="Q626">
        <v>64</v>
      </c>
      <c r="R626">
        <v>12</v>
      </c>
      <c r="S626">
        <v>49</v>
      </c>
    </row>
    <row r="627" spans="1:19" hidden="1" x14ac:dyDescent="0.25">
      <c r="A627">
        <v>22300127</v>
      </c>
      <c r="B627" t="s">
        <v>18</v>
      </c>
      <c r="C627" t="s">
        <v>89</v>
      </c>
      <c r="D627">
        <v>121</v>
      </c>
      <c r="E627">
        <v>124</v>
      </c>
      <c r="F627">
        <v>3</v>
      </c>
      <c r="G627">
        <v>5</v>
      </c>
      <c r="H627" s="1">
        <v>1.25E-3</v>
      </c>
      <c r="I627">
        <v>2023</v>
      </c>
      <c r="J627" t="s">
        <v>83</v>
      </c>
      <c r="K627" s="2" t="str">
        <f>HYPERLINK("https://www.nba.com/stats/events?CFID=&amp;CFPARAMS=&amp;GameEventID=728&amp;GameID=0022300127&amp;Season=2023-24&amp;flag=1&amp;title=Leonard%206'%20driving%20Hook%20(34%20PTS)%20(R.%20Westbrook%207%20AST)", "6' driving Hook (34 PTS) (R. Westbrook 7 AST)")</f>
        <v>6' driving Hook (34 PTS) (R. Westbrook 7 AST)</v>
      </c>
      <c r="L627" s="2" t="str">
        <f>HYPERLINK("https://www.nba.com/game/...-vs-...-0022300127/play-by-play?watchFullGame=true", "LAC vs LAL - Q5 01:48.00")</f>
        <v>LAC vs LAL - Q5 01:48.00</v>
      </c>
      <c r="M627">
        <v>6.4</v>
      </c>
      <c r="N627">
        <v>12.14</v>
      </c>
      <c r="O627">
        <v>53.43</v>
      </c>
      <c r="P627">
        <v>-17</v>
      </c>
      <c r="Q627">
        <v>62</v>
      </c>
      <c r="R627">
        <v>12</v>
      </c>
      <c r="S627">
        <v>53</v>
      </c>
    </row>
    <row r="628" spans="1:19" hidden="1" x14ac:dyDescent="0.25">
      <c r="A628">
        <v>22000717</v>
      </c>
      <c r="B628" t="s">
        <v>18</v>
      </c>
      <c r="C628" t="s">
        <v>89</v>
      </c>
      <c r="D628">
        <v>23</v>
      </c>
      <c r="E628">
        <v>20</v>
      </c>
      <c r="F628">
        <v>3</v>
      </c>
      <c r="G628">
        <v>1</v>
      </c>
      <c r="H628" s="1">
        <v>3.2638888888888891E-3</v>
      </c>
      <c r="I628">
        <v>2020</v>
      </c>
      <c r="J628" t="s">
        <v>83</v>
      </c>
      <c r="K628" s="2" t="str">
        <f>HYPERLINK("https://www.nba.com/stats/events?CFID=&amp;CFPARAMS=&amp;GameEventID=88&amp;GameID=0022000717&amp;Season=2020-21&amp;flag=1&amp;title=Leonard%206'%20turnaround%20Hook%20(8%20PTS)", "6' turnaround Hook (8 PTS)")</f>
        <v>6' turnaround Hook (8 PTS)</v>
      </c>
      <c r="L628" s="2" t="str">
        <f>HYPERLINK("https://www.nba.com/game/...-vs-...-0022000717/play-by-play?watchFullGame=true", "LAC vs MIL - Q1 04:42.00")</f>
        <v>LAC vs MIL - Q1 04:42.00</v>
      </c>
      <c r="M628">
        <v>6.08</v>
      </c>
      <c r="N628">
        <v>12.04</v>
      </c>
      <c r="O628">
        <v>50.56</v>
      </c>
      <c r="P628">
        <v>-3</v>
      </c>
      <c r="Q628">
        <v>61</v>
      </c>
      <c r="R628">
        <v>12</v>
      </c>
      <c r="S628">
        <v>50</v>
      </c>
    </row>
    <row r="629" spans="1:19" hidden="1" x14ac:dyDescent="0.25">
      <c r="A629">
        <v>22000775</v>
      </c>
      <c r="B629" t="s">
        <v>18</v>
      </c>
      <c r="C629" t="s">
        <v>19</v>
      </c>
      <c r="D629">
        <v>123</v>
      </c>
      <c r="E629">
        <v>104</v>
      </c>
      <c r="F629">
        <v>19</v>
      </c>
      <c r="G629">
        <v>4</v>
      </c>
      <c r="H629" s="1">
        <v>3.7268518518518519E-3</v>
      </c>
      <c r="I629">
        <v>2020</v>
      </c>
      <c r="J629" t="s">
        <v>83</v>
      </c>
      <c r="K629" s="2" t="str">
        <f>HYPERLINK("https://www.nba.com/stats/events?CFID=&amp;CFPARAMS=&amp;GameEventID=581&amp;GameID=0022000775&amp;Season=2020-21&amp;flag=1&amp;title=Leonard%2015'%20Jump%20Shot%20(24%20PTS)%20(P.%20George%205%20AST)", "15' Jump Shot (24 PTS) (P. George 5 AST)")</f>
        <v>15' Jump Shot (24 PTS) (P. George 5 AST)</v>
      </c>
      <c r="L629" s="2" t="str">
        <f>HYPERLINK("https://www.nba.com/game/...-vs-...-0022000775/play-by-play?watchFullGame=true", "LAC vs POR - Q4 05:22.00")</f>
        <v>LAC vs POR - Q4 05:22.00</v>
      </c>
      <c r="M629">
        <v>15.56</v>
      </c>
      <c r="N629">
        <v>13.22</v>
      </c>
      <c r="O629">
        <v>22.37</v>
      </c>
      <c r="P629">
        <v>138</v>
      </c>
      <c r="Q629">
        <v>72</v>
      </c>
      <c r="R629">
        <v>13</v>
      </c>
      <c r="S629">
        <v>22</v>
      </c>
    </row>
    <row r="630" spans="1:19" hidden="1" x14ac:dyDescent="0.25">
      <c r="A630">
        <v>21900589</v>
      </c>
      <c r="B630" t="s">
        <v>18</v>
      </c>
      <c r="C630" t="s">
        <v>84</v>
      </c>
      <c r="D630">
        <v>20</v>
      </c>
      <c r="E630">
        <v>16</v>
      </c>
      <c r="F630">
        <v>4</v>
      </c>
      <c r="G630">
        <v>1</v>
      </c>
      <c r="H630" s="1">
        <v>3.449074074074074E-3</v>
      </c>
      <c r="I630">
        <v>2019</v>
      </c>
      <c r="J630" t="s">
        <v>83</v>
      </c>
      <c r="K630" s="2" t="str">
        <f>HYPERLINK("https://www.nba.com/stats/events?CFID=&amp;CFPARAMS=&amp;GameEventID=74&amp;GameID=0021900589&amp;Season=2019-20&amp;flag=1&amp;title=Leonard%2016'%20jumpshot%20(6%20PTS)%20(I.%20Zubac%201%20AST)", "16' jumpshot (6 PTS) (I. Zubac 1 AST)")</f>
        <v>16' jumpshot (6 PTS) (I. Zubac 1 AST)</v>
      </c>
      <c r="L630" s="2" t="str">
        <f>HYPERLINK("https://www.nba.com/game/...-vs-...-0021900589/play-by-play?watchFullGame=true", "LAC vs DEN - Q1 04:58.00")</f>
        <v>LAC vs DEN - Q1 04:58.00</v>
      </c>
      <c r="M630">
        <v>15.52</v>
      </c>
      <c r="N630">
        <v>13.88</v>
      </c>
      <c r="O630">
        <v>23.84</v>
      </c>
      <c r="P630">
        <v>131</v>
      </c>
      <c r="Q630">
        <v>78</v>
      </c>
      <c r="R630">
        <v>13</v>
      </c>
      <c r="S630">
        <v>23</v>
      </c>
    </row>
    <row r="631" spans="1:19" hidden="1" x14ac:dyDescent="0.25">
      <c r="A631">
        <v>21900068</v>
      </c>
      <c r="B631" t="s">
        <v>18</v>
      </c>
      <c r="C631" t="s">
        <v>84</v>
      </c>
      <c r="D631">
        <v>4</v>
      </c>
      <c r="E631">
        <v>0</v>
      </c>
      <c r="F631">
        <v>4</v>
      </c>
      <c r="G631">
        <v>1</v>
      </c>
      <c r="H631" s="1">
        <v>6.3425925925925924E-3</v>
      </c>
      <c r="I631">
        <v>2019</v>
      </c>
      <c r="J631" t="s">
        <v>83</v>
      </c>
      <c r="K631" s="2" t="str">
        <f>HYPERLINK("https://www.nba.com/stats/events?CFID=&amp;CFPARAMS=&amp;GameEventID=29&amp;GameID=0021900068&amp;Season=2019-20&amp;flag=1&amp;title=[LAC]%20Leonard%20jumpshot:%20Made%20(4%20PTS)", "[LAC] Leonard jumpshot: Made (4 PTS)")</f>
        <v>[LAC] Leonard jumpshot: Made (4 PTS)</v>
      </c>
      <c r="L631" s="2" t="str">
        <f>HYPERLINK("https://www.nba.com/game/...-vs-...-0021900068/play-by-play?watchFullGame=true", "LAC vs SAS - Q1 09:08.00")</f>
        <v>LAC vs SAS - Q1 09:08.00</v>
      </c>
      <c r="M631">
        <v>19.37</v>
      </c>
      <c r="N631">
        <v>13.58</v>
      </c>
      <c r="O631">
        <v>85.23</v>
      </c>
      <c r="P631">
        <v>-176</v>
      </c>
      <c r="Q631">
        <v>75</v>
      </c>
      <c r="R631">
        <v>13</v>
      </c>
      <c r="S631">
        <v>85</v>
      </c>
    </row>
    <row r="632" spans="1:19" hidden="1" x14ac:dyDescent="0.25">
      <c r="A632">
        <v>22000966</v>
      </c>
      <c r="B632" t="s">
        <v>18</v>
      </c>
      <c r="C632" t="s">
        <v>19</v>
      </c>
      <c r="D632">
        <v>91</v>
      </c>
      <c r="E632">
        <v>99</v>
      </c>
      <c r="F632">
        <v>8</v>
      </c>
      <c r="G632">
        <v>4</v>
      </c>
      <c r="H632" s="1">
        <v>2.8356481481481483E-3</v>
      </c>
      <c r="I632">
        <v>2020</v>
      </c>
      <c r="J632" t="s">
        <v>83</v>
      </c>
      <c r="K632" s="2" t="str">
        <f>HYPERLINK("https://www.nba.com/stats/events?CFID=&amp;CFPARAMS=&amp;GameEventID=555&amp;GameID=0022000966&amp;Season=2020-21&amp;flag=1&amp;title=Leonard%2012'%20pullup%20Jump%20Shot%20(14%20PTS)", "12' pullup Jump Shot (14 PTS)")</f>
        <v>12' pullup Jump Shot (14 PTS)</v>
      </c>
      <c r="L632" s="2" t="str">
        <f>HYPERLINK("https://www.nba.com/game/...-vs-...-0022000966/play-by-play?watchFullGame=true", "LAC vs DEN - Q4 04:05.00")</f>
        <v>LAC vs DEN - Q4 04:05.00</v>
      </c>
      <c r="M632">
        <v>12.44</v>
      </c>
      <c r="N632">
        <v>13.62</v>
      </c>
      <c r="O632">
        <v>30.22</v>
      </c>
      <c r="P632">
        <v>99</v>
      </c>
      <c r="Q632">
        <v>75</v>
      </c>
      <c r="R632">
        <v>13</v>
      </c>
      <c r="S632">
        <v>30</v>
      </c>
    </row>
    <row r="633" spans="1:19" hidden="1" x14ac:dyDescent="0.25">
      <c r="A633">
        <v>42000221</v>
      </c>
      <c r="B633" t="s">
        <v>18</v>
      </c>
      <c r="C633" t="s">
        <v>19</v>
      </c>
      <c r="D633">
        <v>53</v>
      </c>
      <c r="E633">
        <v>42</v>
      </c>
      <c r="F633">
        <v>11</v>
      </c>
      <c r="G633">
        <v>2</v>
      </c>
      <c r="H633" s="1">
        <v>2.3726851851851851E-3</v>
      </c>
      <c r="I633" t="s">
        <v>94</v>
      </c>
      <c r="J633" t="s">
        <v>83</v>
      </c>
      <c r="K633" s="2" t="str">
        <f>HYPERLINK("https://www.nba.com/stats/events?CFID=&amp;CFPARAMS=&amp;GameEventID=306&amp;GameID=0042000221&amp;Season=2020-21&amp;flag=1&amp;title=Leonard%2012'%20pullup%20Jump%20Shot%20(6%20PTS)", "12' pullup Jump Shot (6 PTS)")</f>
        <v>12' pullup Jump Shot (6 PTS)</v>
      </c>
      <c r="L633" s="2" t="str">
        <f>HYPERLINK("https://www.nba.com/game/...-vs-...-0042000221/play-by-play?watchFullGame=true", "LAC vs UTA - Q2 03:25.00")</f>
        <v>LAC vs UTA - Q2 03:25.00</v>
      </c>
      <c r="M633">
        <v>12.23</v>
      </c>
      <c r="N633">
        <v>13.75</v>
      </c>
      <c r="O633">
        <v>30.95</v>
      </c>
      <c r="P633">
        <v>13</v>
      </c>
      <c r="Q633">
        <v>30</v>
      </c>
      <c r="R633">
        <v>13</v>
      </c>
      <c r="S633">
        <v>30</v>
      </c>
    </row>
    <row r="634" spans="1:19" hidden="1" x14ac:dyDescent="0.25">
      <c r="A634">
        <v>22200902</v>
      </c>
      <c r="B634" t="s">
        <v>18</v>
      </c>
      <c r="C634" t="s">
        <v>19</v>
      </c>
      <c r="D634">
        <v>104</v>
      </c>
      <c r="E634">
        <v>97</v>
      </c>
      <c r="F634">
        <v>7</v>
      </c>
      <c r="G634">
        <v>3</v>
      </c>
      <c r="H634" s="1">
        <v>2.6967592592592594E-3</v>
      </c>
      <c r="I634">
        <v>2022</v>
      </c>
      <c r="J634" t="s">
        <v>83</v>
      </c>
      <c r="K634" s="2" t="str">
        <f>HYPERLINK("https://www.nba.com/stats/events?CFID=&amp;CFPARAMS=&amp;GameEventID=448&amp;GameID=0022200902&amp;Season=2022-23&amp;flag=1&amp;title=Leonard%2010'%20turnaround%20fadeaway%20Jump%20Shot%20(33%20PTS)", "10' turnaround fadeaway Jump Shot (33 PTS)")</f>
        <v>10' turnaround fadeaway Jump Shot (33 PTS)</v>
      </c>
      <c r="L634" s="2" t="str">
        <f>HYPERLINK("https://www.nba.com/game/...-vs-...-0022200902/play-by-play?watchFullGame=true", "LAC vs SAC - Q3 03:53.00")</f>
        <v>LAC vs SAC - Q3 03:53.00</v>
      </c>
      <c r="M634">
        <v>10.99</v>
      </c>
      <c r="N634">
        <v>13.06</v>
      </c>
      <c r="O634">
        <v>66.91</v>
      </c>
      <c r="P634">
        <v>-85</v>
      </c>
      <c r="Q634">
        <v>70</v>
      </c>
      <c r="R634">
        <v>13</v>
      </c>
      <c r="S634">
        <v>66</v>
      </c>
    </row>
    <row r="635" spans="1:19" hidden="1" x14ac:dyDescent="0.25">
      <c r="A635">
        <v>41900152</v>
      </c>
      <c r="B635" t="s">
        <v>18</v>
      </c>
      <c r="C635" t="s">
        <v>84</v>
      </c>
      <c r="D635">
        <v>34</v>
      </c>
      <c r="E635">
        <v>47</v>
      </c>
      <c r="F635">
        <v>13</v>
      </c>
      <c r="G635">
        <v>2</v>
      </c>
      <c r="H635" s="1">
        <v>4.3287037037037035E-3</v>
      </c>
      <c r="I635" t="s">
        <v>86</v>
      </c>
      <c r="J635" t="s">
        <v>83</v>
      </c>
      <c r="K635" s="2" t="str">
        <f>HYPERLINK("https://www.nba.com/stats/events?CFID=&amp;CFPARAMS=&amp;GameEventID=250&amp;GameID=0041900152&amp;Season=2019-20&amp;flag=1&amp;title=Leonard%2011'%20jumpshot%20(12%20PTS)", "11' jumpshot (12 PTS)")</f>
        <v>11' jumpshot (12 PTS)</v>
      </c>
      <c r="L635" s="2" t="str">
        <f>HYPERLINK("https://www.nba.com/game/...-vs-...-0041900152/play-by-play?watchFullGame=true", "LAC vs DAL - Q2 06:14.00")</f>
        <v>LAC vs DAL - Q2 06:14.00</v>
      </c>
      <c r="M635">
        <v>10.56</v>
      </c>
      <c r="N635">
        <v>13.01</v>
      </c>
      <c r="O635">
        <v>64.8</v>
      </c>
      <c r="P635">
        <v>-74</v>
      </c>
      <c r="Q635">
        <v>70</v>
      </c>
      <c r="R635">
        <v>13</v>
      </c>
      <c r="S635">
        <v>64</v>
      </c>
    </row>
    <row r="636" spans="1:19" hidden="1" x14ac:dyDescent="0.25">
      <c r="A636">
        <v>22300917</v>
      </c>
      <c r="B636" t="s">
        <v>18</v>
      </c>
      <c r="C636" t="s">
        <v>19</v>
      </c>
      <c r="D636">
        <v>43</v>
      </c>
      <c r="E636">
        <v>52</v>
      </c>
      <c r="F636">
        <v>9</v>
      </c>
      <c r="G636">
        <v>2</v>
      </c>
      <c r="H636" s="1">
        <v>1.0300925925925926E-3</v>
      </c>
      <c r="I636">
        <v>2023</v>
      </c>
      <c r="J636" t="s">
        <v>83</v>
      </c>
      <c r="K636" s="2" t="str">
        <f>HYPERLINK("https://www.nba.com/stats/events?CFID=&amp;CFPARAMS=&amp;GameEventID=299&amp;GameID=0022300917&amp;Season=2023-24&amp;flag=1&amp;title=Leonard%2010'%20driving%20floating%20Jump%20Shot%20(9%20PTS)", "10' driving floating Jump Shot (9 PTS)")</f>
        <v>10' driving floating Jump Shot (9 PTS)</v>
      </c>
      <c r="L636" s="2" t="str">
        <f>HYPERLINK("https://www.nba.com/game/...-vs-...-0022300917/play-by-play?watchFullGame=true", "LAC vs CHI - Q2 01:29.00")</f>
        <v>LAC vs CHI - Q2 01:29.00</v>
      </c>
      <c r="M636">
        <v>10.18</v>
      </c>
      <c r="N636">
        <v>13.58</v>
      </c>
      <c r="O636">
        <v>63.73</v>
      </c>
      <c r="P636">
        <v>-69</v>
      </c>
      <c r="Q636">
        <v>75</v>
      </c>
      <c r="R636">
        <v>13</v>
      </c>
      <c r="S636">
        <v>63</v>
      </c>
    </row>
    <row r="637" spans="1:19" hidden="1" x14ac:dyDescent="0.25">
      <c r="A637">
        <v>22300880</v>
      </c>
      <c r="B637" t="s">
        <v>18</v>
      </c>
      <c r="C637" t="s">
        <v>89</v>
      </c>
      <c r="D637">
        <v>18</v>
      </c>
      <c r="E637">
        <v>19</v>
      </c>
      <c r="F637">
        <v>1</v>
      </c>
      <c r="G637">
        <v>1</v>
      </c>
      <c r="H637" s="1">
        <v>2.8124999999999999E-3</v>
      </c>
      <c r="I637">
        <v>2023</v>
      </c>
      <c r="J637" t="s">
        <v>83</v>
      </c>
      <c r="K637" s="2" t="str">
        <f>HYPERLINK("https://www.nba.com/stats/events?CFID=&amp;CFPARAMS=&amp;GameEventID=85&amp;GameID=0022300880&amp;Season=2023-24&amp;flag=1&amp;title=Leonard%2010'%20turnaround%20Hook%20(4%20PTS)", "10' turnaround Hook (4 PTS)")</f>
        <v>10' turnaround Hook (4 PTS)</v>
      </c>
      <c r="L637" s="2" t="str">
        <f>HYPERLINK("https://www.nba.com/game/...-vs-...-0022300880/play-by-play?watchFullGame=true", "LAC vs MIL - Q1 04:03.00")</f>
        <v>LAC vs MIL - Q1 04:03.00</v>
      </c>
      <c r="M637">
        <v>10.1</v>
      </c>
      <c r="N637">
        <v>13.22</v>
      </c>
      <c r="O637">
        <v>64.22</v>
      </c>
      <c r="P637">
        <v>-71</v>
      </c>
      <c r="Q637">
        <v>72</v>
      </c>
      <c r="R637">
        <v>13</v>
      </c>
      <c r="S637">
        <v>64</v>
      </c>
    </row>
    <row r="638" spans="1:19" hidden="1" x14ac:dyDescent="0.25">
      <c r="A638">
        <v>22200538</v>
      </c>
      <c r="B638" t="s">
        <v>18</v>
      </c>
      <c r="C638" t="s">
        <v>19</v>
      </c>
      <c r="D638">
        <v>75</v>
      </c>
      <c r="E638">
        <v>79</v>
      </c>
      <c r="F638">
        <v>4</v>
      </c>
      <c r="G638">
        <v>3</v>
      </c>
      <c r="H638" s="1">
        <v>4.4444444444444444E-3</v>
      </c>
      <c r="I638">
        <v>2022</v>
      </c>
      <c r="J638" t="s">
        <v>83</v>
      </c>
      <c r="K638" s="2" t="str">
        <f>HYPERLINK("https://www.nba.com/stats/events?CFID=&amp;CFPARAMS=&amp;GameEventID=355&amp;GameID=0022200538&amp;Season=2022-23&amp;flag=1&amp;title=Leonard%2010'%20pullup%20Jump%20Shot%20(14%20PTS)", "10' pullup Jump Shot (14 PTS)")</f>
        <v>10' pullup Jump Shot (14 PTS)</v>
      </c>
      <c r="L638" s="2" t="str">
        <f>HYPERLINK("https://www.nba.com/game/...-vs-...-0022200538/play-by-play?watchFullGame=true", "LAC vs IND - Q3 06:24.00")</f>
        <v>LAC vs IND - Q3 06:24.00</v>
      </c>
      <c r="M638">
        <v>10</v>
      </c>
      <c r="N638">
        <v>13.88</v>
      </c>
      <c r="O638">
        <v>37.5</v>
      </c>
      <c r="P638">
        <v>62</v>
      </c>
      <c r="Q638">
        <v>78</v>
      </c>
      <c r="R638">
        <v>13</v>
      </c>
      <c r="S638">
        <v>37</v>
      </c>
    </row>
    <row r="639" spans="1:19" hidden="1" x14ac:dyDescent="0.25">
      <c r="A639">
        <v>22001019</v>
      </c>
      <c r="B639" t="s">
        <v>18</v>
      </c>
      <c r="C639" t="s">
        <v>19</v>
      </c>
      <c r="D639">
        <v>94</v>
      </c>
      <c r="E639">
        <v>100</v>
      </c>
      <c r="F639">
        <v>6</v>
      </c>
      <c r="G639">
        <v>4</v>
      </c>
      <c r="H639" s="1">
        <v>6.9444444444444447E-4</v>
      </c>
      <c r="I639">
        <v>2020</v>
      </c>
      <c r="J639" t="s">
        <v>83</v>
      </c>
      <c r="K639" s="2" t="str">
        <f>HYPERLINK("https://www.nba.com/stats/events?CFID=&amp;CFPARAMS=&amp;GameEventID=533&amp;GameID=0022001019&amp;Season=2020-21&amp;flag=1&amp;title=Leonard%209'%20Jump%20Shot%20(23%20PTS)%20(N.%20Batum%203%20AST)", "9' Jump Shot (23 PTS) (N. Batum 3 AST)")</f>
        <v>9' Jump Shot (23 PTS) (N. Batum 3 AST)</v>
      </c>
      <c r="L639" s="2" t="str">
        <f>HYPERLINK("https://www.nba.com/game/...-vs-...-0022001019/play-by-play?watchFullGame=true", "LAC vs NYK - Q4 01:00.00")</f>
        <v>LAC vs NYK - Q4 01:00.00</v>
      </c>
      <c r="M639">
        <v>9.98</v>
      </c>
      <c r="N639">
        <v>13.88</v>
      </c>
      <c r="O639">
        <v>37.57</v>
      </c>
      <c r="P639">
        <v>62</v>
      </c>
      <c r="Q639">
        <v>78</v>
      </c>
      <c r="R639">
        <v>13</v>
      </c>
      <c r="S639">
        <v>37</v>
      </c>
    </row>
    <row r="640" spans="1:19" hidden="1" x14ac:dyDescent="0.25">
      <c r="A640">
        <v>42000172</v>
      </c>
      <c r="B640" t="s">
        <v>18</v>
      </c>
      <c r="C640" t="s">
        <v>19</v>
      </c>
      <c r="D640">
        <v>90</v>
      </c>
      <c r="E640">
        <v>98</v>
      </c>
      <c r="F640">
        <v>8</v>
      </c>
      <c r="G640">
        <v>3</v>
      </c>
      <c r="H640" s="1">
        <v>7.6388888888888893E-4</v>
      </c>
      <c r="I640" t="s">
        <v>91</v>
      </c>
      <c r="J640" t="s">
        <v>83</v>
      </c>
      <c r="K640" s="2" t="str">
        <f>HYPERLINK("https://www.nba.com/stats/events?CFID=&amp;CFPARAMS=&amp;GameEventID=447&amp;GameID=0042000172&amp;Season=2020-21&amp;flag=1&amp;title=Leonard%209'%20running%20Jump%20Shot%20(34%20PTS)%20(R.%20Rondo%205%20AST)", "9' running Jump Shot (34 PTS) (R. Rondo 5 AST)")</f>
        <v>9' running Jump Shot (34 PTS) (R. Rondo 5 AST)</v>
      </c>
      <c r="L640" s="2" t="str">
        <f>HYPERLINK("https://www.nba.com/game/...-vs-...-0042000172/play-by-play?watchFullGame=true", "LAC vs DAL - Q3 01:06.00")</f>
        <v>LAC vs DAL - Q3 01:06.00</v>
      </c>
      <c r="M640">
        <v>9.9499999999999993</v>
      </c>
      <c r="N640">
        <v>13.75</v>
      </c>
      <c r="O640">
        <v>37.32</v>
      </c>
      <c r="P640">
        <v>13</v>
      </c>
      <c r="Q640">
        <v>37</v>
      </c>
      <c r="R640">
        <v>13</v>
      </c>
      <c r="S640">
        <v>37</v>
      </c>
    </row>
    <row r="641" spans="1:21" hidden="1" x14ac:dyDescent="0.25">
      <c r="A641">
        <v>22301225</v>
      </c>
      <c r="B641" t="s">
        <v>18</v>
      </c>
      <c r="C641" t="s">
        <v>19</v>
      </c>
      <c r="D641">
        <v>79</v>
      </c>
      <c r="E641">
        <v>63</v>
      </c>
      <c r="F641">
        <v>16</v>
      </c>
      <c r="G641">
        <v>3</v>
      </c>
      <c r="H641" s="1">
        <v>2.9745370370370373E-3</v>
      </c>
      <c r="I641">
        <v>2023</v>
      </c>
      <c r="J641" t="s">
        <v>83</v>
      </c>
      <c r="K641" s="2" t="str">
        <f>HYPERLINK("https://www.nba.com/stats/events?CFID=&amp;CFPARAMS=&amp;GameEventID=429&amp;GameID=0022301225&amp;Season=2023-24&amp;flag=1&amp;title=Leonard%209'%20driving%20floating%20Jump%20Shot%20(28%20PTS)", "9' driving floating Jump Shot (28 PTS)")</f>
        <v>9' driving floating Jump Shot (28 PTS)</v>
      </c>
      <c r="L641" s="2" t="str">
        <f>HYPERLINK("https://www.nba.com/game/...-vs-...-0022301225/play-by-play?watchFullGame=true", "LAC vs UTA - Q3 04:17.00")</f>
        <v>LAC vs UTA - Q3 04:17.00</v>
      </c>
      <c r="M641">
        <v>9.43</v>
      </c>
      <c r="N641">
        <v>13.09</v>
      </c>
      <c r="O641">
        <v>37.5</v>
      </c>
      <c r="P641">
        <v>62</v>
      </c>
      <c r="Q641">
        <v>71</v>
      </c>
      <c r="R641">
        <v>13</v>
      </c>
      <c r="S641">
        <v>37</v>
      </c>
    </row>
    <row r="642" spans="1:21" hidden="1" x14ac:dyDescent="0.25">
      <c r="A642">
        <v>42000177</v>
      </c>
      <c r="B642" t="s">
        <v>18</v>
      </c>
      <c r="C642" t="s">
        <v>19</v>
      </c>
      <c r="D642">
        <v>108</v>
      </c>
      <c r="E642">
        <v>91</v>
      </c>
      <c r="F642">
        <v>17</v>
      </c>
      <c r="G642">
        <v>4</v>
      </c>
      <c r="H642" s="1">
        <v>5.347222222222222E-3</v>
      </c>
      <c r="I642" t="s">
        <v>91</v>
      </c>
      <c r="J642" t="s">
        <v>83</v>
      </c>
      <c r="K642" s="2" t="str">
        <f>HYPERLINK("https://www.nba.com/stats/events?CFID=&amp;CFPARAMS=&amp;GameEventID=533&amp;GameID=0042000177&amp;Season=2020-21&amp;flag=1&amp;title=Leonard%209'%20pullup%20Jump%20Shot%20(28%20PTS)", "9' pullup Jump Shot (28 PTS)")</f>
        <v>9' pullup Jump Shot (28 PTS)</v>
      </c>
      <c r="L642" s="2" t="str">
        <f>HYPERLINK("https://www.nba.com/game/...-vs-...-0042000177/play-by-play?watchFullGame=true", "LAC vs DAL - Q4 07:42.00")</f>
        <v>LAC vs DAL - Q4 07:42.00</v>
      </c>
      <c r="M642">
        <v>9.4</v>
      </c>
      <c r="N642">
        <v>13.62</v>
      </c>
      <c r="O642">
        <v>38.79</v>
      </c>
      <c r="P642">
        <v>13</v>
      </c>
      <c r="Q642">
        <v>38</v>
      </c>
      <c r="R642">
        <v>13</v>
      </c>
      <c r="S642">
        <v>38</v>
      </c>
    </row>
    <row r="643" spans="1:21" hidden="1" x14ac:dyDescent="0.25">
      <c r="A643">
        <v>21900626</v>
      </c>
      <c r="B643" t="s">
        <v>18</v>
      </c>
      <c r="C643" t="s">
        <v>84</v>
      </c>
      <c r="D643">
        <v>55</v>
      </c>
      <c r="E643">
        <v>54</v>
      </c>
      <c r="F643">
        <v>1</v>
      </c>
      <c r="G643">
        <v>2</v>
      </c>
      <c r="H643" s="1">
        <v>4.4675925925925924E-3</v>
      </c>
      <c r="I643">
        <v>2019</v>
      </c>
      <c r="J643" t="s">
        <v>83</v>
      </c>
      <c r="K643" s="2" t="str">
        <f>HYPERLINK("https://www.nba.com/stats/events?CFID=&amp;CFPARAMS=&amp;GameEventID=267&amp;GameID=0021900626&amp;Season=2019-20&amp;flag=1&amp;title=Leonard%209'%20jumpshot%20(17%20PTS)", "9' jumpshot (17 PTS)")</f>
        <v>9' jumpshot (17 PTS)</v>
      </c>
      <c r="L643" s="2" t="str">
        <f>HYPERLINK("https://www.nba.com/game/...-vs-...-0021900626/play-by-play?watchFullGame=true", "LAC vs NOP - Q2 06:26.00")</f>
        <v>LAC vs NOP - Q2 06:26.00</v>
      </c>
      <c r="M643">
        <v>9.3699999999999992</v>
      </c>
      <c r="N643">
        <v>13.22</v>
      </c>
      <c r="O643">
        <v>60.61</v>
      </c>
      <c r="P643">
        <v>-53</v>
      </c>
      <c r="Q643">
        <v>72</v>
      </c>
      <c r="R643">
        <v>13</v>
      </c>
      <c r="S643">
        <v>60</v>
      </c>
    </row>
    <row r="644" spans="1:21" hidden="1" x14ac:dyDescent="0.25">
      <c r="A644">
        <v>22300304</v>
      </c>
      <c r="B644" t="s">
        <v>18</v>
      </c>
      <c r="C644" t="s">
        <v>19</v>
      </c>
      <c r="D644">
        <v>74</v>
      </c>
      <c r="E644">
        <v>74</v>
      </c>
      <c r="F644">
        <v>0</v>
      </c>
      <c r="G644">
        <v>3</v>
      </c>
      <c r="H644" s="1">
        <v>6.3888888888888893E-3</v>
      </c>
      <c r="I644">
        <v>2023</v>
      </c>
      <c r="J644" t="s">
        <v>83</v>
      </c>
      <c r="K644" s="2" t="str">
        <f>HYPERLINK("https://www.nba.com/stats/events?CFID=&amp;CFPARAMS=&amp;GameEventID=341&amp;GameID=0022300304&amp;Season=2023-24&amp;flag=1&amp;title=Leonard%208'%20fadeaway%20Jump%20Shot%20(11%20PTS)%20(J.%20Harden%206%20AST)", "8' fadeaway Jump Shot (11 PTS) (J. Harden 6 AST)")</f>
        <v>8' fadeaway Jump Shot (11 PTS) (J. Harden 6 AST)</v>
      </c>
      <c r="L644" s="2" t="str">
        <f>HYPERLINK("https://www.nba.com/game/...-vs-...-0022300304/play-by-play?watchFullGame=true", "LAC vs POR - Q3 09:12.00")</f>
        <v>LAC vs POR - Q3 09:12.00</v>
      </c>
      <c r="M644">
        <v>8.8800000000000008</v>
      </c>
      <c r="N644">
        <v>13.85</v>
      </c>
      <c r="O644">
        <v>41.42</v>
      </c>
      <c r="P644">
        <v>43</v>
      </c>
      <c r="Q644">
        <v>78</v>
      </c>
      <c r="R644">
        <v>13</v>
      </c>
      <c r="S644">
        <v>41</v>
      </c>
    </row>
    <row r="645" spans="1:21" hidden="1" x14ac:dyDescent="0.25">
      <c r="A645">
        <v>42200171</v>
      </c>
      <c r="B645" t="s">
        <v>18</v>
      </c>
      <c r="C645" t="s">
        <v>19</v>
      </c>
      <c r="D645">
        <v>61</v>
      </c>
      <c r="E645">
        <v>56</v>
      </c>
      <c r="F645">
        <v>5</v>
      </c>
      <c r="G645">
        <v>3</v>
      </c>
      <c r="H645" s="1">
        <v>7.8819444444444449E-3</v>
      </c>
      <c r="I645" t="s">
        <v>96</v>
      </c>
      <c r="J645" t="s">
        <v>83</v>
      </c>
      <c r="K645" s="2" t="str">
        <f>HYPERLINK("https://www.nba.com/stats/events?CFID=&amp;CFPARAMS=&amp;GameEventID=344&amp;GameID=0042200171&amp;Season=2022-23&amp;flag=1&amp;title=Leonard%208'%20fadeaway%20Jump%20Shot%20(15%20PTS)", "8' fadeaway Jump Shot (15 PTS)")</f>
        <v>8' fadeaway Jump Shot (15 PTS)</v>
      </c>
      <c r="L645" s="2" t="str">
        <f>HYPERLINK("https://www.nba.com/game/...-vs-...-0042200171/play-by-play?watchFullGame=true", "LAC vs PHX - Q3 11:21.00")</f>
        <v>LAC vs PHX - Q3 11:21.00</v>
      </c>
      <c r="M645">
        <v>8.81</v>
      </c>
      <c r="N645">
        <v>13.09</v>
      </c>
      <c r="O645">
        <v>60.54</v>
      </c>
      <c r="P645">
        <v>13</v>
      </c>
      <c r="Q645">
        <v>60</v>
      </c>
      <c r="R645">
        <v>13</v>
      </c>
      <c r="S645">
        <v>60</v>
      </c>
    </row>
    <row r="646" spans="1:21" hidden="1" x14ac:dyDescent="0.25">
      <c r="A646">
        <v>22300526</v>
      </c>
      <c r="B646" t="s">
        <v>18</v>
      </c>
      <c r="C646" t="s">
        <v>19</v>
      </c>
      <c r="D646">
        <v>49</v>
      </c>
      <c r="E646">
        <v>48</v>
      </c>
      <c r="F646">
        <v>1</v>
      </c>
      <c r="G646">
        <v>2</v>
      </c>
      <c r="H646" s="1">
        <v>2.6967592592592594E-3</v>
      </c>
      <c r="I646">
        <v>2023</v>
      </c>
      <c r="J646" t="s">
        <v>83</v>
      </c>
      <c r="K646" s="2" t="str">
        <f>HYPERLINK("https://www.nba.com/stats/events?CFID=&amp;CFPARAMS=&amp;GameEventID=242&amp;GameID=0022300526&amp;Season=2023-24&amp;flag=1&amp;title=Leonard%208'%20pullup%20Jump%20Shot%20(14%20PTS)%20(J.%20Harden%205%20AST)", "8' pullup Jump Shot (14 PTS) (J. Harden 5 AST)")</f>
        <v>8' pullup Jump Shot (14 PTS) (J. Harden 5 AST)</v>
      </c>
      <c r="L646" s="2" t="str">
        <f>HYPERLINK("https://www.nba.com/game/...-vs-...-0022300526/play-by-play?watchFullGame=true", "LAC vs TOR - Q2 03:53.00")</f>
        <v>LAC vs TOR - Q2 03:53.00</v>
      </c>
      <c r="M646">
        <v>8.7799999999999994</v>
      </c>
      <c r="N646">
        <v>13.58</v>
      </c>
      <c r="O646">
        <v>40.93</v>
      </c>
      <c r="P646">
        <v>45</v>
      </c>
      <c r="Q646">
        <v>75</v>
      </c>
      <c r="R646">
        <v>13</v>
      </c>
      <c r="S646">
        <v>40</v>
      </c>
    </row>
    <row r="647" spans="1:21" hidden="1" x14ac:dyDescent="0.25">
      <c r="A647">
        <v>41900231</v>
      </c>
      <c r="B647" t="s">
        <v>18</v>
      </c>
      <c r="C647" t="s">
        <v>95</v>
      </c>
      <c r="D647">
        <v>89</v>
      </c>
      <c r="E647">
        <v>62</v>
      </c>
      <c r="F647">
        <v>27</v>
      </c>
      <c r="G647">
        <v>3</v>
      </c>
      <c r="H647" s="1">
        <v>2.2800925925925927E-3</v>
      </c>
      <c r="I647" t="s">
        <v>85</v>
      </c>
      <c r="J647" t="s">
        <v>83</v>
      </c>
      <c r="K647" s="2" t="str">
        <f>HYPERLINK("https://www.nba.com/stats/events?CFID=&amp;CFPARAMS=&amp;GameEventID=421&amp;GameID=0041900231&amp;Season=2019-20&amp;flag=1&amp;title=Leonard%209'%20hook%20(29%20PTS)%20(L.%20Shamet%201%20AST)", "9' hook (29 PTS) (L. Shamet 1 AST)")</f>
        <v>9' hook (29 PTS) (L. Shamet 1 AST)</v>
      </c>
      <c r="L647" s="2" t="str">
        <f>HYPERLINK("https://www.nba.com/game/...-vs-...-0041900231/play-by-play?watchFullGame=true", "LAC vs DEN - Q3 03:17.00")</f>
        <v>LAC vs DEN - Q3 03:17.00</v>
      </c>
      <c r="M647">
        <v>8.58</v>
      </c>
      <c r="N647">
        <v>13.49</v>
      </c>
      <c r="O647">
        <v>43.7</v>
      </c>
      <c r="P647">
        <v>32</v>
      </c>
      <c r="Q647">
        <v>74</v>
      </c>
      <c r="R647">
        <v>13</v>
      </c>
      <c r="S647">
        <v>43</v>
      </c>
    </row>
    <row r="648" spans="1:21" hidden="1" x14ac:dyDescent="0.25">
      <c r="A648">
        <v>22300350</v>
      </c>
      <c r="B648" t="s">
        <v>18</v>
      </c>
      <c r="C648" t="s">
        <v>19</v>
      </c>
      <c r="D648">
        <v>89</v>
      </c>
      <c r="E648">
        <v>71</v>
      </c>
      <c r="F648">
        <v>18</v>
      </c>
      <c r="G648">
        <v>3</v>
      </c>
      <c r="H648" s="1">
        <v>6.3657407407407404E-3</v>
      </c>
      <c r="I648">
        <v>2023</v>
      </c>
      <c r="J648" t="s">
        <v>83</v>
      </c>
      <c r="K648" s="2" t="str">
        <f>HYPERLINK("https://www.nba.com/stats/events?CFID=&amp;CFPARAMS=&amp;GameEventID=381&amp;GameID=0022300350&amp;Season=2023-24&amp;flag=1&amp;title=Leonard%208'%20turnaround%20Jump%20Shot%20(21%20PTS)", "8' turnaround Jump Shot (21 PTS)")</f>
        <v>8' turnaround Jump Shot (21 PTS)</v>
      </c>
      <c r="L648" s="2" t="str">
        <f>HYPERLINK("https://www.nba.com/game/...-vs-...-0022300350/play-by-play?watchFullGame=true", "LAC vs IND - Q3 09:10.00")</f>
        <v>LAC vs IND - Q3 09:10.00</v>
      </c>
      <c r="M648">
        <v>8.49</v>
      </c>
      <c r="N648">
        <v>13.22</v>
      </c>
      <c r="O648">
        <v>59.07</v>
      </c>
      <c r="P648">
        <v>-45</v>
      </c>
      <c r="Q648">
        <v>72</v>
      </c>
      <c r="R648">
        <v>13</v>
      </c>
      <c r="S648">
        <v>59</v>
      </c>
    </row>
    <row r="649" spans="1:21" hidden="1" x14ac:dyDescent="0.25">
      <c r="A649">
        <v>22000324</v>
      </c>
      <c r="B649" t="s">
        <v>18</v>
      </c>
      <c r="C649" t="s">
        <v>19</v>
      </c>
      <c r="D649">
        <v>10</v>
      </c>
      <c r="E649">
        <v>2</v>
      </c>
      <c r="F649">
        <v>8</v>
      </c>
      <c r="G649">
        <v>1</v>
      </c>
      <c r="H649" s="1">
        <v>6.2615740740740739E-3</v>
      </c>
      <c r="I649">
        <v>2020</v>
      </c>
      <c r="J649" t="s">
        <v>83</v>
      </c>
      <c r="K649" s="2" t="str">
        <f>HYPERLINK("https://www.nba.com/stats/events?CFID=&amp;CFPARAMS=&amp;GameEventID=33&amp;GameID=0022000324&amp;Season=2020-21&amp;flag=1&amp;title=Leonard%208'%20turnaround%20Jump%20Shot%20(4%20PTS)", "8' turnaround Jump Shot (4 PTS)")</f>
        <v>8' turnaround Jump Shot (4 PTS)</v>
      </c>
      <c r="L649" s="2" t="str">
        <f>HYPERLINK("https://www.nba.com/game/...-vs-...-0022000324/play-by-play?watchFullGame=true", "LAC vs BKN - Q1 09:01.00")</f>
        <v>LAC vs BKN - Q1 09:01.00</v>
      </c>
      <c r="M649">
        <v>8.4600000000000009</v>
      </c>
      <c r="N649">
        <v>13.88</v>
      </c>
      <c r="O649">
        <v>43.45</v>
      </c>
      <c r="P649">
        <v>33</v>
      </c>
      <c r="Q649">
        <v>78</v>
      </c>
      <c r="R649">
        <v>13</v>
      </c>
      <c r="S649">
        <v>43</v>
      </c>
    </row>
    <row r="650" spans="1:21" hidden="1" x14ac:dyDescent="0.25">
      <c r="A650">
        <v>21900068</v>
      </c>
      <c r="B650" t="s">
        <v>18</v>
      </c>
      <c r="C650" t="s">
        <v>84</v>
      </c>
      <c r="D650">
        <v>33</v>
      </c>
      <c r="E650">
        <v>31</v>
      </c>
      <c r="F650">
        <v>2</v>
      </c>
      <c r="G650">
        <v>2</v>
      </c>
      <c r="H650" s="1">
        <v>5.3009259259259259E-3</v>
      </c>
      <c r="I650">
        <v>2019</v>
      </c>
      <c r="J650" t="s">
        <v>83</v>
      </c>
      <c r="K650" s="2" t="str">
        <f>HYPERLINK("https://www.nba.com/stats/events?CFID=&amp;CFPARAMS=&amp;GameEventID=223&amp;GameID=0021900068&amp;Season=2019-20&amp;flag=1&amp;title=[LAC]%20Leonard%20jumpshot:%20Made%20(12%20PTS)", "[LAC] Leonard jumpshot: Made (12 PTS)")</f>
        <v>[LAC] Leonard jumpshot: Made (12 PTS)</v>
      </c>
      <c r="L650" s="2" t="str">
        <f>HYPERLINK("https://www.nba.com/game/...-vs-...-0021900068/play-by-play?watchFullGame=true", "LAC vs SAS - Q2 07:38.00")</f>
        <v>LAC vs SAS - Q2 07:38.00</v>
      </c>
      <c r="M650">
        <v>8.3800000000000008</v>
      </c>
      <c r="N650">
        <v>13.85</v>
      </c>
      <c r="O650">
        <v>47.97</v>
      </c>
      <c r="P650">
        <v>10</v>
      </c>
      <c r="Q650">
        <v>78</v>
      </c>
      <c r="R650">
        <v>13</v>
      </c>
      <c r="S650">
        <v>47</v>
      </c>
    </row>
    <row r="651" spans="1:21" hidden="1" x14ac:dyDescent="0.25">
      <c r="A651">
        <v>42200172</v>
      </c>
      <c r="B651" t="s">
        <v>18</v>
      </c>
      <c r="C651" t="s">
        <v>89</v>
      </c>
      <c r="D651">
        <v>79</v>
      </c>
      <c r="E651">
        <v>85</v>
      </c>
      <c r="F651">
        <v>6</v>
      </c>
      <c r="G651">
        <v>3</v>
      </c>
      <c r="H651" s="1">
        <v>1.4351851851851852E-3</v>
      </c>
      <c r="I651" t="s">
        <v>96</v>
      </c>
      <c r="J651" t="s">
        <v>83</v>
      </c>
      <c r="K651" s="2" t="str">
        <f>HYPERLINK("https://www.nba.com/stats/events?CFID=&amp;CFPARAMS=&amp;GameEventID=433&amp;GameID=0042200172&amp;Season=2022-23&amp;flag=1&amp;title=Leonard%208'%20turnaround%20Hook%20(20%20PTS)", "8' turnaround Hook (20 PTS)")</f>
        <v>8' turnaround Hook (20 PTS)</v>
      </c>
      <c r="L651" s="2" t="str">
        <f>HYPERLINK("https://www.nba.com/game/...-vs-...-0042200172/play-by-play?watchFullGame=true", "LAC vs PHX - Q3 02:04.00")</f>
        <v>LAC vs PHX - Q3 02:04.00</v>
      </c>
      <c r="M651">
        <v>8.34</v>
      </c>
      <c r="N651">
        <v>13.35</v>
      </c>
      <c r="O651">
        <v>41.91</v>
      </c>
      <c r="P651">
        <v>13</v>
      </c>
      <c r="Q651">
        <v>41</v>
      </c>
      <c r="R651">
        <v>13</v>
      </c>
      <c r="S651">
        <v>41</v>
      </c>
    </row>
    <row r="652" spans="1:21" hidden="1" x14ac:dyDescent="0.25">
      <c r="A652">
        <v>22000009</v>
      </c>
      <c r="B652" t="s">
        <v>18</v>
      </c>
      <c r="C652" t="s">
        <v>19</v>
      </c>
      <c r="D652">
        <v>49</v>
      </c>
      <c r="E652">
        <v>39</v>
      </c>
      <c r="F652">
        <v>10</v>
      </c>
      <c r="G652">
        <v>2</v>
      </c>
      <c r="H652" s="1">
        <v>5.4050925925925924E-3</v>
      </c>
      <c r="I652">
        <v>2020</v>
      </c>
      <c r="J652" t="s">
        <v>83</v>
      </c>
      <c r="K652" s="2" t="str">
        <f>HYPERLINK("https://www.nba.com/stats/events?CFID=&amp;CFPARAMS=&amp;GameEventID=254&amp;GameID=0022000009&amp;Season=2020-21&amp;flag=1&amp;title=Leonard%208'%20turnaround%20fadeaway%20Jump%20Shot%20(4%20PTS)", "8' turnaround fadeaway Jump Shot (4 PTS)")</f>
        <v>8' turnaround fadeaway Jump Shot (4 PTS)</v>
      </c>
      <c r="L652" s="2" t="str">
        <f>HYPERLINK("https://www.nba.com/game/...-vs-...-0022000009/play-by-play?watchFullGame=true", "LAC vs DEN - Q2 07:47.00")</f>
        <v>LAC vs DEN - Q2 07:47.00</v>
      </c>
      <c r="M652">
        <v>8.34</v>
      </c>
      <c r="N652">
        <v>13.22</v>
      </c>
      <c r="O652">
        <v>41.49</v>
      </c>
      <c r="P652">
        <v>43</v>
      </c>
      <c r="Q652">
        <v>72</v>
      </c>
      <c r="R652">
        <v>13</v>
      </c>
      <c r="S652">
        <v>41</v>
      </c>
    </row>
    <row r="653" spans="1:21" s="3" customFormat="1" hidden="1" x14ac:dyDescent="0.25">
      <c r="A653">
        <v>21900589</v>
      </c>
      <c r="B653" t="s">
        <v>18</v>
      </c>
      <c r="C653" t="s">
        <v>84</v>
      </c>
      <c r="D653">
        <v>42</v>
      </c>
      <c r="E653">
        <v>50</v>
      </c>
      <c r="F653">
        <v>8</v>
      </c>
      <c r="G653">
        <v>2</v>
      </c>
      <c r="H653" s="1">
        <v>4.1550925925925922E-3</v>
      </c>
      <c r="I653">
        <v>2019</v>
      </c>
      <c r="J653" t="s">
        <v>83</v>
      </c>
      <c r="K653" s="2" t="str">
        <f>HYPERLINK("https://www.nba.com/stats/events?CFID=&amp;CFPARAMS=&amp;GameEventID=236&amp;GameID=0021900589&amp;Season=2019-20&amp;flag=1&amp;title=Leonard%208'%20jumpshot%20(8%20PTS)%20(P.%20Beverley%205%20AST)", "8' jumpshot (8 PTS) (P. Beverley 5 AST)")</f>
        <v>8' jumpshot (8 PTS) (P. Beverley 5 AST)</v>
      </c>
      <c r="L653" s="2" t="str">
        <f>HYPERLINK("https://www.nba.com/game/...-vs-...-0021900589/play-by-play?watchFullGame=true", "LAC vs DEN - Q2 05:59.00")</f>
        <v>LAC vs DEN - Q2 05:59.00</v>
      </c>
      <c r="M653">
        <v>8.2799999999999994</v>
      </c>
      <c r="N653">
        <v>13.09</v>
      </c>
      <c r="O653">
        <v>43.45</v>
      </c>
      <c r="P653">
        <v>33</v>
      </c>
      <c r="Q653">
        <v>71</v>
      </c>
      <c r="R653">
        <v>13</v>
      </c>
      <c r="S653">
        <v>43</v>
      </c>
      <c r="T653"/>
      <c r="U653"/>
    </row>
    <row r="654" spans="1:21" hidden="1" x14ac:dyDescent="0.25">
      <c r="A654">
        <v>21900618</v>
      </c>
      <c r="B654" t="s">
        <v>18</v>
      </c>
      <c r="C654" t="s">
        <v>84</v>
      </c>
      <c r="D654">
        <v>104</v>
      </c>
      <c r="E654">
        <v>86</v>
      </c>
      <c r="F654">
        <v>18</v>
      </c>
      <c r="G654">
        <v>4</v>
      </c>
      <c r="H654" s="1">
        <v>4.6064814814814814E-3</v>
      </c>
      <c r="I654">
        <v>2019</v>
      </c>
      <c r="J654" t="s">
        <v>83</v>
      </c>
      <c r="K654" s="2" t="str">
        <f>HYPERLINK("https://www.nba.com/stats/events?CFID=&amp;CFPARAMS=&amp;GameEventID=561&amp;GameID=0021900618&amp;Season=2019-20&amp;flag=1&amp;title=Leonard%208'%20jumpshot%20(32%20PTS)", "8' jumpshot (32 PTS)")</f>
        <v>8' jumpshot (32 PTS)</v>
      </c>
      <c r="L654" s="2" t="str">
        <f>HYPERLINK("https://www.nba.com/game/...-vs-...-0021900618/play-by-play?watchFullGame=true", "LAC vs ORL - Q4 06:38.00")</f>
        <v>LAC vs ORL - Q4 06:38.00</v>
      </c>
      <c r="M654">
        <v>8.26</v>
      </c>
      <c r="N654">
        <v>13.72</v>
      </c>
      <c r="O654">
        <v>52.14</v>
      </c>
      <c r="P654">
        <v>-11</v>
      </c>
      <c r="Q654">
        <v>76</v>
      </c>
      <c r="R654">
        <v>13</v>
      </c>
      <c r="S654">
        <v>52</v>
      </c>
    </row>
    <row r="655" spans="1:21" hidden="1" x14ac:dyDescent="0.25">
      <c r="A655">
        <v>21900090</v>
      </c>
      <c r="B655" t="s">
        <v>18</v>
      </c>
      <c r="C655" t="s">
        <v>84</v>
      </c>
      <c r="D655">
        <v>26</v>
      </c>
      <c r="E655">
        <v>24</v>
      </c>
      <c r="F655">
        <v>2</v>
      </c>
      <c r="G655">
        <v>2</v>
      </c>
      <c r="H655" s="1">
        <v>6.053240740740741E-3</v>
      </c>
      <c r="I655">
        <v>2019</v>
      </c>
      <c r="J655" t="s">
        <v>83</v>
      </c>
      <c r="K655" s="2" t="str">
        <f>HYPERLINK("https://www.nba.com/stats/events?CFID=&amp;CFPARAMS=&amp;GameEventID=216&amp;GameID=0021900090&amp;Season=2019-20&amp;flag=1&amp;title=[LAC]%20Leonard%20jumpshot:%20Made%20(4%20PTS)", "[LAC] Leonard jumpshot: Made (4 PTS)")</f>
        <v>[LAC] Leonard jumpshot: Made (4 PTS)</v>
      </c>
      <c r="L655" s="2" t="str">
        <f>HYPERLINK("https://www.nba.com/game/...-vs-...-0021900090/play-by-play?watchFullGame=true", "LAC vs UTA - Q2 08:43.00")</f>
        <v>LAC vs UTA - Q2 08:43.00</v>
      </c>
      <c r="M655">
        <v>8.2200000000000006</v>
      </c>
      <c r="N655">
        <v>13.58</v>
      </c>
      <c r="O655">
        <v>53.12</v>
      </c>
      <c r="P655">
        <v>-16</v>
      </c>
      <c r="Q655">
        <v>75</v>
      </c>
      <c r="R655">
        <v>13</v>
      </c>
      <c r="S655">
        <v>53</v>
      </c>
    </row>
    <row r="656" spans="1:21" hidden="1" x14ac:dyDescent="0.25">
      <c r="A656">
        <v>41900153</v>
      </c>
      <c r="B656" t="s">
        <v>18</v>
      </c>
      <c r="C656" t="s">
        <v>84</v>
      </c>
      <c r="D656">
        <v>8</v>
      </c>
      <c r="E656">
        <v>9</v>
      </c>
      <c r="F656">
        <v>1</v>
      </c>
      <c r="G656">
        <v>1</v>
      </c>
      <c r="H656" s="1">
        <v>5.6481481481481478E-3</v>
      </c>
      <c r="I656" t="s">
        <v>86</v>
      </c>
      <c r="J656" t="s">
        <v>83</v>
      </c>
      <c r="K656" s="2" t="str">
        <f>HYPERLINK("https://www.nba.com/stats/events?CFID=&amp;CFPARAMS=&amp;GameEventID=40&amp;GameID=0041900153&amp;Season=2019-20&amp;flag=1&amp;title=Leonard%208'%20jumpshot%20(4%20PTS)", "8' jumpshot (4 PTS)")</f>
        <v>8' jumpshot (4 PTS)</v>
      </c>
      <c r="L656" s="2" t="str">
        <f>HYPERLINK("https://www.nba.com/game/...-vs-...-0041900153/play-by-play?watchFullGame=true", "LAC vs DAL - Q1 08:08.00")</f>
        <v>LAC vs DAL - Q1 08:08.00</v>
      </c>
      <c r="M656">
        <v>8.16</v>
      </c>
      <c r="N656">
        <v>13.62</v>
      </c>
      <c r="O656">
        <v>48.11</v>
      </c>
      <c r="P656">
        <v>9</v>
      </c>
      <c r="Q656">
        <v>75</v>
      </c>
      <c r="R656">
        <v>13</v>
      </c>
      <c r="S656">
        <v>48</v>
      </c>
    </row>
    <row r="657" spans="1:19" hidden="1" x14ac:dyDescent="0.25">
      <c r="A657">
        <v>22400733</v>
      </c>
      <c r="B657" t="s">
        <v>18</v>
      </c>
      <c r="C657" t="s">
        <v>19</v>
      </c>
      <c r="D657">
        <v>96</v>
      </c>
      <c r="E657">
        <v>94</v>
      </c>
      <c r="F657">
        <v>2</v>
      </c>
      <c r="G657">
        <v>4</v>
      </c>
      <c r="H657" s="1">
        <v>5.1273148148148146E-3</v>
      </c>
      <c r="I657">
        <v>2024</v>
      </c>
      <c r="J657" t="s">
        <v>83</v>
      </c>
      <c r="K657" s="2" t="str">
        <f>HYPERLINK("https://www.nba.com/stats/events?CFID=&amp;CFPARAMS=&amp;GameEventID=547&amp;GameID=0022400733&amp;Season=2024-25&amp;flag=1&amp;title=Leonard%208'%20running%20pullup%20Jump%20Shot%20(14%20PTS)", "8' running pullup Jump Shot (14 PTS)")</f>
        <v>8' running pullup Jump Shot (14 PTS)</v>
      </c>
      <c r="L657" s="2" t="str">
        <f>HYPERLINK("https://www.nba.com/game/...-vs-...-0022400733/play-by-play?watchFullGame=true", "LAC vs IND - Q4 07:23.00")</f>
        <v>LAC vs IND - Q4 07:23.00</v>
      </c>
      <c r="M657">
        <v>8.1300000000000008</v>
      </c>
      <c r="N657">
        <v>13.75</v>
      </c>
      <c r="O657">
        <v>55.39</v>
      </c>
      <c r="P657">
        <v>-27</v>
      </c>
      <c r="Q657">
        <v>77</v>
      </c>
      <c r="R657">
        <v>13</v>
      </c>
      <c r="S657">
        <v>55</v>
      </c>
    </row>
    <row r="658" spans="1:19" hidden="1" x14ac:dyDescent="0.25">
      <c r="A658">
        <v>22200795</v>
      </c>
      <c r="B658" t="s">
        <v>18</v>
      </c>
      <c r="C658" t="s">
        <v>89</v>
      </c>
      <c r="D658">
        <v>112</v>
      </c>
      <c r="E658">
        <v>105</v>
      </c>
      <c r="F658">
        <v>7</v>
      </c>
      <c r="G658">
        <v>4</v>
      </c>
      <c r="H658" s="1">
        <v>1.6782407407407408E-3</v>
      </c>
      <c r="I658">
        <v>2022</v>
      </c>
      <c r="J658" t="s">
        <v>83</v>
      </c>
      <c r="K658" s="2" t="str">
        <f>HYPERLINK("https://www.nba.com/stats/events?CFID=&amp;CFPARAMS=&amp;GameEventID=568&amp;GameID=0022200795&amp;Season=2022-23&amp;flag=1&amp;title=Leonard%208'%20driving%20Hook%20(29%20PTS)", "8' driving Hook (29 PTS)")</f>
        <v>8' driving Hook (29 PTS)</v>
      </c>
      <c r="L658" s="2" t="str">
        <f>HYPERLINK("https://www.nba.com/game/...-vs-...-0022200795/play-by-play?watchFullGame=true", "LAC vs NYK - Q4 02:25.00")</f>
        <v>LAC vs NYK - Q4 02:25.00</v>
      </c>
      <c r="M658">
        <v>8.1</v>
      </c>
      <c r="N658">
        <v>13.62</v>
      </c>
      <c r="O658">
        <v>44.12</v>
      </c>
      <c r="P658">
        <v>29</v>
      </c>
      <c r="Q658">
        <v>75</v>
      </c>
      <c r="R658">
        <v>13</v>
      </c>
      <c r="S658">
        <v>44</v>
      </c>
    </row>
    <row r="659" spans="1:19" hidden="1" x14ac:dyDescent="0.25">
      <c r="A659">
        <v>22300037</v>
      </c>
      <c r="B659" t="s">
        <v>18</v>
      </c>
      <c r="C659" t="s">
        <v>19</v>
      </c>
      <c r="D659">
        <v>41</v>
      </c>
      <c r="E659">
        <v>48</v>
      </c>
      <c r="F659">
        <v>7</v>
      </c>
      <c r="G659">
        <v>2</v>
      </c>
      <c r="H659" s="1">
        <v>2.6041666666666665E-3</v>
      </c>
      <c r="I659">
        <v>2023</v>
      </c>
      <c r="J659" t="s">
        <v>83</v>
      </c>
      <c r="K659" s="2" t="str">
        <f>HYPERLINK("https://www.nba.com/stats/events?CFID=&amp;CFPARAMS=&amp;GameEventID=277&amp;GameID=0022300037&amp;Season=2023-24&amp;flag=1&amp;title=Leonard%208'%20fadeaway%20Jump%20Shot%20(8%20PTS)%20(I.%20Zubac%201%20AST)", "8' fadeaway Jump Shot (8 PTS) (I. Zubac 1 AST)")</f>
        <v>8' fadeaway Jump Shot (8 PTS) (I. Zubac 1 AST)</v>
      </c>
      <c r="L659" s="2" t="str">
        <f>HYPERLINK("https://www.nba.com/game/...-vs-...-0022300037/play-by-play?watchFullGame=true", "LAC vs HOU - Q2 03:45.00")</f>
        <v>LAC vs HOU - Q2 03:45.00</v>
      </c>
      <c r="M659">
        <v>8.0399999999999991</v>
      </c>
      <c r="N659">
        <v>13.32</v>
      </c>
      <c r="O659">
        <v>43.14</v>
      </c>
      <c r="P659">
        <v>34</v>
      </c>
      <c r="Q659">
        <v>73</v>
      </c>
      <c r="R659">
        <v>13</v>
      </c>
      <c r="S659">
        <v>43</v>
      </c>
    </row>
    <row r="660" spans="1:19" hidden="1" x14ac:dyDescent="0.25">
      <c r="A660">
        <v>22000488</v>
      </c>
      <c r="B660" t="s">
        <v>18</v>
      </c>
      <c r="C660" t="s">
        <v>89</v>
      </c>
      <c r="D660">
        <v>89</v>
      </c>
      <c r="E660">
        <v>72</v>
      </c>
      <c r="F660">
        <v>17</v>
      </c>
      <c r="G660">
        <v>3</v>
      </c>
      <c r="H660" s="1">
        <v>4.5833333333333334E-3</v>
      </c>
      <c r="I660">
        <v>2020</v>
      </c>
      <c r="J660" t="s">
        <v>83</v>
      </c>
      <c r="K660" s="2" t="str">
        <f>HYPERLINK("https://www.nba.com/stats/events?CFID=&amp;CFPARAMS=&amp;GameEventID=388&amp;GameID=0022000488&amp;Season=2020-21&amp;flag=1&amp;title=Leonard%208'%20driving%20Hook%20(23%20PTS)", "8' driving Hook (23 PTS)")</f>
        <v>8' driving Hook (23 PTS)</v>
      </c>
      <c r="L660" s="2" t="str">
        <f>HYPERLINK("https://www.nba.com/game/...-vs-...-0022000488/play-by-play?watchFullGame=true", "LAC vs WAS - Q3 06:36.00")</f>
        <v>LAC vs WAS - Q3 06:36.00</v>
      </c>
      <c r="M660">
        <v>8</v>
      </c>
      <c r="N660">
        <v>13.75</v>
      </c>
      <c r="O660">
        <v>45.41</v>
      </c>
      <c r="P660">
        <v>23</v>
      </c>
      <c r="Q660">
        <v>77</v>
      </c>
      <c r="R660">
        <v>13</v>
      </c>
      <c r="S660">
        <v>45</v>
      </c>
    </row>
    <row r="661" spans="1:19" hidden="1" x14ac:dyDescent="0.25">
      <c r="A661">
        <v>22301043</v>
      </c>
      <c r="B661" t="s">
        <v>18</v>
      </c>
      <c r="C661" t="s">
        <v>89</v>
      </c>
      <c r="D661">
        <v>62</v>
      </c>
      <c r="E661">
        <v>62</v>
      </c>
      <c r="F661">
        <v>0</v>
      </c>
      <c r="G661">
        <v>2</v>
      </c>
      <c r="H661" s="1">
        <v>7.9861111111111116E-4</v>
      </c>
      <c r="I661">
        <v>2023</v>
      </c>
      <c r="J661" t="s">
        <v>83</v>
      </c>
      <c r="K661" s="2" t="str">
        <f>HYPERLINK("https://www.nba.com/stats/events?CFID=&amp;CFPARAMS=&amp;GameEventID=276&amp;GameID=0022301043&amp;Season=2023-24&amp;flag=1&amp;title=Leonard%207'%20turnaround%20Hook%20(13%20PTS)", "7' turnaround Hook (13 PTS)")</f>
        <v>7' turnaround Hook (13 PTS)</v>
      </c>
      <c r="L661" s="2" t="str">
        <f>HYPERLINK("https://www.nba.com/game/...-vs-...-0022301043/play-by-play?watchFullGame=true", "LAC vs IND - Q2 01:09.00")</f>
        <v>LAC vs IND - Q2 01:09.00</v>
      </c>
      <c r="M661">
        <v>7.93</v>
      </c>
      <c r="N661">
        <v>13.19</v>
      </c>
      <c r="O661">
        <v>56.86</v>
      </c>
      <c r="P661">
        <v>-34</v>
      </c>
      <c r="Q661">
        <v>71</v>
      </c>
      <c r="R661">
        <v>13</v>
      </c>
      <c r="S661">
        <v>56</v>
      </c>
    </row>
    <row r="662" spans="1:19" hidden="1" x14ac:dyDescent="0.25">
      <c r="A662">
        <v>22300280</v>
      </c>
      <c r="B662" t="s">
        <v>18</v>
      </c>
      <c r="C662" t="s">
        <v>19</v>
      </c>
      <c r="D662">
        <v>42</v>
      </c>
      <c r="E662">
        <v>55</v>
      </c>
      <c r="F662">
        <v>13</v>
      </c>
      <c r="G662">
        <v>2</v>
      </c>
      <c r="H662" s="1">
        <v>2.8240740740740739E-3</v>
      </c>
      <c r="I662">
        <v>2023</v>
      </c>
      <c r="J662" t="s">
        <v>83</v>
      </c>
      <c r="K662" s="2" t="str">
        <f>HYPERLINK("https://www.nba.com/stats/events?CFID=&amp;CFPARAMS=&amp;GameEventID=257&amp;GameID=0022300280&amp;Season=2023-24&amp;flag=1&amp;title=Leonard%207'%20driving%20floating%20Jump%20Shot%20(9%20PTS)", "7' driving floating Jump Shot (9 PTS)")</f>
        <v>7' driving floating Jump Shot (9 PTS)</v>
      </c>
      <c r="L662" s="2" t="str">
        <f>HYPERLINK("https://www.nba.com/game/...-vs-...-0022300280/play-by-play?watchFullGame=true", "LAC vs GSW - Q2 04:04.00")</f>
        <v>LAC vs GSW - Q2 04:04.00</v>
      </c>
      <c r="M662">
        <v>7.91</v>
      </c>
      <c r="N662">
        <v>13.98</v>
      </c>
      <c r="O662">
        <v>50.98</v>
      </c>
      <c r="P662">
        <v>-5</v>
      </c>
      <c r="Q662">
        <v>79</v>
      </c>
      <c r="R662">
        <v>13</v>
      </c>
      <c r="S662">
        <v>50</v>
      </c>
    </row>
    <row r="663" spans="1:19" hidden="1" x14ac:dyDescent="0.25">
      <c r="A663">
        <v>42300172</v>
      </c>
      <c r="B663" t="s">
        <v>18</v>
      </c>
      <c r="C663" t="s">
        <v>19</v>
      </c>
      <c r="D663">
        <v>45</v>
      </c>
      <c r="E663">
        <v>50</v>
      </c>
      <c r="F663">
        <v>5</v>
      </c>
      <c r="G663">
        <v>3</v>
      </c>
      <c r="H663" s="1">
        <v>7.1296296296296299E-3</v>
      </c>
      <c r="I663" t="s">
        <v>93</v>
      </c>
      <c r="J663" t="s">
        <v>83</v>
      </c>
      <c r="K663" s="2" t="str">
        <f>HYPERLINK("https://www.nba.com/stats/events?CFID=&amp;CFPARAMS=&amp;GameEventID=360&amp;GameID=0042300172&amp;Season=2023-24&amp;flag=1&amp;title=Leonard%207'%20driving%20floating%20Jump%20Shot%20(8%20PTS)", "7' driving floating Jump Shot (8 PTS)")</f>
        <v>7' driving floating Jump Shot (8 PTS)</v>
      </c>
      <c r="L663" s="2" t="str">
        <f>HYPERLINK("https://www.nba.com/game/...-vs-...-0042300172/play-by-play?watchFullGame=true", "LAC vs DAL - Q3 10:16.00")</f>
        <v>LAC vs DAL - Q3 10:16.00</v>
      </c>
      <c r="M663">
        <v>7.91</v>
      </c>
      <c r="N663">
        <v>13.58</v>
      </c>
      <c r="O663">
        <v>45.1</v>
      </c>
      <c r="P663">
        <v>13</v>
      </c>
      <c r="Q663">
        <v>45</v>
      </c>
      <c r="R663">
        <v>13</v>
      </c>
      <c r="S663">
        <v>45</v>
      </c>
    </row>
    <row r="664" spans="1:19" hidden="1" x14ac:dyDescent="0.25">
      <c r="A664">
        <v>22001019</v>
      </c>
      <c r="B664" t="s">
        <v>18</v>
      </c>
      <c r="C664" t="s">
        <v>19</v>
      </c>
      <c r="D664">
        <v>87</v>
      </c>
      <c r="E664">
        <v>94</v>
      </c>
      <c r="F664">
        <v>7</v>
      </c>
      <c r="G664">
        <v>4</v>
      </c>
      <c r="H664" s="1">
        <v>3.6111111111111109E-3</v>
      </c>
      <c r="I664">
        <v>2020</v>
      </c>
      <c r="J664" t="s">
        <v>83</v>
      </c>
      <c r="K664" s="2" t="str">
        <f>HYPERLINK("https://www.nba.com/stats/events?CFID=&amp;CFPARAMS=&amp;GameEventID=491&amp;GameID=0022001019&amp;Season=2020-21&amp;flag=1&amp;title=Leonard%207'%20turnaround%20fadeaway%20Jump%20Shot%20(18%20PTS)%20(R.%20Rondo%208%20AST)", "7' turnaround fadeaway Jump Shot (18 PTS) (R. Rondo 8 AST)")</f>
        <v>7' turnaround fadeaway Jump Shot (18 PTS) (R. Rondo 8 AST)</v>
      </c>
      <c r="L664" s="2" t="str">
        <f>HYPERLINK("https://www.nba.com/game/...-vs-...-0022001019/play-by-play?watchFullGame=true", "LAC vs NYK - Q4 05:12.00")</f>
        <v>LAC vs NYK - Q4 05:12.00</v>
      </c>
      <c r="M664">
        <v>7.83</v>
      </c>
      <c r="N664">
        <v>13.88</v>
      </c>
      <c r="O664">
        <v>48.6</v>
      </c>
      <c r="P664">
        <v>7</v>
      </c>
      <c r="Q664">
        <v>78</v>
      </c>
      <c r="R664">
        <v>13</v>
      </c>
      <c r="S664">
        <v>48</v>
      </c>
    </row>
    <row r="665" spans="1:19" hidden="1" x14ac:dyDescent="0.25">
      <c r="A665">
        <v>22200795</v>
      </c>
      <c r="B665" t="s">
        <v>18</v>
      </c>
      <c r="C665" t="s">
        <v>19</v>
      </c>
      <c r="D665">
        <v>81</v>
      </c>
      <c r="E665">
        <v>73</v>
      </c>
      <c r="F665">
        <v>8</v>
      </c>
      <c r="G665">
        <v>3</v>
      </c>
      <c r="H665" s="1">
        <v>3.7962962962962963E-3</v>
      </c>
      <c r="I665">
        <v>2022</v>
      </c>
      <c r="J665" t="s">
        <v>83</v>
      </c>
      <c r="K665" s="2" t="str">
        <f>HYPERLINK("https://www.nba.com/stats/events?CFID=&amp;CFPARAMS=&amp;GameEventID=369&amp;GameID=0022200795&amp;Season=2022-23&amp;flag=1&amp;title=Leonard%207'%20turnaround%20fadeaway%20Jump%20Shot%20(19%20PTS)", "7' turnaround fadeaway Jump Shot (19 PTS)")</f>
        <v>7' turnaround fadeaway Jump Shot (19 PTS)</v>
      </c>
      <c r="L665" s="2" t="str">
        <f>HYPERLINK("https://www.nba.com/game/...-vs-...-0022200795/play-by-play?watchFullGame=true", "LAC vs NYK - Q3 05:28.00")</f>
        <v>LAC vs NYK - Q3 05:28.00</v>
      </c>
      <c r="M665">
        <v>7.8</v>
      </c>
      <c r="N665">
        <v>13.88</v>
      </c>
      <c r="O665">
        <v>49.75</v>
      </c>
      <c r="P665">
        <v>1</v>
      </c>
      <c r="Q665">
        <v>78</v>
      </c>
      <c r="R665">
        <v>13</v>
      </c>
      <c r="S665">
        <v>49</v>
      </c>
    </row>
    <row r="666" spans="1:19" hidden="1" x14ac:dyDescent="0.25">
      <c r="A666">
        <v>22201156</v>
      </c>
      <c r="B666" t="s">
        <v>18</v>
      </c>
      <c r="C666" t="s">
        <v>19</v>
      </c>
      <c r="D666">
        <v>47</v>
      </c>
      <c r="E666">
        <v>52</v>
      </c>
      <c r="F666">
        <v>5</v>
      </c>
      <c r="G666">
        <v>2</v>
      </c>
      <c r="H666" s="1">
        <v>2.3032407407407407E-3</v>
      </c>
      <c r="I666">
        <v>2022</v>
      </c>
      <c r="J666" t="s">
        <v>83</v>
      </c>
      <c r="K666" s="2" t="str">
        <f>HYPERLINK("https://www.nba.com/stats/events?CFID=&amp;CFPARAMS=&amp;GameEventID=280&amp;GameID=0022201156&amp;Season=2022-23&amp;flag=1&amp;title=Leonard%207'%20driving%20floating%20Jump%20Shot%20(12%20PTS)", "7' driving floating Jump Shot (12 PTS)")</f>
        <v>7' driving floating Jump Shot (12 PTS)</v>
      </c>
      <c r="L666" s="2" t="str">
        <f>HYPERLINK("https://www.nba.com/game/...-vs-...-0022201156/play-by-play?watchFullGame=true", "LAC vs MEM - Q2 03:19.00")</f>
        <v>LAC vs MEM - Q2 03:19.00</v>
      </c>
      <c r="M666">
        <v>7.68</v>
      </c>
      <c r="N666">
        <v>13.49</v>
      </c>
      <c r="O666">
        <v>53.92</v>
      </c>
      <c r="P666">
        <v>-20</v>
      </c>
      <c r="Q666">
        <v>74</v>
      </c>
      <c r="R666">
        <v>13</v>
      </c>
      <c r="S666">
        <v>53</v>
      </c>
    </row>
    <row r="667" spans="1:19" hidden="1" x14ac:dyDescent="0.25">
      <c r="A667">
        <v>22400783</v>
      </c>
      <c r="B667" t="s">
        <v>18</v>
      </c>
      <c r="C667" t="s">
        <v>89</v>
      </c>
      <c r="D667">
        <v>32</v>
      </c>
      <c r="E667">
        <v>42</v>
      </c>
      <c r="F667">
        <v>10</v>
      </c>
      <c r="G667">
        <v>2</v>
      </c>
      <c r="H667" s="1">
        <v>7.6041666666666671E-3</v>
      </c>
      <c r="I667">
        <v>2024</v>
      </c>
      <c r="J667" t="s">
        <v>83</v>
      </c>
      <c r="K667" s="2" t="str">
        <f>HYPERLINK("https://www.nba.com/stats/events?CFID=&amp;CFPARAMS=&amp;GameEventID=169&amp;GameID=0022400783&amp;Season=2024-25&amp;flag=1&amp;title=Leonard%207'%20driving%20Hook%20(11%20PTS)", "7' driving Hook (11 PTS)")</f>
        <v>7' driving Hook (11 PTS)</v>
      </c>
      <c r="L667" s="2" t="str">
        <f>HYPERLINK("https://www.nba.com/game/...-vs-...-0022400783/play-by-play?watchFullGame=true", "LAC vs MEM - Q2 10:57.00")</f>
        <v>LAC vs MEM - Q2 10:57.00</v>
      </c>
      <c r="M667">
        <v>7.4</v>
      </c>
      <c r="N667">
        <v>13.14</v>
      </c>
      <c r="O667">
        <v>45.81</v>
      </c>
      <c r="P667">
        <v>21</v>
      </c>
      <c r="Q667">
        <v>71</v>
      </c>
      <c r="R667">
        <v>13</v>
      </c>
      <c r="S667">
        <v>45</v>
      </c>
    </row>
    <row r="668" spans="1:19" hidden="1" x14ac:dyDescent="0.25">
      <c r="A668">
        <v>22000660</v>
      </c>
      <c r="B668" t="s">
        <v>18</v>
      </c>
      <c r="C668" t="s">
        <v>19</v>
      </c>
      <c r="D668">
        <v>42</v>
      </c>
      <c r="E668">
        <v>48</v>
      </c>
      <c r="F668">
        <v>6</v>
      </c>
      <c r="G668">
        <v>2</v>
      </c>
      <c r="H668" s="1">
        <v>2.9513888888888888E-3</v>
      </c>
      <c r="I668">
        <v>2020</v>
      </c>
      <c r="J668" t="s">
        <v>83</v>
      </c>
      <c r="K668" s="2" t="str">
        <f>HYPERLINK("https://www.nba.com/stats/events?CFID=&amp;CFPARAMS=&amp;GameEventID=256&amp;GameID=0022000660&amp;Season=2020-21&amp;flag=1&amp;title=Leonard%207'%20running%20Jump%20Shot%20(8%20PTS)", "7' running Jump Shot (8 PTS)")</f>
        <v>7' running Jump Shot (8 PTS)</v>
      </c>
      <c r="L668" s="2" t="str">
        <f>HYPERLINK("https://www.nba.com/game/...-vs-...-0022000660/play-by-play?watchFullGame=true", "LAC vs ATL - Q2 04:15.00")</f>
        <v>LAC vs ATL - Q2 04:15.00</v>
      </c>
      <c r="M668">
        <v>7.28</v>
      </c>
      <c r="N668">
        <v>13.32</v>
      </c>
      <c r="O668">
        <v>49.44</v>
      </c>
      <c r="P668">
        <v>3</v>
      </c>
      <c r="Q668">
        <v>73</v>
      </c>
      <c r="R668">
        <v>13</v>
      </c>
      <c r="S668">
        <v>49</v>
      </c>
    </row>
    <row r="669" spans="1:19" hidden="1" x14ac:dyDescent="0.25">
      <c r="A669">
        <v>22201041</v>
      </c>
      <c r="B669" t="s">
        <v>18</v>
      </c>
      <c r="C669" t="s">
        <v>89</v>
      </c>
      <c r="D669">
        <v>20</v>
      </c>
      <c r="E669">
        <v>17</v>
      </c>
      <c r="F669">
        <v>3</v>
      </c>
      <c r="G669">
        <v>1</v>
      </c>
      <c r="H669" s="1">
        <v>1.724537037037037E-3</v>
      </c>
      <c r="I669">
        <v>2022</v>
      </c>
      <c r="J669" t="s">
        <v>83</v>
      </c>
      <c r="K669" s="2" t="str">
        <f>HYPERLINK("https://www.nba.com/stats/events?CFID=&amp;CFPARAMS=&amp;GameEventID=140&amp;GameID=0022201041&amp;Season=2022-23&amp;flag=1&amp;title=Leonard%207'%20turnaround%20Hook%20(6%20PTS)", "7' turnaround Hook (6 PTS)")</f>
        <v>7' turnaround Hook (6 PTS)</v>
      </c>
      <c r="L669" s="2" t="str">
        <f>HYPERLINK("https://www.nba.com/game/...-vs-...-0022201041/play-by-play?watchFullGame=true", "LAC vs GSW - Q1 02:29.00")</f>
        <v>LAC vs GSW - Q1 02:29.00</v>
      </c>
      <c r="M669">
        <v>7.27</v>
      </c>
      <c r="N669">
        <v>13.32</v>
      </c>
      <c r="O669">
        <v>50</v>
      </c>
      <c r="P669">
        <v>13</v>
      </c>
      <c r="Q669">
        <v>73</v>
      </c>
      <c r="R669">
        <v>13</v>
      </c>
      <c r="S669">
        <v>50</v>
      </c>
    </row>
    <row r="670" spans="1:19" hidden="1" x14ac:dyDescent="0.25">
      <c r="A670">
        <v>22000142</v>
      </c>
      <c r="B670" t="s">
        <v>26</v>
      </c>
      <c r="C670" t="s">
        <v>19</v>
      </c>
      <c r="D670">
        <v>46</v>
      </c>
      <c r="E670">
        <v>47</v>
      </c>
      <c r="F670">
        <v>1</v>
      </c>
      <c r="G670">
        <v>2</v>
      </c>
      <c r="H670" s="1">
        <v>3.0671296296296297E-3</v>
      </c>
      <c r="I670">
        <v>2020</v>
      </c>
      <c r="J670" t="s">
        <v>83</v>
      </c>
      <c r="K670" s="2" t="str">
        <f>HYPERLINK("https://www.nba.com/stats/events?CFID=&amp;CFPARAMS=&amp;GameEventID=264&amp;GameID=0022000142&amp;Season=2020-21&amp;flag=1&amp;title=Leonard%2024'%203PT%20%20(10%20PTS)%20(P.%20George%204%20AST)", "24' 3PT  (10 PTS) (P. George 4 AST)")</f>
        <v>24' 3PT  (10 PTS) (P. George 4 AST)</v>
      </c>
      <c r="L670" s="2" t="str">
        <f>HYPERLINK("https://www.nba.com/game/...-vs-...-0022000142/play-by-play?watchFullGame=true", "LAC vs CHI - Q2 04:25.00")</f>
        <v>LAC vs CHI - Q2 04:25.00</v>
      </c>
      <c r="M670">
        <v>24.41</v>
      </c>
      <c r="N670">
        <v>14.27</v>
      </c>
      <c r="O670">
        <v>3.99</v>
      </c>
      <c r="P670">
        <v>230</v>
      </c>
      <c r="Q670">
        <v>82</v>
      </c>
      <c r="R670">
        <v>14</v>
      </c>
      <c r="S670">
        <v>3</v>
      </c>
    </row>
    <row r="671" spans="1:19" hidden="1" x14ac:dyDescent="0.25">
      <c r="A671">
        <v>22300553</v>
      </c>
      <c r="B671" t="s">
        <v>26</v>
      </c>
      <c r="C671" t="s">
        <v>19</v>
      </c>
      <c r="D671">
        <v>41</v>
      </c>
      <c r="E671">
        <v>41</v>
      </c>
      <c r="F671">
        <v>0</v>
      </c>
      <c r="G671">
        <v>2</v>
      </c>
      <c r="H671" s="1">
        <v>1.25E-3</v>
      </c>
      <c r="I671">
        <v>2023</v>
      </c>
      <c r="J671" t="s">
        <v>83</v>
      </c>
      <c r="K671" s="2" t="str">
        <f>HYPERLINK("https://www.nba.com/stats/events?CFID=&amp;CFPARAMS=&amp;GameEventID=264&amp;GameID=0022300553&amp;Season=2023-24&amp;flag=1&amp;title=Leonard%203PT%20%20(14%20PTS)%20(R.%20Westbrook%206%20AST)", "3PT  (14 PTS) (R. Westbrook 6 AST)")</f>
        <v>3PT  (14 PTS) (R. Westbrook 6 AST)</v>
      </c>
      <c r="L671" s="2" t="str">
        <f>HYPERLINK("https://www.nba.com/game/...-vs-...-0022300553/play-by-play?watchFullGame=true", "LAC vs MIN - Q2 01:48.00")</f>
        <v>LAC vs MIN - Q2 01:48.00</v>
      </c>
      <c r="M671">
        <v>23.66</v>
      </c>
      <c r="N671">
        <v>14.01</v>
      </c>
      <c r="O671">
        <v>5.39</v>
      </c>
      <c r="P671">
        <v>223</v>
      </c>
      <c r="Q671">
        <v>79</v>
      </c>
      <c r="R671">
        <v>14</v>
      </c>
      <c r="S671">
        <v>5</v>
      </c>
    </row>
    <row r="672" spans="1:19" hidden="1" x14ac:dyDescent="0.25">
      <c r="A672">
        <v>21901291</v>
      </c>
      <c r="B672" t="s">
        <v>18</v>
      </c>
      <c r="C672" t="s">
        <v>84</v>
      </c>
      <c r="D672">
        <v>65</v>
      </c>
      <c r="E672">
        <v>74</v>
      </c>
      <c r="F672">
        <v>9</v>
      </c>
      <c r="G672">
        <v>3</v>
      </c>
      <c r="H672" s="1">
        <v>8.2060185185185187E-3</v>
      </c>
      <c r="I672">
        <v>2019</v>
      </c>
      <c r="J672" t="s">
        <v>83</v>
      </c>
      <c r="K672" s="2" t="str">
        <f>HYPERLINK("https://www.nba.com/stats/events?CFID=&amp;CFPARAMS=&amp;GameEventID=338&amp;GameID=0021901291&amp;Season=2019-20&amp;flag=1&amp;title=Leonard%2021'%20jumpshot%20(21%20PTS)%20(R.%20Jackson%203%20AST)", "21' jumpshot (21 PTS) (R. Jackson 3 AST)")</f>
        <v>21' jumpshot (21 PTS) (R. Jackson 3 AST)</v>
      </c>
      <c r="L672" s="2" t="str">
        <f>HYPERLINK("https://www.nba.com/game/...-vs-...-0021901291/play-by-play?watchFullGame=true", "LAC vs BKN - Q3 11:49.00")</f>
        <v>LAC vs BKN - Q3 11:49.00</v>
      </c>
      <c r="M672">
        <v>20.98</v>
      </c>
      <c r="N672">
        <v>14.27</v>
      </c>
      <c r="O672">
        <v>11.83</v>
      </c>
      <c r="P672">
        <v>191</v>
      </c>
      <c r="Q672">
        <v>82</v>
      </c>
      <c r="R672">
        <v>14</v>
      </c>
      <c r="S672">
        <v>11</v>
      </c>
    </row>
    <row r="673" spans="1:19" hidden="1" x14ac:dyDescent="0.25">
      <c r="A673">
        <v>22000289</v>
      </c>
      <c r="B673" t="s">
        <v>18</v>
      </c>
      <c r="C673" t="s">
        <v>19</v>
      </c>
      <c r="D673">
        <v>79</v>
      </c>
      <c r="E673">
        <v>63</v>
      </c>
      <c r="F673">
        <v>16</v>
      </c>
      <c r="G673">
        <v>3</v>
      </c>
      <c r="H673" s="1">
        <v>3.1365740740740742E-3</v>
      </c>
      <c r="I673">
        <v>2020</v>
      </c>
      <c r="J673" t="s">
        <v>83</v>
      </c>
      <c r="K673" s="2" t="str">
        <f>HYPERLINK("https://www.nba.com/stats/events?CFID=&amp;CFPARAMS=&amp;GameEventID=403&amp;GameID=0022000289&amp;Season=2020-21&amp;flag=1&amp;title=Leonard%2015'%20turnaround%20fadeaway%20Jump%20Shot%20(22%20PTS)", "15' turnaround fadeaway Jump Shot (22 PTS)")</f>
        <v>15' turnaround fadeaway Jump Shot (22 PTS)</v>
      </c>
      <c r="L673" s="2" t="str">
        <f>HYPERLINK("https://www.nba.com/game/...-vs-...-0022000289/play-by-play?watchFullGame=true", "LAC vs ORL - Q3 04:31.00")</f>
        <v>LAC vs ORL - Q3 04:31.00</v>
      </c>
      <c r="M673">
        <v>15.49</v>
      </c>
      <c r="N673">
        <v>14.06</v>
      </c>
      <c r="O673">
        <v>23.45</v>
      </c>
      <c r="P673">
        <v>133</v>
      </c>
      <c r="Q673">
        <v>80</v>
      </c>
      <c r="R673">
        <v>14</v>
      </c>
      <c r="S673">
        <v>23</v>
      </c>
    </row>
    <row r="674" spans="1:19" hidden="1" x14ac:dyDescent="0.25">
      <c r="A674">
        <v>22200687</v>
      </c>
      <c r="B674" t="s">
        <v>18</v>
      </c>
      <c r="C674" t="s">
        <v>19</v>
      </c>
      <c r="D674">
        <v>67</v>
      </c>
      <c r="E674">
        <v>74</v>
      </c>
      <c r="F674">
        <v>7</v>
      </c>
      <c r="G674">
        <v>3</v>
      </c>
      <c r="H674" s="1">
        <v>7.743055555555556E-3</v>
      </c>
      <c r="I674">
        <v>2022</v>
      </c>
      <c r="J674" t="s">
        <v>83</v>
      </c>
      <c r="K674" s="2" t="str">
        <f>HYPERLINK("https://www.nba.com/stats/events?CFID=&amp;CFPARAMS=&amp;GameEventID=301&amp;GameID=0022200687&amp;Season=2022-23&amp;flag=1&amp;title=Leonard%2015'%20turnaround%20Jump%20Shot%20(17%20PTS)", "15' turnaround Jump Shot (17 PTS)")</f>
        <v>15' turnaround Jump Shot (17 PTS)</v>
      </c>
      <c r="L674" s="2" t="str">
        <f>HYPERLINK("https://www.nba.com/game/...-vs-...-0022200687/play-by-play?watchFullGame=true", "LAC vs SAS - Q3 11:09.00")</f>
        <v>LAC vs SAS - Q3 11:09.00</v>
      </c>
      <c r="M674">
        <v>15.49</v>
      </c>
      <c r="N674">
        <v>14.14</v>
      </c>
      <c r="O674">
        <v>23.53</v>
      </c>
      <c r="P674">
        <v>132</v>
      </c>
      <c r="Q674">
        <v>80</v>
      </c>
      <c r="R674">
        <v>14</v>
      </c>
      <c r="S674">
        <v>23</v>
      </c>
    </row>
    <row r="675" spans="1:19" hidden="1" x14ac:dyDescent="0.25">
      <c r="A675">
        <v>22000142</v>
      </c>
      <c r="B675" t="s">
        <v>18</v>
      </c>
      <c r="C675" t="s">
        <v>19</v>
      </c>
      <c r="D675">
        <v>5</v>
      </c>
      <c r="E675">
        <v>5</v>
      </c>
      <c r="F675">
        <v>0</v>
      </c>
      <c r="G675">
        <v>1</v>
      </c>
      <c r="H675" s="1">
        <v>6.4236111111111108E-3</v>
      </c>
      <c r="I675">
        <v>2020</v>
      </c>
      <c r="J675" t="s">
        <v>83</v>
      </c>
      <c r="K675" s="2" t="str">
        <f>HYPERLINK("https://www.nba.com/stats/events?CFID=&amp;CFPARAMS=&amp;GameEventID=34&amp;GameID=0022000142&amp;Season=2020-21&amp;flag=1&amp;title=Leonard%2015'%20Jump%20Shot%20(2%20PTS)", "15' Jump Shot (2 PTS)")</f>
        <v>15' Jump Shot (2 PTS)</v>
      </c>
      <c r="L675" s="2" t="str">
        <f>HYPERLINK("https://www.nba.com/game/...-vs-...-0022000142/play-by-play?watchFullGame=true", "LAC vs CHI - Q1 09:15.00")</f>
        <v>LAC vs CHI - Q1 09:15.00</v>
      </c>
      <c r="M675">
        <v>15.47</v>
      </c>
      <c r="N675">
        <v>14.67</v>
      </c>
      <c r="O675">
        <v>75.8</v>
      </c>
      <c r="P675">
        <v>-129</v>
      </c>
      <c r="Q675">
        <v>85</v>
      </c>
      <c r="R675">
        <v>14</v>
      </c>
      <c r="S675">
        <v>75</v>
      </c>
    </row>
    <row r="676" spans="1:19" hidden="1" x14ac:dyDescent="0.25">
      <c r="A676">
        <v>21900002</v>
      </c>
      <c r="B676" t="s">
        <v>18</v>
      </c>
      <c r="C676" t="s">
        <v>19</v>
      </c>
      <c r="D676">
        <v>65</v>
      </c>
      <c r="E676">
        <v>56</v>
      </c>
      <c r="F676">
        <v>9</v>
      </c>
      <c r="G676">
        <v>3</v>
      </c>
      <c r="H676" s="1">
        <v>7.6388888888888886E-3</v>
      </c>
      <c r="I676">
        <v>2019</v>
      </c>
      <c r="J676" t="s">
        <v>83</v>
      </c>
      <c r="K676" s="2" t="str">
        <f>HYPERLINK("https://www.nba.com/stats/events?CFID=&amp;CFPARAMS=&amp;GameEventID=372&amp;GameID=0021900002&amp;Season=2019-20&amp;flag=1&amp;title=Leonard%2013'%20pullup%20Jump%20Shot%20(23%20PTS)", "13' pullup Jump Shot (23 PTS)")</f>
        <v>13' pullup Jump Shot (23 PTS)</v>
      </c>
      <c r="L676" s="2" t="str">
        <f>HYPERLINK("https://www.nba.com/game/...-vs-...-0021900002/play-by-play?watchFullGame=true", "LAC vs LAL - Q3 11:00.00")</f>
        <v>LAC vs LAL - Q3 11:00.00</v>
      </c>
      <c r="M676">
        <v>12.63</v>
      </c>
      <c r="N676">
        <v>14.11</v>
      </c>
      <c r="O676">
        <v>68.56</v>
      </c>
      <c r="P676">
        <v>-93</v>
      </c>
      <c r="Q676">
        <v>80</v>
      </c>
      <c r="R676">
        <v>14</v>
      </c>
      <c r="S676">
        <v>68</v>
      </c>
    </row>
    <row r="677" spans="1:19" hidden="1" x14ac:dyDescent="0.25">
      <c r="A677">
        <v>41900233</v>
      </c>
      <c r="B677" t="s">
        <v>18</v>
      </c>
      <c r="C677" t="s">
        <v>84</v>
      </c>
      <c r="D677">
        <v>23</v>
      </c>
      <c r="E677">
        <v>21</v>
      </c>
      <c r="F677">
        <v>2</v>
      </c>
      <c r="G677">
        <v>1</v>
      </c>
      <c r="H677" s="1">
        <v>2.9861111111111113E-3</v>
      </c>
      <c r="I677" t="s">
        <v>85</v>
      </c>
      <c r="J677" t="s">
        <v>83</v>
      </c>
      <c r="K677" s="2" t="str">
        <f>HYPERLINK("https://www.nba.com/stats/events?CFID=&amp;CFPARAMS=&amp;GameEventID=83&amp;GameID=0041900233&amp;Season=2019-20&amp;flag=1&amp;title=Leonard%2012'%20jumpshot%20(4%20PTS)%20(P.%20George%202%20AST)", "12' jumpshot (4 PTS) (P. George 2 AST)")</f>
        <v>12' jumpshot (4 PTS) (P. George 2 AST)</v>
      </c>
      <c r="L677" s="2" t="str">
        <f>HYPERLINK("https://www.nba.com/game/...-vs-...-0041900233/play-by-play?watchFullGame=true", "LAC vs DEN - Q1 04:18.00")</f>
        <v>LAC vs DEN - Q1 04:18.00</v>
      </c>
      <c r="M677">
        <v>11.89</v>
      </c>
      <c r="N677">
        <v>14.54</v>
      </c>
      <c r="O677">
        <v>34.380000000000003</v>
      </c>
      <c r="P677">
        <v>78</v>
      </c>
      <c r="Q677">
        <v>84</v>
      </c>
      <c r="R677">
        <v>14</v>
      </c>
      <c r="S677">
        <v>34</v>
      </c>
    </row>
    <row r="678" spans="1:19" hidden="1" x14ac:dyDescent="0.25">
      <c r="A678">
        <v>22300179</v>
      </c>
      <c r="B678" t="s">
        <v>18</v>
      </c>
      <c r="C678" t="s">
        <v>19</v>
      </c>
      <c r="D678">
        <v>11</v>
      </c>
      <c r="E678">
        <v>19</v>
      </c>
      <c r="F678">
        <v>8</v>
      </c>
      <c r="G678">
        <v>1</v>
      </c>
      <c r="H678" s="1">
        <v>3.8310185185185183E-3</v>
      </c>
      <c r="I678">
        <v>2023</v>
      </c>
      <c r="J678" t="s">
        <v>83</v>
      </c>
      <c r="K678" s="2" t="str">
        <f>HYPERLINK("https://www.nba.com/stats/events?CFID=&amp;CFPARAMS=&amp;GameEventID=78&amp;GameID=0022300179&amp;Season=2023-24&amp;flag=1&amp;title=Leonard%2011'%20fadeaway%20Jump%20Shot%20(6%20PTS)%20(N.%20Powell%201%20AST)", "11' fadeaway Jump Shot (6 PTS) (N. Powell 1 AST)")</f>
        <v>11' fadeaway Jump Shot (6 PTS) (N. Powell 1 AST)</v>
      </c>
      <c r="L678" s="2" t="str">
        <f>HYPERLINK("https://www.nba.com/game/...-vs-...-0022300179/play-by-play?watchFullGame=true", "LAC vs MEM - Q1 05:31.00")</f>
        <v>LAC vs MEM - Q1 05:31.00</v>
      </c>
      <c r="M678">
        <v>11.84</v>
      </c>
      <c r="N678">
        <v>14.9</v>
      </c>
      <c r="O678">
        <v>65.930000000000007</v>
      </c>
      <c r="P678">
        <v>-80</v>
      </c>
      <c r="Q678">
        <v>88</v>
      </c>
      <c r="R678">
        <v>14</v>
      </c>
      <c r="S678">
        <v>65</v>
      </c>
    </row>
    <row r="679" spans="1:19" hidden="1" x14ac:dyDescent="0.25">
      <c r="A679">
        <v>22000251</v>
      </c>
      <c r="B679" t="s">
        <v>18</v>
      </c>
      <c r="C679" t="s">
        <v>19</v>
      </c>
      <c r="D679">
        <v>79</v>
      </c>
      <c r="E679">
        <v>69</v>
      </c>
      <c r="F679">
        <v>10</v>
      </c>
      <c r="G679">
        <v>3</v>
      </c>
      <c r="H679" s="1">
        <v>1.5277777777777779E-3</v>
      </c>
      <c r="I679">
        <v>2020</v>
      </c>
      <c r="J679" t="s">
        <v>83</v>
      </c>
      <c r="K679" s="2" t="str">
        <f>HYPERLINK("https://www.nba.com/stats/events?CFID=&amp;CFPARAMS=&amp;GameEventID=424&amp;GameID=0022000251&amp;Season=2020-21&amp;flag=1&amp;title=Leonard%2011'%20turnaround%20fadeaway%20Jump%20Shot%20(30%20PTS)", "11' turnaround fadeaway Jump Shot (30 PTS)")</f>
        <v>11' turnaround fadeaway Jump Shot (30 PTS)</v>
      </c>
      <c r="L679" s="2" t="str">
        <f>HYPERLINK("https://www.nba.com/game/...-vs-...-0022000251/play-by-play?watchFullGame=true", "LAC vs OKC - Q3 02:12.00")</f>
        <v>LAC vs OKC - Q3 02:12.00</v>
      </c>
      <c r="M679">
        <v>11.83</v>
      </c>
      <c r="N679">
        <v>14.67</v>
      </c>
      <c r="O679">
        <v>33.65</v>
      </c>
      <c r="P679">
        <v>82</v>
      </c>
      <c r="Q679">
        <v>85</v>
      </c>
      <c r="R679">
        <v>14</v>
      </c>
      <c r="S679">
        <v>33</v>
      </c>
    </row>
    <row r="680" spans="1:19" hidden="1" x14ac:dyDescent="0.25">
      <c r="A680">
        <v>21900499</v>
      </c>
      <c r="B680" t="s">
        <v>18</v>
      </c>
      <c r="C680" t="s">
        <v>84</v>
      </c>
      <c r="D680">
        <v>79</v>
      </c>
      <c r="E680">
        <v>64</v>
      </c>
      <c r="F680">
        <v>15</v>
      </c>
      <c r="G680">
        <v>3</v>
      </c>
      <c r="H680" s="1">
        <v>2.4074074074074076E-3</v>
      </c>
      <c r="I680">
        <v>2019</v>
      </c>
      <c r="J680" t="s">
        <v>83</v>
      </c>
      <c r="K680" s="2" t="str">
        <f>HYPERLINK("https://www.nba.com/stats/events?CFID=&amp;CFPARAMS=&amp;GameEventID=452&amp;GameID=0021900499&amp;Season=2019-20&amp;flag=1&amp;title=Leonard%2012'%20jumpshot%20(22%20PTS)", "12' jumpshot (22 PTS)")</f>
        <v>12' jumpshot (22 PTS)</v>
      </c>
      <c r="L680" s="2" t="str">
        <f>HYPERLINK("https://www.nba.com/game/...-vs-...-0021900499/play-by-play?watchFullGame=true", "LAC vs SAC - Q3 03:28.00")</f>
        <v>LAC vs SAC - Q3 03:28.00</v>
      </c>
      <c r="M680">
        <v>11.73</v>
      </c>
      <c r="N680">
        <v>14.01</v>
      </c>
      <c r="O680">
        <v>66.25</v>
      </c>
      <c r="P680">
        <v>-81</v>
      </c>
      <c r="Q680">
        <v>79</v>
      </c>
      <c r="R680">
        <v>14</v>
      </c>
      <c r="S680">
        <v>66</v>
      </c>
    </row>
    <row r="681" spans="1:19" hidden="1" x14ac:dyDescent="0.25">
      <c r="A681">
        <v>22300179</v>
      </c>
      <c r="B681" t="s">
        <v>18</v>
      </c>
      <c r="C681" t="s">
        <v>19</v>
      </c>
      <c r="D681">
        <v>5</v>
      </c>
      <c r="E681">
        <v>7</v>
      </c>
      <c r="F681">
        <v>2</v>
      </c>
      <c r="G681">
        <v>1</v>
      </c>
      <c r="H681" s="1">
        <v>6.053240740740741E-3</v>
      </c>
      <c r="I681">
        <v>2023</v>
      </c>
      <c r="J681" t="s">
        <v>83</v>
      </c>
      <c r="K681" s="2" t="str">
        <f>HYPERLINK("https://www.nba.com/stats/events?CFID=&amp;CFPARAMS=&amp;GameEventID=36&amp;GameID=0022300179&amp;Season=2023-24&amp;flag=1&amp;title=Leonard%2011'%20pullup%20Jump%20Shot%20(2%20PTS)", "11' pullup Jump Shot (2 PTS)")</f>
        <v>11' pullup Jump Shot (2 PTS)</v>
      </c>
      <c r="L681" s="2" t="str">
        <f>HYPERLINK("https://www.nba.com/game/...-vs-...-0022300179/play-by-play?watchFullGame=true", "LAC vs MEM - Q1 08:43.00")</f>
        <v>LAC vs MEM - Q1 08:43.00</v>
      </c>
      <c r="M681">
        <v>11.09</v>
      </c>
      <c r="N681">
        <v>14.64</v>
      </c>
      <c r="O681">
        <v>35.78</v>
      </c>
      <c r="P681">
        <v>71</v>
      </c>
      <c r="Q681">
        <v>85</v>
      </c>
      <c r="R681">
        <v>14</v>
      </c>
      <c r="S681">
        <v>35</v>
      </c>
    </row>
    <row r="682" spans="1:19" hidden="1" x14ac:dyDescent="0.25">
      <c r="A682">
        <v>22000328</v>
      </c>
      <c r="B682" t="s">
        <v>18</v>
      </c>
      <c r="C682" t="s">
        <v>19</v>
      </c>
      <c r="D682">
        <v>41</v>
      </c>
      <c r="E682">
        <v>43</v>
      </c>
      <c r="F682">
        <v>2</v>
      </c>
      <c r="G682">
        <v>2</v>
      </c>
      <c r="H682" s="1">
        <v>2.1759259259259258E-3</v>
      </c>
      <c r="I682">
        <v>2020</v>
      </c>
      <c r="J682" t="s">
        <v>83</v>
      </c>
      <c r="K682" s="2" t="str">
        <f>HYPERLINK("https://www.nba.com/stats/events?CFID=&amp;CFPARAMS=&amp;GameEventID=249&amp;GameID=0022000328&amp;Season=2020-21&amp;flag=1&amp;title=Leonard%2011'%20turnaround%20Jump%20Shot%20(12%20PTS)%20(P.%20George%204%20AST)", "11' turnaround Jump Shot (12 PTS) (P. George 4 AST)")</f>
        <v>11' turnaround Jump Shot (12 PTS) (P. George 4 AST)</v>
      </c>
      <c r="L682" s="2" t="str">
        <f>HYPERLINK("https://www.nba.com/game/...-vs-...-0022000328/play-by-play?watchFullGame=true", "LAC vs CLE - Q2 03:08.00")</f>
        <v>LAC vs CLE - Q2 03:08.00</v>
      </c>
      <c r="M682">
        <v>11.04</v>
      </c>
      <c r="N682">
        <v>14.01</v>
      </c>
      <c r="O682">
        <v>34.630000000000003</v>
      </c>
      <c r="P682">
        <v>77</v>
      </c>
      <c r="Q682">
        <v>79</v>
      </c>
      <c r="R682">
        <v>14</v>
      </c>
      <c r="S682">
        <v>34</v>
      </c>
    </row>
    <row r="683" spans="1:19" hidden="1" x14ac:dyDescent="0.25">
      <c r="A683">
        <v>21900406</v>
      </c>
      <c r="B683" t="s">
        <v>18</v>
      </c>
      <c r="C683" t="s">
        <v>84</v>
      </c>
      <c r="D683">
        <v>54</v>
      </c>
      <c r="E683">
        <v>44</v>
      </c>
      <c r="F683">
        <v>10</v>
      </c>
      <c r="G683">
        <v>2</v>
      </c>
      <c r="H683" s="1">
        <v>7.8703703703703702E-5</v>
      </c>
      <c r="I683">
        <v>2019</v>
      </c>
      <c r="J683" t="s">
        <v>83</v>
      </c>
      <c r="K683" s="2" t="str">
        <f>HYPERLINK("https://www.nba.com/stats/events?CFID=&amp;CFPARAMS=&amp;GameEventID=343&amp;GameID=0021900406&amp;Season=2019-20&amp;flag=1&amp;title=Leonard%2010'%20jumpshot%20(8%20PTS)", "10' jumpshot (8 PTS)")</f>
        <v>10' jumpshot (8 PTS)</v>
      </c>
      <c r="L683" s="2" t="str">
        <f>HYPERLINK("https://www.nba.com/game/...-vs-...-0021900406/play-by-play?watchFullGame=true", "LAC vs PHX - Q2 00:06.80")</f>
        <v>LAC vs PHX - Q2 00:06.80</v>
      </c>
      <c r="M683">
        <v>10.210000000000001</v>
      </c>
      <c r="N683">
        <v>14.24</v>
      </c>
      <c r="O683">
        <v>60.72</v>
      </c>
      <c r="P683">
        <v>-54</v>
      </c>
      <c r="Q683">
        <v>81</v>
      </c>
      <c r="R683">
        <v>14</v>
      </c>
      <c r="S683">
        <v>60</v>
      </c>
    </row>
    <row r="684" spans="1:19" hidden="1" x14ac:dyDescent="0.25">
      <c r="A684">
        <v>22000605</v>
      </c>
      <c r="B684" t="s">
        <v>18</v>
      </c>
      <c r="C684" t="s">
        <v>19</v>
      </c>
      <c r="D684">
        <v>61</v>
      </c>
      <c r="E684">
        <v>52</v>
      </c>
      <c r="F684">
        <v>9</v>
      </c>
      <c r="G684">
        <v>3</v>
      </c>
      <c r="H684" s="1">
        <v>6.9675925925925929E-3</v>
      </c>
      <c r="I684">
        <v>2020</v>
      </c>
      <c r="J684" t="s">
        <v>83</v>
      </c>
      <c r="K684" s="2" t="str">
        <f>HYPERLINK("https://www.nba.com/stats/events?CFID=&amp;CFPARAMS=&amp;GameEventID=280&amp;GameID=0022000605&amp;Season=2020-21&amp;flag=1&amp;title=Leonard%2010'%20driving%20floating%20Jump%20Shot%20(10%20PTS)%20(M.%20Morris%20Sr.%203%20AST)", "10' driving floating Jump Shot (10 PTS) (M. Morris Sr. 3 AST)")</f>
        <v>10' driving floating Jump Shot (10 PTS) (M. Morris Sr. 3 AST)</v>
      </c>
      <c r="L684" s="2" t="str">
        <f>HYPERLINK("https://www.nba.com/game/...-vs-...-0022000605/play-by-play?watchFullGame=true", "LAC vs DAL - Q3 10:02.00")</f>
        <v>LAC vs DAL - Q3 10:02.00</v>
      </c>
      <c r="M684">
        <v>10.050000000000001</v>
      </c>
      <c r="N684">
        <v>14.67</v>
      </c>
      <c r="O684">
        <v>60.61</v>
      </c>
      <c r="P684">
        <v>-53</v>
      </c>
      <c r="Q684">
        <v>85</v>
      </c>
      <c r="R684">
        <v>14</v>
      </c>
      <c r="S684">
        <v>60</v>
      </c>
    </row>
    <row r="685" spans="1:19" hidden="1" x14ac:dyDescent="0.25">
      <c r="A685">
        <v>22200649</v>
      </c>
      <c r="B685" t="s">
        <v>18</v>
      </c>
      <c r="C685" t="s">
        <v>19</v>
      </c>
      <c r="D685">
        <v>87</v>
      </c>
      <c r="E685">
        <v>85</v>
      </c>
      <c r="F685">
        <v>2</v>
      </c>
      <c r="G685">
        <v>3</v>
      </c>
      <c r="H685" s="1">
        <v>9.3749999999999997E-4</v>
      </c>
      <c r="I685">
        <v>2022</v>
      </c>
      <c r="J685" t="s">
        <v>83</v>
      </c>
      <c r="K685" s="2" t="str">
        <f>HYPERLINK("https://www.nba.com/stats/events?CFID=&amp;CFPARAMS=&amp;GameEventID=462&amp;GameID=0022200649&amp;Season=2022-23&amp;flag=1&amp;title=Leonard%209'%20turnaround%20fadeaway%20Jump%20Shot%20(26%20PTS)", "9' turnaround fadeaway Jump Shot (26 PTS)")</f>
        <v>9' turnaround fadeaway Jump Shot (26 PTS)</v>
      </c>
      <c r="L685" s="2" t="str">
        <f>HYPERLINK("https://www.nba.com/game/...-vs-...-0022200649/play-by-play?watchFullGame=true", "LAC vs HOU - Q3 01:21.00")</f>
        <v>LAC vs HOU - Q3 01:21.00</v>
      </c>
      <c r="M685">
        <v>9.58</v>
      </c>
      <c r="N685">
        <v>14.64</v>
      </c>
      <c r="O685">
        <v>41.18</v>
      </c>
      <c r="P685">
        <v>44</v>
      </c>
      <c r="Q685">
        <v>85</v>
      </c>
      <c r="R685">
        <v>14</v>
      </c>
      <c r="S685">
        <v>41</v>
      </c>
    </row>
    <row r="686" spans="1:19" hidden="1" x14ac:dyDescent="0.25">
      <c r="A686">
        <v>22200902</v>
      </c>
      <c r="B686" t="s">
        <v>18</v>
      </c>
      <c r="C686" t="s">
        <v>19</v>
      </c>
      <c r="D686">
        <v>147</v>
      </c>
      <c r="E686">
        <v>136</v>
      </c>
      <c r="F686">
        <v>11</v>
      </c>
      <c r="G686">
        <v>4</v>
      </c>
      <c r="H686" s="1">
        <v>2.2916666666666667E-3</v>
      </c>
      <c r="I686">
        <v>2022</v>
      </c>
      <c r="J686" t="s">
        <v>83</v>
      </c>
      <c r="K686" s="2" t="str">
        <f>HYPERLINK("https://www.nba.com/stats/events?CFID=&amp;CFPARAMS=&amp;GameEventID=610&amp;GameID=0022200902&amp;Season=2022-23&amp;flag=1&amp;title=Leonard%209'%20turnaround%20fadeaway%20Jump%20Shot%20(40%20PTS)", "9' turnaround fadeaway Jump Shot (40 PTS)")</f>
        <v>9' turnaround fadeaway Jump Shot (40 PTS)</v>
      </c>
      <c r="L686" s="2" t="str">
        <f>HYPERLINK("https://www.nba.com/game/...-vs-...-0022200902/play-by-play?watchFullGame=true", "LAC vs SAC - Q4 03:18.00")</f>
        <v>LAC vs SAC - Q4 03:18.00</v>
      </c>
      <c r="M686">
        <v>9.48</v>
      </c>
      <c r="N686">
        <v>14.64</v>
      </c>
      <c r="O686">
        <v>41.67</v>
      </c>
      <c r="P686">
        <v>42</v>
      </c>
      <c r="Q686">
        <v>85</v>
      </c>
      <c r="R686">
        <v>14</v>
      </c>
      <c r="S686">
        <v>41</v>
      </c>
    </row>
    <row r="687" spans="1:19" hidden="1" x14ac:dyDescent="0.25">
      <c r="A687">
        <v>21900436</v>
      </c>
      <c r="B687" t="s">
        <v>18</v>
      </c>
      <c r="C687" t="s">
        <v>84</v>
      </c>
      <c r="D687">
        <v>64</v>
      </c>
      <c r="E687">
        <v>52</v>
      </c>
      <c r="F687">
        <v>12</v>
      </c>
      <c r="G687">
        <v>2</v>
      </c>
      <c r="H687" s="1">
        <v>2.4074074074074076E-3</v>
      </c>
      <c r="I687">
        <v>2019</v>
      </c>
      <c r="J687" t="s">
        <v>83</v>
      </c>
      <c r="K687" s="2" t="str">
        <f>HYPERLINK("https://www.nba.com/stats/events?CFID=&amp;CFPARAMS=&amp;GameEventID=274&amp;GameID=0021900436&amp;Season=2019-20&amp;flag=1&amp;title=Leonard%209'%20jumpshot%20(16%20PTS)%20(P.%20George%202%20AST)", "9' jumpshot (16 PTS) (P. George 2 AST)")</f>
        <v>9' jumpshot (16 PTS) (P. George 2 AST)</v>
      </c>
      <c r="L687" s="2" t="str">
        <f>HYPERLINK("https://www.nba.com/game/...-vs-...-0021900436/play-by-play?watchFullGame=true", "LAC vs SAS - Q2 03:28.00")</f>
        <v>LAC vs SAS - Q2 03:28.00</v>
      </c>
      <c r="M687">
        <v>9.4</v>
      </c>
      <c r="N687">
        <v>14.27</v>
      </c>
      <c r="O687">
        <v>42.96</v>
      </c>
      <c r="P687">
        <v>35</v>
      </c>
      <c r="Q687">
        <v>82</v>
      </c>
      <c r="R687">
        <v>14</v>
      </c>
      <c r="S687">
        <v>42</v>
      </c>
    </row>
    <row r="688" spans="1:19" hidden="1" x14ac:dyDescent="0.25">
      <c r="A688">
        <v>41900235</v>
      </c>
      <c r="B688" t="s">
        <v>18</v>
      </c>
      <c r="C688" t="s">
        <v>84</v>
      </c>
      <c r="D688">
        <v>63</v>
      </c>
      <c r="E688">
        <v>48</v>
      </c>
      <c r="F688">
        <v>15</v>
      </c>
      <c r="G688">
        <v>3</v>
      </c>
      <c r="H688" s="1">
        <v>6.2500000000000003E-3</v>
      </c>
      <c r="I688" t="s">
        <v>85</v>
      </c>
      <c r="J688" t="s">
        <v>83</v>
      </c>
      <c r="K688" s="2" t="str">
        <f>HYPERLINK("https://www.nba.com/stats/events?CFID=&amp;CFPARAMS=&amp;GameEventID=356&amp;GameID=0041900235&amp;Season=2019-20&amp;flag=1&amp;title=Leonard%209'%20jumpshot%20(18%20PTS)", "9' jumpshot (18 PTS)")</f>
        <v>9' jumpshot (18 PTS)</v>
      </c>
      <c r="L688" s="2" t="str">
        <f>HYPERLINK("https://www.nba.com/game/...-vs-...-0041900235/play-by-play?watchFullGame=true", "LAC vs DEN - Q3 09:00.00")</f>
        <v>LAC vs DEN - Q3 09:00.00</v>
      </c>
      <c r="M688">
        <v>9.39</v>
      </c>
      <c r="N688">
        <v>14.93</v>
      </c>
      <c r="O688">
        <v>52.03</v>
      </c>
      <c r="P688">
        <v>-10</v>
      </c>
      <c r="Q688">
        <v>88</v>
      </c>
      <c r="R688">
        <v>14</v>
      </c>
      <c r="S688">
        <v>52</v>
      </c>
    </row>
    <row r="689" spans="1:19" hidden="1" x14ac:dyDescent="0.25">
      <c r="A689">
        <v>42000172</v>
      </c>
      <c r="B689" t="s">
        <v>18</v>
      </c>
      <c r="C689" t="s">
        <v>19</v>
      </c>
      <c r="D689">
        <v>78</v>
      </c>
      <c r="E689">
        <v>77</v>
      </c>
      <c r="F689">
        <v>1</v>
      </c>
      <c r="G689">
        <v>3</v>
      </c>
      <c r="H689" s="1">
        <v>6.7476851851851856E-3</v>
      </c>
      <c r="I689" t="s">
        <v>91</v>
      </c>
      <c r="J689" t="s">
        <v>83</v>
      </c>
      <c r="K689" s="2" t="str">
        <f>HYPERLINK("https://www.nba.com/stats/events?CFID=&amp;CFPARAMS=&amp;GameEventID=347&amp;GameID=0042000172&amp;Season=2020-21&amp;flag=1&amp;title=Leonard%209'%20fadeaway%20Jump%20Shot%20(32%20PTS)", "9' fadeaway Jump Shot (32 PTS)")</f>
        <v>9' fadeaway Jump Shot (32 PTS)</v>
      </c>
      <c r="L689" s="2" t="str">
        <f>HYPERLINK("https://www.nba.com/game/...-vs-...-0042000172/play-by-play?watchFullGame=true", "LAC vs DAL - Q3 09:43.00")</f>
        <v>LAC vs DAL - Q3 09:43.00</v>
      </c>
      <c r="M689">
        <v>9.18</v>
      </c>
      <c r="N689">
        <v>14.93</v>
      </c>
      <c r="O689">
        <v>44.68</v>
      </c>
      <c r="P689">
        <v>14</v>
      </c>
      <c r="Q689">
        <v>44</v>
      </c>
      <c r="R689">
        <v>14</v>
      </c>
      <c r="S689">
        <v>44</v>
      </c>
    </row>
    <row r="690" spans="1:19" hidden="1" x14ac:dyDescent="0.25">
      <c r="A690">
        <v>22201229</v>
      </c>
      <c r="B690" t="s">
        <v>18</v>
      </c>
      <c r="C690" t="s">
        <v>89</v>
      </c>
      <c r="D690">
        <v>113</v>
      </c>
      <c r="E690">
        <v>107</v>
      </c>
      <c r="F690">
        <v>6</v>
      </c>
      <c r="G690">
        <v>4</v>
      </c>
      <c r="H690" s="1">
        <v>2.5462962962962965E-3</v>
      </c>
      <c r="I690">
        <v>2022</v>
      </c>
      <c r="J690" t="s">
        <v>83</v>
      </c>
      <c r="K690" s="2" t="str">
        <f>HYPERLINK("https://www.nba.com/stats/events?CFID=&amp;CFPARAMS=&amp;GameEventID=616&amp;GameID=0022201229&amp;Season=2022-23&amp;flag=1&amp;title=Leonard%209'%20Hook%20(19%20PTS)", "9' Hook (19 PTS)")</f>
        <v>9' Hook (19 PTS)</v>
      </c>
      <c r="L690" s="2" t="str">
        <f>HYPERLINK("https://www.nba.com/game/...-vs-...-0022201229/play-by-play?watchFullGame=true", "LAC vs PHX - Q4 03:40.00")</f>
        <v>LAC vs PHX - Q4 03:40.00</v>
      </c>
      <c r="M690">
        <v>9.1199999999999992</v>
      </c>
      <c r="N690">
        <v>14.01</v>
      </c>
      <c r="O690">
        <v>40.93</v>
      </c>
      <c r="P690">
        <v>45</v>
      </c>
      <c r="Q690">
        <v>79</v>
      </c>
      <c r="R690">
        <v>14</v>
      </c>
      <c r="S690">
        <v>40</v>
      </c>
    </row>
    <row r="691" spans="1:19" hidden="1" x14ac:dyDescent="0.25">
      <c r="A691">
        <v>22000605</v>
      </c>
      <c r="B691" t="s">
        <v>18</v>
      </c>
      <c r="C691" t="s">
        <v>19</v>
      </c>
      <c r="D691">
        <v>103</v>
      </c>
      <c r="E691">
        <v>96</v>
      </c>
      <c r="F691">
        <v>7</v>
      </c>
      <c r="G691">
        <v>4</v>
      </c>
      <c r="H691" s="1">
        <v>2.8009259259259259E-3</v>
      </c>
      <c r="I691">
        <v>2020</v>
      </c>
      <c r="J691" t="s">
        <v>83</v>
      </c>
      <c r="K691" s="2" t="str">
        <f>HYPERLINK("https://www.nba.com/stats/events?CFID=&amp;CFPARAMS=&amp;GameEventID=503&amp;GameID=0022000605&amp;Season=2020-21&amp;flag=1&amp;title=Leonard%209'%20turnaround%20fadeaway%20Jump%20Shot%20(19%20PTS)", "9' turnaround fadeaway Jump Shot (19 PTS)")</f>
        <v>9' turnaround fadeaway Jump Shot (19 PTS)</v>
      </c>
      <c r="L691" s="2" t="str">
        <f>HYPERLINK("https://www.nba.com/game/...-vs-...-0022000605/play-by-play?watchFullGame=true", "LAC vs DAL - Q4 04:02.00")</f>
        <v>LAC vs DAL - Q4 04:02.00</v>
      </c>
      <c r="M691">
        <v>9.1199999999999992</v>
      </c>
      <c r="N691">
        <v>14.93</v>
      </c>
      <c r="O691">
        <v>45.17</v>
      </c>
      <c r="P691">
        <v>24</v>
      </c>
      <c r="Q691">
        <v>88</v>
      </c>
      <c r="R691">
        <v>14</v>
      </c>
      <c r="S691">
        <v>45</v>
      </c>
    </row>
    <row r="692" spans="1:19" hidden="1" x14ac:dyDescent="0.25">
      <c r="A692">
        <v>22300505</v>
      </c>
      <c r="B692" t="s">
        <v>18</v>
      </c>
      <c r="C692" t="s">
        <v>19</v>
      </c>
      <c r="D692">
        <v>60</v>
      </c>
      <c r="E692">
        <v>57</v>
      </c>
      <c r="F692">
        <v>3</v>
      </c>
      <c r="G692">
        <v>3</v>
      </c>
      <c r="H692" s="1">
        <v>6.2268518518518515E-3</v>
      </c>
      <c r="I692">
        <v>2023</v>
      </c>
      <c r="J692" t="s">
        <v>83</v>
      </c>
      <c r="K692" s="2" t="str">
        <f>HYPERLINK("https://www.nba.com/stats/events?CFID=&amp;CFPARAMS=&amp;GameEventID=346&amp;GameID=0022300505&amp;Season=2023-24&amp;flag=1&amp;title=Leonard%209'%20floating%20Jump%20Shot%20(8%20PTS)", "9' floating Jump Shot (8 PTS)")</f>
        <v>9' floating Jump Shot (8 PTS)</v>
      </c>
      <c r="L692" s="2" t="str">
        <f>HYPERLINK("https://www.nba.com/game/...-vs-...-0022300505/play-by-play?watchFullGame=true", "LAC vs LAL - Q3 08:58.00")</f>
        <v>LAC vs LAL - Q3 08:58.00</v>
      </c>
      <c r="M692">
        <v>9.0399999999999991</v>
      </c>
      <c r="N692">
        <v>14.64</v>
      </c>
      <c r="O692">
        <v>56.13</v>
      </c>
      <c r="P692">
        <v>-31</v>
      </c>
      <c r="Q692">
        <v>85</v>
      </c>
      <c r="R692">
        <v>14</v>
      </c>
      <c r="S692">
        <v>56</v>
      </c>
    </row>
    <row r="693" spans="1:19" hidden="1" x14ac:dyDescent="0.25">
      <c r="A693">
        <v>21900292</v>
      </c>
      <c r="B693" t="s">
        <v>18</v>
      </c>
      <c r="C693" t="s">
        <v>84</v>
      </c>
      <c r="D693">
        <v>87</v>
      </c>
      <c r="E693">
        <v>65</v>
      </c>
      <c r="F693">
        <v>22</v>
      </c>
      <c r="G693">
        <v>3</v>
      </c>
      <c r="H693" s="1">
        <v>7.1875000000000003E-3</v>
      </c>
      <c r="I693">
        <v>2019</v>
      </c>
      <c r="J693" t="s">
        <v>83</v>
      </c>
      <c r="K693" s="2" t="str">
        <f>HYPERLINK("https://www.nba.com/stats/events?CFID=&amp;CFPARAMS=&amp;GameEventID=404&amp;GameID=0021900292&amp;Season=2019-20&amp;flag=1&amp;title=Leonard%209'%20jumpshot%20(19%20PTS)", "9' jumpshot (19 PTS)")</f>
        <v>9' jumpshot (19 PTS)</v>
      </c>
      <c r="L693" s="2" t="str">
        <f>HYPERLINK("https://www.nba.com/game/...-vs-...-0021900292/play-by-play?watchFullGame=true", "LAC vs WAS - Q3 10:21.00")</f>
        <v>LAC vs WAS - Q3 10:21.00</v>
      </c>
      <c r="M693">
        <v>9.02</v>
      </c>
      <c r="N693">
        <v>14.24</v>
      </c>
      <c r="O693">
        <v>54.83</v>
      </c>
      <c r="P693">
        <v>-24</v>
      </c>
      <c r="Q693">
        <v>81</v>
      </c>
      <c r="R693">
        <v>14</v>
      </c>
      <c r="S693">
        <v>54</v>
      </c>
    </row>
    <row r="694" spans="1:19" hidden="1" x14ac:dyDescent="0.25">
      <c r="A694">
        <v>22000324</v>
      </c>
      <c r="B694" t="s">
        <v>18</v>
      </c>
      <c r="C694" t="s">
        <v>19</v>
      </c>
      <c r="D694">
        <v>20</v>
      </c>
      <c r="E694">
        <v>8</v>
      </c>
      <c r="F694">
        <v>12</v>
      </c>
      <c r="G694">
        <v>1</v>
      </c>
      <c r="H694" s="1">
        <v>4.2013888888888891E-3</v>
      </c>
      <c r="I694">
        <v>2020</v>
      </c>
      <c r="J694" t="s">
        <v>83</v>
      </c>
      <c r="K694" s="2" t="str">
        <f>HYPERLINK("https://www.nba.com/stats/events?CFID=&amp;CFPARAMS=&amp;GameEventID=54&amp;GameID=0022000324&amp;Season=2020-21&amp;flag=1&amp;title=Leonard%208'%20fadeaway%20Jump%20Shot%20(8%20PTS)", "8' fadeaway Jump Shot (8 PTS)")</f>
        <v>8' fadeaway Jump Shot (8 PTS)</v>
      </c>
      <c r="L694" s="2" t="str">
        <f>HYPERLINK("https://www.nba.com/game/...-vs-...-0022000324/play-by-play?watchFullGame=true", "LAC vs BKN - Q1 06:03.00")</f>
        <v>LAC vs BKN - Q1 06:03.00</v>
      </c>
      <c r="M694">
        <v>8.8699999999999992</v>
      </c>
      <c r="N694">
        <v>14.41</v>
      </c>
      <c r="O694">
        <v>43.7</v>
      </c>
      <c r="P694">
        <v>32</v>
      </c>
      <c r="Q694">
        <v>83</v>
      </c>
      <c r="R694">
        <v>14</v>
      </c>
      <c r="S694">
        <v>43</v>
      </c>
    </row>
    <row r="695" spans="1:19" hidden="1" x14ac:dyDescent="0.25">
      <c r="A695">
        <v>22200352</v>
      </c>
      <c r="B695" t="s">
        <v>18</v>
      </c>
      <c r="C695" t="s">
        <v>19</v>
      </c>
      <c r="D695">
        <v>113</v>
      </c>
      <c r="E695">
        <v>109</v>
      </c>
      <c r="F695">
        <v>4</v>
      </c>
      <c r="G695">
        <v>4</v>
      </c>
      <c r="H695" s="1">
        <v>2.5000000000000001E-3</v>
      </c>
      <c r="I695">
        <v>2022</v>
      </c>
      <c r="J695" t="s">
        <v>83</v>
      </c>
      <c r="K695" s="2" t="str">
        <f>HYPERLINK("https://www.nba.com/stats/events?CFID=&amp;CFPARAMS=&amp;GameEventID=633&amp;GameID=0022200352&amp;Season=2022-23&amp;flag=1&amp;title=Leonard%208'%20pullup%20Jump%20Shot%20(12%20PTS)", "8' pullup Jump Shot (12 PTS)")</f>
        <v>8' pullup Jump Shot (12 PTS)</v>
      </c>
      <c r="L695" s="2" t="str">
        <f>HYPERLINK("https://www.nba.com/game/...-vs-...-0022200352/play-by-play?watchFullGame=true", "LAC vs CHA - Q4 03:36.00")</f>
        <v>LAC vs CHA - Q4 03:36.00</v>
      </c>
      <c r="M695">
        <v>8.7899999999999991</v>
      </c>
      <c r="N695">
        <v>14.67</v>
      </c>
      <c r="O695">
        <v>45.83</v>
      </c>
      <c r="P695">
        <v>21</v>
      </c>
      <c r="Q695">
        <v>85</v>
      </c>
      <c r="R695">
        <v>14</v>
      </c>
      <c r="S695">
        <v>45</v>
      </c>
    </row>
    <row r="696" spans="1:19" hidden="1" x14ac:dyDescent="0.25">
      <c r="A696">
        <v>22200525</v>
      </c>
      <c r="B696" t="s">
        <v>18</v>
      </c>
      <c r="C696" t="s">
        <v>19</v>
      </c>
      <c r="D696">
        <v>71</v>
      </c>
      <c r="E696">
        <v>72</v>
      </c>
      <c r="F696">
        <v>1</v>
      </c>
      <c r="G696">
        <v>3</v>
      </c>
      <c r="H696" s="1">
        <v>4.3287037037037035E-3</v>
      </c>
      <c r="I696">
        <v>2022</v>
      </c>
      <c r="J696" t="s">
        <v>83</v>
      </c>
      <c r="K696" s="2" t="str">
        <f>HYPERLINK("https://www.nba.com/stats/events?CFID=&amp;CFPARAMS=&amp;GameEventID=374&amp;GameID=0022200525&amp;Season=2022-23&amp;flag=1&amp;title=Leonard%208'%20driving%20floating%20Jump%20Shot%20(19%20PTS)", "8' driving floating Jump Shot (19 PTS)")</f>
        <v>8' driving floating Jump Shot (19 PTS)</v>
      </c>
      <c r="L696" s="2" t="str">
        <f>HYPERLINK("https://www.nba.com/game/...-vs-...-0022200525/play-by-play?watchFullGame=true", "LAC vs BOS - Q3 06:14.00")</f>
        <v>LAC vs BOS - Q3 06:14.00</v>
      </c>
      <c r="M696">
        <v>8.76</v>
      </c>
      <c r="N696">
        <v>14.67</v>
      </c>
      <c r="O696">
        <v>46.08</v>
      </c>
      <c r="P696">
        <v>20</v>
      </c>
      <c r="Q696">
        <v>85</v>
      </c>
      <c r="R696">
        <v>14</v>
      </c>
      <c r="S696">
        <v>46</v>
      </c>
    </row>
    <row r="697" spans="1:19" hidden="1" x14ac:dyDescent="0.25">
      <c r="A697">
        <v>22301079</v>
      </c>
      <c r="B697" t="s">
        <v>18</v>
      </c>
      <c r="C697" t="s">
        <v>19</v>
      </c>
      <c r="D697">
        <v>92</v>
      </c>
      <c r="E697">
        <v>82</v>
      </c>
      <c r="F697">
        <v>10</v>
      </c>
      <c r="G697">
        <v>3</v>
      </c>
      <c r="H697" s="1">
        <v>9.1435185185185185E-4</v>
      </c>
      <c r="I697">
        <v>2023</v>
      </c>
      <c r="J697" t="s">
        <v>83</v>
      </c>
      <c r="K697" s="2" t="str">
        <f>HYPERLINK("https://www.nba.com/stats/events?CFID=&amp;CFPARAMS=&amp;GameEventID=417&amp;GameID=0022301079&amp;Season=2023-24&amp;flag=1&amp;title=Leonard%208'%20pullup%20Jump%20Shot%20(17%20PTS)%20(R.%20Westbrook%203%20AST)", "8' pullup Jump Shot (17 PTS) (R. Westbrook 3 AST)")</f>
        <v>8' pullup Jump Shot (17 PTS) (R. Westbrook 3 AST)</v>
      </c>
      <c r="L697" s="2" t="str">
        <f>HYPERLINK("https://www.nba.com/game/...-vs-...-0022301079/play-by-play?watchFullGame=true", "LAC vs CHA - Q3 01:19.00")</f>
        <v>LAC vs CHA - Q3 01:19.00</v>
      </c>
      <c r="M697">
        <v>8.74</v>
      </c>
      <c r="N697">
        <v>14.67</v>
      </c>
      <c r="O697">
        <v>53.68</v>
      </c>
      <c r="P697">
        <v>-18</v>
      </c>
      <c r="Q697">
        <v>85</v>
      </c>
      <c r="R697">
        <v>14</v>
      </c>
      <c r="S697">
        <v>53</v>
      </c>
    </row>
    <row r="698" spans="1:19" hidden="1" x14ac:dyDescent="0.25">
      <c r="A698">
        <v>22000660</v>
      </c>
      <c r="B698" t="s">
        <v>18</v>
      </c>
      <c r="C698" t="s">
        <v>89</v>
      </c>
      <c r="D698">
        <v>38</v>
      </c>
      <c r="E698">
        <v>44</v>
      </c>
      <c r="F698">
        <v>6</v>
      </c>
      <c r="G698">
        <v>2</v>
      </c>
      <c r="H698" s="1">
        <v>4.0046296296296297E-3</v>
      </c>
      <c r="I698">
        <v>2020</v>
      </c>
      <c r="J698" t="s">
        <v>83</v>
      </c>
      <c r="K698" s="2" t="str">
        <f>HYPERLINK("https://www.nba.com/stats/events?CFID=&amp;CFPARAMS=&amp;GameEventID=239&amp;GameID=0022000660&amp;Season=2020-21&amp;flag=1&amp;title=Leonard%208'%20turnaround%20Hook%20(4%20PTS)", "8' turnaround Hook (4 PTS)")</f>
        <v>8' turnaround Hook (4 PTS)</v>
      </c>
      <c r="L698" s="2" t="str">
        <f>HYPERLINK("https://www.nba.com/game/...-vs-...-0022000660/play-by-play?watchFullGame=true", "LAC vs ATL - Q2 05:46.00")</f>
        <v>LAC vs ATL - Q2 05:46.00</v>
      </c>
      <c r="M698">
        <v>8.67</v>
      </c>
      <c r="N698">
        <v>14.77</v>
      </c>
      <c r="O698">
        <v>51.65</v>
      </c>
      <c r="P698">
        <v>-8</v>
      </c>
      <c r="Q698">
        <v>86</v>
      </c>
      <c r="R698">
        <v>14</v>
      </c>
      <c r="S698">
        <v>51</v>
      </c>
    </row>
    <row r="699" spans="1:19" hidden="1" x14ac:dyDescent="0.25">
      <c r="A699">
        <v>22400486</v>
      </c>
      <c r="B699" t="s">
        <v>18</v>
      </c>
      <c r="C699" t="s">
        <v>19</v>
      </c>
      <c r="D699">
        <v>81</v>
      </c>
      <c r="E699">
        <v>64</v>
      </c>
      <c r="F699">
        <v>17</v>
      </c>
      <c r="G699">
        <v>3</v>
      </c>
      <c r="H699" s="1">
        <v>6.1805555555555555E-3</v>
      </c>
      <c r="I699">
        <v>2024</v>
      </c>
      <c r="J699" t="s">
        <v>83</v>
      </c>
      <c r="K699" s="2" t="str">
        <f>HYPERLINK("https://www.nba.com/stats/events?CFID=&amp;CFPARAMS=&amp;GameEventID=382&amp;GameID=0022400486&amp;Season=2024-25&amp;flag=1&amp;title=Leonard%208'%20driving%20floating%20Jump%20Shot%20(12%20PTS)%20(J.%20Harden%2014%20AST)", "8' driving floating Jump Shot (12 PTS) (J. Harden 14 AST)")</f>
        <v>8' driving floating Jump Shot (12 PTS) (J. Harden 14 AST)</v>
      </c>
      <c r="L699" s="2" t="str">
        <f>HYPERLINK("https://www.nba.com/game/...-vs-...-0022400486/play-by-play?watchFullGame=true", "LAC vs ATL - Q3 08:54.00")</f>
        <v>LAC vs ATL - Q3 08:54.00</v>
      </c>
      <c r="M699">
        <v>8.56</v>
      </c>
      <c r="N699">
        <v>14.27</v>
      </c>
      <c r="O699">
        <v>44.85</v>
      </c>
      <c r="P699">
        <v>26</v>
      </c>
      <c r="Q699">
        <v>82</v>
      </c>
      <c r="R699">
        <v>14</v>
      </c>
      <c r="S699">
        <v>44</v>
      </c>
    </row>
    <row r="700" spans="1:19" hidden="1" x14ac:dyDescent="0.25">
      <c r="A700">
        <v>22300235</v>
      </c>
      <c r="B700" t="s">
        <v>18</v>
      </c>
      <c r="C700" t="s">
        <v>19</v>
      </c>
      <c r="D700">
        <v>68</v>
      </c>
      <c r="E700">
        <v>62</v>
      </c>
      <c r="F700">
        <v>6</v>
      </c>
      <c r="G700">
        <v>3</v>
      </c>
      <c r="H700" s="1">
        <v>4.5023148148148149E-3</v>
      </c>
      <c r="I700">
        <v>2023</v>
      </c>
      <c r="J700" t="s">
        <v>83</v>
      </c>
      <c r="K700" s="2" t="str">
        <f>HYPERLINK("https://www.nba.com/stats/events?CFID=&amp;CFPARAMS=&amp;GameEventID=421&amp;GameID=0022300235&amp;Season=2023-24&amp;flag=1&amp;title=Leonard%2017'%20Jump%20Shot%20(18%20PTS)%20(J.%20Harden%206%20AST)", "17' Jump Shot (18 PTS) (J. Harden 6 AST)")</f>
        <v>17' Jump Shot (18 PTS) (J. Harden 6 AST)</v>
      </c>
      <c r="L700" s="2" t="str">
        <f>HYPERLINK("https://www.nba.com/game/...-vs-...-0022300235/play-by-play?watchFullGame=true", "LAC vs SAS - Q3 06:29.00")</f>
        <v>LAC vs SAS - Q3 06:29.00</v>
      </c>
      <c r="M700">
        <v>17.91</v>
      </c>
      <c r="N700">
        <v>15.46</v>
      </c>
      <c r="O700">
        <v>19.36</v>
      </c>
      <c r="P700">
        <v>153</v>
      </c>
      <c r="Q700">
        <v>93</v>
      </c>
      <c r="R700">
        <v>15</v>
      </c>
      <c r="S700">
        <v>19</v>
      </c>
    </row>
    <row r="701" spans="1:19" hidden="1" x14ac:dyDescent="0.25">
      <c r="A701">
        <v>22201004</v>
      </c>
      <c r="B701" t="s">
        <v>18</v>
      </c>
      <c r="C701" t="s">
        <v>19</v>
      </c>
      <c r="D701">
        <v>60</v>
      </c>
      <c r="E701">
        <v>60</v>
      </c>
      <c r="F701">
        <v>0</v>
      </c>
      <c r="G701">
        <v>3</v>
      </c>
      <c r="H701" s="1">
        <v>4.9189814814814816E-3</v>
      </c>
      <c r="I701">
        <v>2022</v>
      </c>
      <c r="J701" t="s">
        <v>83</v>
      </c>
      <c r="K701" s="2" t="str">
        <f>HYPERLINK("https://www.nba.com/stats/events?CFID=&amp;CFPARAMS=&amp;GameEventID=363&amp;GameID=0022201004&amp;Season=2022-23&amp;flag=1&amp;title=Leonard%2017'%20pullup%20Jump%20Shot%20(21%20PTS)", "17' pullup Jump Shot (21 PTS)")</f>
        <v>17' pullup Jump Shot (21 PTS)</v>
      </c>
      <c r="L701" s="2" t="str">
        <f>HYPERLINK("https://www.nba.com/game/...-vs-...-0022201004/play-by-play?watchFullGame=true", "LAC vs NYK - Q3 07:05.00")</f>
        <v>LAC vs NYK - Q3 07:05.00</v>
      </c>
      <c r="M701">
        <v>17.13</v>
      </c>
      <c r="N701">
        <v>15.95</v>
      </c>
      <c r="O701">
        <v>21.81</v>
      </c>
      <c r="P701">
        <v>141</v>
      </c>
      <c r="Q701">
        <v>97</v>
      </c>
      <c r="R701">
        <v>15</v>
      </c>
      <c r="S701">
        <v>21</v>
      </c>
    </row>
    <row r="702" spans="1:19" hidden="1" x14ac:dyDescent="0.25">
      <c r="A702">
        <v>22000488</v>
      </c>
      <c r="B702" t="s">
        <v>18</v>
      </c>
      <c r="C702" t="s">
        <v>19</v>
      </c>
      <c r="D702">
        <v>80</v>
      </c>
      <c r="E702">
        <v>62</v>
      </c>
      <c r="F702">
        <v>18</v>
      </c>
      <c r="G702">
        <v>3</v>
      </c>
      <c r="H702" s="1">
        <v>7.1759259259259259E-3</v>
      </c>
      <c r="I702">
        <v>2020</v>
      </c>
      <c r="J702" t="s">
        <v>83</v>
      </c>
      <c r="K702" s="2" t="str">
        <f>HYPERLINK("https://www.nba.com/stats/events?CFID=&amp;CFPARAMS=&amp;GameEventID=341&amp;GameID=0022000488&amp;Season=2020-21&amp;flag=1&amp;title=Leonard%2016'%20step%20back%20Jump%20Shot%20(21%20PTS)", "16' step back Jump Shot (21 PTS)")</f>
        <v>16' step back Jump Shot (21 PTS)</v>
      </c>
      <c r="L702" s="2" t="str">
        <f>HYPERLINK("https://www.nba.com/game/...-vs-...-0022000488/play-by-play?watchFullGame=true", "LAC vs WAS - Q3 10:20.00")</f>
        <v>LAC vs WAS - Q3 10:20.00</v>
      </c>
      <c r="M702">
        <v>16.75</v>
      </c>
      <c r="N702">
        <v>15.46</v>
      </c>
      <c r="O702">
        <v>22.13</v>
      </c>
      <c r="P702">
        <v>139</v>
      </c>
      <c r="Q702">
        <v>93</v>
      </c>
      <c r="R702">
        <v>15</v>
      </c>
      <c r="S702">
        <v>22</v>
      </c>
    </row>
    <row r="703" spans="1:19" hidden="1" x14ac:dyDescent="0.25">
      <c r="A703">
        <v>22000324</v>
      </c>
      <c r="B703" t="s">
        <v>18</v>
      </c>
      <c r="C703" t="s">
        <v>19</v>
      </c>
      <c r="D703">
        <v>41</v>
      </c>
      <c r="E703">
        <v>38</v>
      </c>
      <c r="F703">
        <v>3</v>
      </c>
      <c r="G703">
        <v>2</v>
      </c>
      <c r="H703" s="1">
        <v>4.8379629629629632E-3</v>
      </c>
      <c r="I703">
        <v>2020</v>
      </c>
      <c r="J703" t="s">
        <v>83</v>
      </c>
      <c r="K703" s="2" t="str">
        <f>HYPERLINK("https://www.nba.com/stats/events?CFID=&amp;CFPARAMS=&amp;GameEventID=212&amp;GameID=0022000324&amp;Season=2020-21&amp;flag=1&amp;title=Leonard%2016'%20pullup%20Jump%20Shot%20(14%20PTS)", "16' pullup Jump Shot (14 PTS)")</f>
        <v>16' pullup Jump Shot (14 PTS)</v>
      </c>
      <c r="L703" s="2" t="str">
        <f>HYPERLINK("https://www.nba.com/game/...-vs-...-0022000324/play-by-play?watchFullGame=true", "LAC vs BKN - Q2 06:58.00")</f>
        <v>LAC vs BKN - Q2 06:58.00</v>
      </c>
      <c r="M703">
        <v>16.71</v>
      </c>
      <c r="N703">
        <v>15.59</v>
      </c>
      <c r="O703">
        <v>22.37</v>
      </c>
      <c r="P703">
        <v>138</v>
      </c>
      <c r="Q703">
        <v>94</v>
      </c>
      <c r="R703">
        <v>15</v>
      </c>
      <c r="S703">
        <v>22</v>
      </c>
    </row>
    <row r="704" spans="1:19" hidden="1" x14ac:dyDescent="0.25">
      <c r="A704">
        <v>21900589</v>
      </c>
      <c r="B704" t="s">
        <v>18</v>
      </c>
      <c r="C704" t="s">
        <v>84</v>
      </c>
      <c r="D704">
        <v>7</v>
      </c>
      <c r="E704">
        <v>3</v>
      </c>
      <c r="F704">
        <v>4</v>
      </c>
      <c r="G704">
        <v>1</v>
      </c>
      <c r="H704" s="1">
        <v>6.8865740740740745E-3</v>
      </c>
      <c r="I704">
        <v>2019</v>
      </c>
      <c r="J704" t="s">
        <v>83</v>
      </c>
      <c r="K704" s="2" t="str">
        <f>HYPERLINK("https://www.nba.com/stats/events?CFID=&amp;CFPARAMS=&amp;GameEventID=21&amp;GameID=0021900589&amp;Season=2019-20&amp;flag=1&amp;title=Leonard%2017'%20jumpshot%20(2%20PTS)%20(P.%20Patterson%201%20AST)", "17' jumpshot (2 PTS) (P. Patterson 1 AST)")</f>
        <v>17' jumpshot (2 PTS) (P. Patterson 1 AST)</v>
      </c>
      <c r="L704" s="2" t="str">
        <f>HYPERLINK("https://www.nba.com/game/...-vs-...-0021900589/play-by-play?watchFullGame=true", "LAC vs DEN - Q1 09:55.00")</f>
        <v>LAC vs DEN - Q1 09:55.00</v>
      </c>
      <c r="M704">
        <v>16.649999999999999</v>
      </c>
      <c r="N704">
        <v>15.69</v>
      </c>
      <c r="O704">
        <v>23.46</v>
      </c>
      <c r="P704">
        <v>133</v>
      </c>
      <c r="Q704">
        <v>95</v>
      </c>
      <c r="R704">
        <v>15</v>
      </c>
      <c r="S704">
        <v>23</v>
      </c>
    </row>
    <row r="705" spans="1:19" hidden="1" x14ac:dyDescent="0.25">
      <c r="A705">
        <v>21900603</v>
      </c>
      <c r="B705" t="s">
        <v>18</v>
      </c>
      <c r="C705" t="s">
        <v>84</v>
      </c>
      <c r="D705">
        <v>14</v>
      </c>
      <c r="E705">
        <v>12</v>
      </c>
      <c r="F705">
        <v>2</v>
      </c>
      <c r="G705">
        <v>1</v>
      </c>
      <c r="H705" s="1">
        <v>5.162037037037037E-3</v>
      </c>
      <c r="I705">
        <v>2019</v>
      </c>
      <c r="J705" t="s">
        <v>83</v>
      </c>
      <c r="K705" s="2" t="str">
        <f>HYPERLINK("https://www.nba.com/stats/events?CFID=&amp;CFPARAMS=&amp;GameEventID=55&amp;GameID=0021900603&amp;Season=2019-20&amp;flag=1&amp;title=Leonard%2016'%20jumpshot%20(4%20PTS)%20(P.%20Beverley%203%20AST)", "16' jumpshot (4 PTS) (P. Beverley 3 AST)")</f>
        <v>16' jumpshot (4 PTS) (P. Beverley 3 AST)</v>
      </c>
      <c r="L705" s="2" t="str">
        <f>HYPERLINK("https://www.nba.com/game/...-vs-...-0021900603/play-by-play?watchFullGame=true", "LAC vs CLE - Q1 07:26.00")</f>
        <v>LAC vs CLE - Q1 07:26.00</v>
      </c>
      <c r="M705">
        <v>16.09</v>
      </c>
      <c r="N705">
        <v>15.82</v>
      </c>
      <c r="O705">
        <v>74.930000000000007</v>
      </c>
      <c r="P705">
        <v>-125</v>
      </c>
      <c r="Q705">
        <v>96</v>
      </c>
      <c r="R705">
        <v>15</v>
      </c>
      <c r="S705">
        <v>74</v>
      </c>
    </row>
    <row r="706" spans="1:19" hidden="1" x14ac:dyDescent="0.25">
      <c r="A706">
        <v>21900499</v>
      </c>
      <c r="B706" t="s">
        <v>18</v>
      </c>
      <c r="C706" t="s">
        <v>84</v>
      </c>
      <c r="D706">
        <v>74</v>
      </c>
      <c r="E706">
        <v>59</v>
      </c>
      <c r="F706">
        <v>15</v>
      </c>
      <c r="G706">
        <v>3</v>
      </c>
      <c r="H706" s="1">
        <v>3.9467592592592592E-3</v>
      </c>
      <c r="I706">
        <v>2019</v>
      </c>
      <c r="J706" t="s">
        <v>83</v>
      </c>
      <c r="K706" s="2" t="str">
        <f>HYPERLINK("https://www.nba.com/stats/events?CFID=&amp;CFPARAMS=&amp;GameEventID=417&amp;GameID=0021900499&amp;Season=2019-20&amp;flag=1&amp;title=Leonard%2017'%20jumpshot%20(18%20PTS)%20(P.%20George%208%20AST)", "17' jumpshot (18 PTS) (P. George 8 AST)")</f>
        <v>17' jumpshot (18 PTS) (P. George 8 AST)</v>
      </c>
      <c r="L706" s="2" t="str">
        <f>HYPERLINK("https://www.nba.com/game/...-vs-...-0021900499/play-by-play?watchFullGame=true", "LAC vs SAC - Q3 05:41.00")</f>
        <v>LAC vs SAC - Q3 05:41.00</v>
      </c>
      <c r="M706">
        <v>17.3</v>
      </c>
      <c r="N706">
        <v>15.98</v>
      </c>
      <c r="O706">
        <v>77.77</v>
      </c>
      <c r="P706">
        <v>-139</v>
      </c>
      <c r="Q706">
        <v>98</v>
      </c>
      <c r="R706">
        <v>15</v>
      </c>
      <c r="S706">
        <v>77</v>
      </c>
    </row>
    <row r="707" spans="1:19" hidden="1" x14ac:dyDescent="0.25">
      <c r="A707">
        <v>21900339</v>
      </c>
      <c r="B707" t="s">
        <v>18</v>
      </c>
      <c r="C707" t="s">
        <v>84</v>
      </c>
      <c r="D707">
        <v>125</v>
      </c>
      <c r="E707">
        <v>112</v>
      </c>
      <c r="F707">
        <v>13</v>
      </c>
      <c r="G707">
        <v>4</v>
      </c>
      <c r="H707" s="1">
        <v>2.7546296296296294E-3</v>
      </c>
      <c r="I707">
        <v>2019</v>
      </c>
      <c r="J707" t="s">
        <v>83</v>
      </c>
      <c r="K707" s="2" t="str">
        <f>HYPERLINK("https://www.nba.com/stats/events?CFID=&amp;CFPARAMS=&amp;GameEventID=666&amp;GameID=0021900339&amp;Season=2019-20&amp;flag=1&amp;title=Leonard%2018'%20jumpshot%20(34%20PTS)", "18' jumpshot (34 PTS)")</f>
        <v>18' jumpshot (34 PTS)</v>
      </c>
      <c r="L707" s="2" t="str">
        <f>HYPERLINK("https://www.nba.com/game/...-vs-...-0021900339/play-by-play?watchFullGame=true", "LAC vs WAS - Q4 03:58.00")</f>
        <v>LAC vs WAS - Q4 03:58.00</v>
      </c>
      <c r="M707">
        <v>17.809999999999999</v>
      </c>
      <c r="N707">
        <v>15.56</v>
      </c>
      <c r="O707">
        <v>79.59</v>
      </c>
      <c r="P707">
        <v>-148</v>
      </c>
      <c r="Q707">
        <v>94</v>
      </c>
      <c r="R707">
        <v>15</v>
      </c>
      <c r="S707">
        <v>79</v>
      </c>
    </row>
    <row r="708" spans="1:19" hidden="1" x14ac:dyDescent="0.25">
      <c r="A708">
        <v>22300526</v>
      </c>
      <c r="B708" t="s">
        <v>18</v>
      </c>
      <c r="C708" t="s">
        <v>19</v>
      </c>
      <c r="D708">
        <v>11</v>
      </c>
      <c r="E708">
        <v>8</v>
      </c>
      <c r="F708">
        <v>3</v>
      </c>
      <c r="G708">
        <v>1</v>
      </c>
      <c r="H708" s="1">
        <v>5.185185185185185E-3</v>
      </c>
      <c r="I708">
        <v>2023</v>
      </c>
      <c r="J708" t="s">
        <v>83</v>
      </c>
      <c r="K708" s="2" t="str">
        <f>HYPERLINK("https://www.nba.com/stats/events?CFID=&amp;CFPARAMS=&amp;GameEventID=38&amp;GameID=0022300526&amp;Season=2023-24&amp;flag=1&amp;title=Leonard%2020'%20pullup%20Jump%20Shot%20(2%20PTS)%20(I.%20Zubac%201%20AST)", "20' pullup Jump Shot (2 PTS) (I. Zubac 1 AST)")</f>
        <v>20' pullup Jump Shot (2 PTS) (I. Zubac 1 AST)</v>
      </c>
      <c r="L708" s="2" t="str">
        <f>HYPERLINK("https://www.nba.com/game/...-vs-...-0022300526/play-by-play?watchFullGame=true", "LAC vs TOR - Q1 07:28.00")</f>
        <v>LAC vs TOR - Q1 07:28.00</v>
      </c>
      <c r="M708">
        <v>20.59</v>
      </c>
      <c r="N708">
        <v>15.95</v>
      </c>
      <c r="O708">
        <v>86.27</v>
      </c>
      <c r="P708">
        <v>-181</v>
      </c>
      <c r="Q708">
        <v>97</v>
      </c>
      <c r="R708">
        <v>15</v>
      </c>
      <c r="S708">
        <v>86</v>
      </c>
    </row>
    <row r="709" spans="1:19" hidden="1" x14ac:dyDescent="0.25">
      <c r="A709">
        <v>21900516</v>
      </c>
      <c r="B709" t="s">
        <v>18</v>
      </c>
      <c r="C709" t="s">
        <v>84</v>
      </c>
      <c r="D709">
        <v>71</v>
      </c>
      <c r="E709">
        <v>63</v>
      </c>
      <c r="F709">
        <v>8</v>
      </c>
      <c r="G709">
        <v>3</v>
      </c>
      <c r="H709" s="1">
        <v>8.1365740740740738E-3</v>
      </c>
      <c r="I709">
        <v>2019</v>
      </c>
      <c r="J709" t="s">
        <v>83</v>
      </c>
      <c r="K709" s="2" t="str">
        <f>HYPERLINK("https://www.nba.com/stats/events?CFID=&amp;CFPARAMS=&amp;GameEventID=380&amp;GameID=0021900516&amp;Season=2019-20&amp;flag=1&amp;title=Leonard%2013'%20jumpshot%20(14%20PTS)", "13' jumpshot (14 PTS)")</f>
        <v>13' jumpshot (14 PTS)</v>
      </c>
      <c r="L709" s="2" t="str">
        <f>HYPERLINK("https://www.nba.com/game/...-vs-...-0021900516/play-by-play?watchFullGame=true", "LAC vs DET - Q3 11:43.00")</f>
        <v>LAC vs DET - Q3 11:43.00</v>
      </c>
      <c r="M709">
        <v>13.45</v>
      </c>
      <c r="N709">
        <v>15.64</v>
      </c>
      <c r="O709">
        <v>32.020000000000003</v>
      </c>
      <c r="P709">
        <v>90</v>
      </c>
      <c r="Q709">
        <v>94</v>
      </c>
      <c r="R709">
        <v>15</v>
      </c>
      <c r="S709">
        <v>32</v>
      </c>
    </row>
    <row r="710" spans="1:19" hidden="1" x14ac:dyDescent="0.25">
      <c r="A710">
        <v>41900156</v>
      </c>
      <c r="B710" t="s">
        <v>18</v>
      </c>
      <c r="C710" t="s">
        <v>84</v>
      </c>
      <c r="D710">
        <v>25</v>
      </c>
      <c r="E710">
        <v>23</v>
      </c>
      <c r="F710">
        <v>2</v>
      </c>
      <c r="G710">
        <v>1</v>
      </c>
      <c r="H710" s="1">
        <v>1.1458333333333333E-3</v>
      </c>
      <c r="I710" t="s">
        <v>86</v>
      </c>
      <c r="J710" t="s">
        <v>83</v>
      </c>
      <c r="K710" s="2" t="str">
        <f>HYPERLINK("https://www.nba.com/stats/events?CFID=&amp;CFPARAMS=&amp;GameEventID=123&amp;GameID=0041900156&amp;Season=2019-20&amp;flag=1&amp;title=Leonard%2013'%20jumpshot%20(2%20PTS)", "13' jumpshot (2 PTS)")</f>
        <v>13' jumpshot (2 PTS)</v>
      </c>
      <c r="L710" s="2" t="str">
        <f>HYPERLINK("https://www.nba.com/game/...-vs-...-0041900156/play-by-play?watchFullGame=true", "LAC vs DAL - Q1 01:39.00")</f>
        <v>LAC vs DAL - Q1 01:39.00</v>
      </c>
      <c r="M710">
        <v>12.88</v>
      </c>
      <c r="N710">
        <v>15.59</v>
      </c>
      <c r="O710">
        <v>33.65</v>
      </c>
      <c r="P710">
        <v>82</v>
      </c>
      <c r="Q710">
        <v>94</v>
      </c>
      <c r="R710">
        <v>15</v>
      </c>
      <c r="S710">
        <v>33</v>
      </c>
    </row>
    <row r="711" spans="1:19" hidden="1" x14ac:dyDescent="0.25">
      <c r="A711">
        <v>22400571</v>
      </c>
      <c r="B711" t="s">
        <v>18</v>
      </c>
      <c r="C711" t="s">
        <v>19</v>
      </c>
      <c r="D711">
        <v>92</v>
      </c>
      <c r="E711">
        <v>40</v>
      </c>
      <c r="F711">
        <v>52</v>
      </c>
      <c r="G711">
        <v>3</v>
      </c>
      <c r="H711" s="1">
        <v>2.8935185185185184E-3</v>
      </c>
      <c r="I711">
        <v>2024</v>
      </c>
      <c r="J711" t="s">
        <v>83</v>
      </c>
      <c r="K711" s="2" t="str">
        <f>HYPERLINK("https://www.nba.com/stats/events?CFID=&amp;CFPARAMS=&amp;GameEventID=451&amp;GameID=0022400571&amp;Season=2024-25&amp;flag=1&amp;title=Leonard%2012'%20turnaround%20fadeaway%20Jump%20Shot%20(19%20PTS)", "12' turnaround fadeaway Jump Shot (19 PTS)")</f>
        <v>12' turnaround fadeaway Jump Shot (19 PTS)</v>
      </c>
      <c r="L711" s="2" t="str">
        <f>HYPERLINK("https://www.nba.com/game/...-vs-...-0022400571/play-by-play?watchFullGame=true", "LAC vs BKN - Q3 04:10.00")</f>
        <v>LAC vs BKN - Q3 04:10.00</v>
      </c>
      <c r="M711">
        <v>12.63</v>
      </c>
      <c r="N711">
        <v>15.33</v>
      </c>
      <c r="O711">
        <v>32.6</v>
      </c>
      <c r="P711">
        <v>87</v>
      </c>
      <c r="Q711">
        <v>92</v>
      </c>
      <c r="R711">
        <v>15</v>
      </c>
      <c r="S711">
        <v>32</v>
      </c>
    </row>
    <row r="712" spans="1:19" hidden="1" x14ac:dyDescent="0.25">
      <c r="A712">
        <v>22300708</v>
      </c>
      <c r="B712" t="s">
        <v>18</v>
      </c>
      <c r="C712" t="s">
        <v>19</v>
      </c>
      <c r="D712">
        <v>19</v>
      </c>
      <c r="E712">
        <v>22</v>
      </c>
      <c r="F712">
        <v>3</v>
      </c>
      <c r="G712">
        <v>1</v>
      </c>
      <c r="H712" s="1">
        <v>4.6296296296296296E-6</v>
      </c>
      <c r="I712">
        <v>2023</v>
      </c>
      <c r="J712" t="s">
        <v>83</v>
      </c>
      <c r="K712" s="2" t="str">
        <f>HYPERLINK("https://www.nba.com/stats/events?CFID=&amp;CFPARAMS=&amp;GameEventID=134&amp;GameID=0022300708&amp;Season=2023-24&amp;flag=1&amp;title=Leonard%2011'%20Jump%20Shot%20(6%20PTS)%20(R.%20Westbrook%201%20AST)", "11' Jump Shot (6 PTS) (R. Westbrook 1 AST)")</f>
        <v>11' Jump Shot (6 PTS) (R. Westbrook 1 AST)</v>
      </c>
      <c r="L712" s="2" t="str">
        <f>HYPERLINK("https://www.nba.com/game/...-vs-...-0022300708/play-by-play?watchFullGame=true", "LAC vs MIA - Q1 00:00.40")</f>
        <v>LAC vs MIA - Q1 00:00.40</v>
      </c>
      <c r="M712">
        <v>11.34</v>
      </c>
      <c r="N712">
        <v>15.98</v>
      </c>
      <c r="O712">
        <v>61.52</v>
      </c>
      <c r="P712">
        <v>-58</v>
      </c>
      <c r="Q712">
        <v>98</v>
      </c>
      <c r="R712">
        <v>15</v>
      </c>
      <c r="S712">
        <v>61</v>
      </c>
    </row>
    <row r="713" spans="1:19" hidden="1" x14ac:dyDescent="0.25">
      <c r="A713">
        <v>22300052</v>
      </c>
      <c r="B713" t="s">
        <v>18</v>
      </c>
      <c r="C713" t="s">
        <v>19</v>
      </c>
      <c r="D713">
        <v>6</v>
      </c>
      <c r="E713">
        <v>9</v>
      </c>
      <c r="F713">
        <v>3</v>
      </c>
      <c r="G713">
        <v>1</v>
      </c>
      <c r="H713" s="1">
        <v>6.5740740740740742E-3</v>
      </c>
      <c r="I713">
        <v>2023</v>
      </c>
      <c r="J713" t="s">
        <v>83</v>
      </c>
      <c r="K713" s="2" t="str">
        <f>HYPERLINK("https://www.nba.com/stats/events?CFID=&amp;CFPARAMS=&amp;GameEventID=25&amp;GameID=0022300052&amp;Season=2023-24&amp;flag=1&amp;title=Leonard%2011'%20pullup%20Jump%20Shot%20(2%20PTS)", "11' pullup Jump Shot (2 PTS)")</f>
        <v>11' pullup Jump Shot (2 PTS)</v>
      </c>
      <c r="L713" s="2" t="str">
        <f>HYPERLINK("https://www.nba.com/game/...-vs-...-0022300052/play-by-play?watchFullGame=true", "LAC vs NOP - Q1 09:28.00")</f>
        <v>LAC vs NOP - Q1 09:28.00</v>
      </c>
      <c r="M713">
        <v>11.17</v>
      </c>
      <c r="N713">
        <v>15.69</v>
      </c>
      <c r="O713">
        <v>38.24</v>
      </c>
      <c r="P713">
        <v>59</v>
      </c>
      <c r="Q713">
        <v>95</v>
      </c>
      <c r="R713">
        <v>15</v>
      </c>
      <c r="S713">
        <v>38</v>
      </c>
    </row>
    <row r="714" spans="1:19" hidden="1" x14ac:dyDescent="0.25">
      <c r="A714">
        <v>22200719</v>
      </c>
      <c r="B714" t="s">
        <v>18</v>
      </c>
      <c r="C714" t="s">
        <v>19</v>
      </c>
      <c r="D714">
        <v>123</v>
      </c>
      <c r="E714">
        <v>106</v>
      </c>
      <c r="F714">
        <v>17</v>
      </c>
      <c r="G714">
        <v>4</v>
      </c>
      <c r="H714" s="1">
        <v>3.1134259259259257E-3</v>
      </c>
      <c r="I714">
        <v>2022</v>
      </c>
      <c r="J714" t="s">
        <v>83</v>
      </c>
      <c r="K714" s="2" t="str">
        <f>HYPERLINK("https://www.nba.com/stats/events?CFID=&amp;CFPARAMS=&amp;GameEventID=587&amp;GameID=0022200719&amp;Season=2022-23&amp;flag=1&amp;title=Leonard%2011'%20pullup%20Jump%20Shot%20(25%20PTS)", "11' pullup Jump Shot (25 PTS)")</f>
        <v>11' pullup Jump Shot (25 PTS)</v>
      </c>
      <c r="L714" s="2" t="str">
        <f>HYPERLINK("https://www.nba.com/game/...-vs-...-0022200719/play-by-play?watchFullGame=true", "LAC vs LAL - Q4 04:29.00")</f>
        <v>LAC vs LAL - Q4 04:29.00</v>
      </c>
      <c r="M714">
        <v>11.13</v>
      </c>
      <c r="N714">
        <v>15.95</v>
      </c>
      <c r="O714">
        <v>39.22</v>
      </c>
      <c r="P714">
        <v>54</v>
      </c>
      <c r="Q714">
        <v>97</v>
      </c>
      <c r="R714">
        <v>15</v>
      </c>
      <c r="S714">
        <v>39</v>
      </c>
    </row>
    <row r="715" spans="1:19" hidden="1" x14ac:dyDescent="0.25">
      <c r="A715">
        <v>22300114</v>
      </c>
      <c r="B715" t="s">
        <v>18</v>
      </c>
      <c r="C715" t="s">
        <v>19</v>
      </c>
      <c r="D715">
        <v>94</v>
      </c>
      <c r="E715">
        <v>75</v>
      </c>
      <c r="F715">
        <v>19</v>
      </c>
      <c r="G715">
        <v>4</v>
      </c>
      <c r="H715" s="1">
        <v>6.875E-3</v>
      </c>
      <c r="I715">
        <v>2023</v>
      </c>
      <c r="J715" t="s">
        <v>83</v>
      </c>
      <c r="K715" s="2" t="str">
        <f>HYPERLINK("https://www.nba.com/stats/events?CFID=&amp;CFPARAMS=&amp;GameEventID=543&amp;GameID=0022300114&amp;Season=2023-24&amp;flag=1&amp;title=Leonard%2011'%20turnaround%20fadeaway%20Jump%20Shot%20(6%20PTS)", "11' turnaround fadeaway Jump Shot (6 PTS)")</f>
        <v>11' turnaround fadeaway Jump Shot (6 PTS)</v>
      </c>
      <c r="L715" s="2" t="str">
        <f>HYPERLINK("https://www.nba.com/game/...-vs-...-0022300114/play-by-play?watchFullGame=true", "LAC vs ORL - Q4 09:54.00")</f>
        <v>LAC vs ORL - Q4 09:54.00</v>
      </c>
      <c r="M715">
        <v>11.03</v>
      </c>
      <c r="N715">
        <v>15.42</v>
      </c>
      <c r="O715">
        <v>37.99</v>
      </c>
      <c r="P715">
        <v>60</v>
      </c>
      <c r="Q715">
        <v>92</v>
      </c>
      <c r="R715">
        <v>15</v>
      </c>
      <c r="S715">
        <v>37</v>
      </c>
    </row>
    <row r="716" spans="1:19" hidden="1" x14ac:dyDescent="0.25">
      <c r="A716">
        <v>21900276</v>
      </c>
      <c r="B716" t="s">
        <v>18</v>
      </c>
      <c r="C716" t="s">
        <v>84</v>
      </c>
      <c r="D716">
        <v>51</v>
      </c>
      <c r="E716">
        <v>51</v>
      </c>
      <c r="F716">
        <v>0</v>
      </c>
      <c r="G716">
        <v>2</v>
      </c>
      <c r="H716" s="1">
        <v>1.7476851851851852E-3</v>
      </c>
      <c r="I716">
        <v>2019</v>
      </c>
      <c r="J716" t="s">
        <v>83</v>
      </c>
      <c r="K716" s="2" t="str">
        <f>HYPERLINK("https://www.nba.com/stats/events?CFID=&amp;CFPARAMS=&amp;GameEventID=285&amp;GameID=0021900276&amp;Season=2019-20&amp;flag=1&amp;title=Leonard%2011'%20jumpshot%20(11%20PTS)", "11' jumpshot (11 PTS)")</f>
        <v>11' jumpshot (11 PTS)</v>
      </c>
      <c r="L716" s="2" t="str">
        <f>HYPERLINK("https://www.nba.com/game/...-vs-...-0021900276/play-by-play?watchFullGame=true", "LAC vs SAS - Q2 02:31.00")</f>
        <v>LAC vs SAS - Q2 02:31.00</v>
      </c>
      <c r="M716">
        <v>10.71</v>
      </c>
      <c r="N716">
        <v>15.85</v>
      </c>
      <c r="O716">
        <v>43.45</v>
      </c>
      <c r="P716">
        <v>33</v>
      </c>
      <c r="Q716">
        <v>96</v>
      </c>
      <c r="R716">
        <v>15</v>
      </c>
      <c r="S716">
        <v>43</v>
      </c>
    </row>
    <row r="717" spans="1:19" hidden="1" x14ac:dyDescent="0.25">
      <c r="A717">
        <v>21900458</v>
      </c>
      <c r="B717" t="s">
        <v>18</v>
      </c>
      <c r="C717" t="s">
        <v>84</v>
      </c>
      <c r="D717">
        <v>51</v>
      </c>
      <c r="E717">
        <v>55</v>
      </c>
      <c r="F717">
        <v>4</v>
      </c>
      <c r="G717">
        <v>2</v>
      </c>
      <c r="H717" s="1">
        <v>6.3773148148148153E-4</v>
      </c>
      <c r="I717">
        <v>2019</v>
      </c>
      <c r="J717" t="s">
        <v>83</v>
      </c>
      <c r="K717" s="2" t="str">
        <f>HYPERLINK("https://www.nba.com/stats/events?CFID=&amp;CFPARAMS=&amp;GameEventID=334&amp;GameID=0021900458&amp;Season=2019-20&amp;flag=1&amp;title=Leonard%2011'%20jumpshot%20(18%20PTS)", "11' jumpshot (18 PTS)")</f>
        <v>11' jumpshot (18 PTS)</v>
      </c>
      <c r="L717" s="2" t="str">
        <f>HYPERLINK("https://www.nba.com/game/...-vs-...-0021900458/play-by-play?watchFullGame=true", "LAC vs LAL - Q2 00:55.10")</f>
        <v>LAC vs LAL - Q2 00:55.10</v>
      </c>
      <c r="M717">
        <v>10.59</v>
      </c>
      <c r="N717">
        <v>15.56</v>
      </c>
      <c r="O717">
        <v>42.58</v>
      </c>
      <c r="P717">
        <v>37</v>
      </c>
      <c r="Q717">
        <v>94</v>
      </c>
      <c r="R717">
        <v>15</v>
      </c>
      <c r="S717">
        <v>42</v>
      </c>
    </row>
    <row r="718" spans="1:19" hidden="1" x14ac:dyDescent="0.25">
      <c r="A718">
        <v>42000177</v>
      </c>
      <c r="B718" t="s">
        <v>18</v>
      </c>
      <c r="C718" t="s">
        <v>19</v>
      </c>
      <c r="D718">
        <v>72</v>
      </c>
      <c r="E718">
        <v>67</v>
      </c>
      <c r="F718">
        <v>5</v>
      </c>
      <c r="G718">
        <v>3</v>
      </c>
      <c r="H718" s="1">
        <v>7.5462962962962966E-3</v>
      </c>
      <c r="I718" t="s">
        <v>91</v>
      </c>
      <c r="J718" t="s">
        <v>83</v>
      </c>
      <c r="K718" s="2" t="str">
        <f>HYPERLINK("https://www.nba.com/stats/events?CFID=&amp;CFPARAMS=&amp;GameEventID=341&amp;GameID=0042000177&amp;Season=2020-21&amp;flag=1&amp;title=Leonard%2010'%20pullup%20Jump%20Shot%20(15%20PTS)", "10' pullup Jump Shot (15 PTS)")</f>
        <v>10' pullup Jump Shot (15 PTS)</v>
      </c>
      <c r="L718" s="2" t="str">
        <f>HYPERLINK("https://www.nba.com/game/...-vs-...-0042000177/play-by-play?watchFullGame=true", "LAC vs DAL - Q3 10:52.00")</f>
        <v>LAC vs DAL - Q3 10:52.00</v>
      </c>
      <c r="M718">
        <v>10.58</v>
      </c>
      <c r="N718">
        <v>15.33</v>
      </c>
      <c r="O718">
        <v>60.61</v>
      </c>
      <c r="P718">
        <v>15</v>
      </c>
      <c r="Q718">
        <v>60</v>
      </c>
      <c r="R718">
        <v>15</v>
      </c>
      <c r="S718">
        <v>60</v>
      </c>
    </row>
    <row r="719" spans="1:19" hidden="1" x14ac:dyDescent="0.25">
      <c r="A719">
        <v>22000366</v>
      </c>
      <c r="B719" t="s">
        <v>18</v>
      </c>
      <c r="C719" t="s">
        <v>19</v>
      </c>
      <c r="D719">
        <v>62</v>
      </c>
      <c r="E719">
        <v>62</v>
      </c>
      <c r="F719">
        <v>0</v>
      </c>
      <c r="G719">
        <v>3</v>
      </c>
      <c r="H719" s="1">
        <v>5.6134259259259262E-3</v>
      </c>
      <c r="I719">
        <v>2020</v>
      </c>
      <c r="J719" t="s">
        <v>83</v>
      </c>
      <c r="K719" s="2" t="str">
        <f>HYPERLINK("https://www.nba.com/stats/events?CFID=&amp;CFPARAMS=&amp;GameEventID=368&amp;GameID=0022000366&amp;Season=2020-21&amp;flag=1&amp;title=Leonard%2010'%20running%20pullup%20Jump%20Shot%20(11%20PTS)", "10' running pullup Jump Shot (11 PTS)")</f>
        <v>10' running pullup Jump Shot (11 PTS)</v>
      </c>
      <c r="L719" s="2" t="str">
        <f>HYPERLINK("https://www.nba.com/game/...-vs-...-0022000366/play-by-play?watchFullGame=true", "LAC vs SAC - Q3 08:05.00")</f>
        <v>LAC vs SAC - Q3 08:05.00</v>
      </c>
      <c r="M719">
        <v>10.54</v>
      </c>
      <c r="N719">
        <v>15.98</v>
      </c>
      <c r="O719">
        <v>57.91</v>
      </c>
      <c r="P719">
        <v>-40</v>
      </c>
      <c r="Q719">
        <v>98</v>
      </c>
      <c r="R719">
        <v>15</v>
      </c>
      <c r="S719">
        <v>57</v>
      </c>
    </row>
    <row r="720" spans="1:19" hidden="1" x14ac:dyDescent="0.25">
      <c r="A720">
        <v>22000601</v>
      </c>
      <c r="B720" t="s">
        <v>18</v>
      </c>
      <c r="C720" t="s">
        <v>19</v>
      </c>
      <c r="D720">
        <v>4</v>
      </c>
      <c r="E720">
        <v>5</v>
      </c>
      <c r="F720">
        <v>1</v>
      </c>
      <c r="G720">
        <v>1</v>
      </c>
      <c r="H720" s="1">
        <v>6.9328703703703705E-3</v>
      </c>
      <c r="I720">
        <v>2020</v>
      </c>
      <c r="J720" t="s">
        <v>83</v>
      </c>
      <c r="K720" s="2" t="str">
        <f>HYPERLINK("https://www.nba.com/stats/events?CFID=&amp;CFPARAMS=&amp;GameEventID=21&amp;GameID=0022000601&amp;Season=2020-21&amp;flag=1&amp;title=Leonard%2010'%20floating%20Jump%20Shot%20(2%20PTS)%20(Ibaka%201%20AST)", "10' floating Jump Shot (2 PTS) (S. Ibaka 1 AST)")</f>
        <v>10' floating Jump Shot (2 PTS) (S. Ibaka 1 AST)</v>
      </c>
      <c r="L720" s="2" t="str">
        <f>HYPERLINK("https://www.nba.com/game/...-vs-...-0022000601/play-by-play?watchFullGame=true", "LAC vs NOP - Q1 09:59.00")</f>
        <v>LAC vs NOP - Q1 09:59.00</v>
      </c>
      <c r="M720">
        <v>10.27</v>
      </c>
      <c r="N720">
        <v>15.37</v>
      </c>
      <c r="O720">
        <v>40.880000000000003</v>
      </c>
      <c r="P720">
        <v>46</v>
      </c>
      <c r="Q720">
        <v>92</v>
      </c>
      <c r="R720">
        <v>15</v>
      </c>
      <c r="S720">
        <v>40</v>
      </c>
    </row>
    <row r="721" spans="1:19" hidden="1" x14ac:dyDescent="0.25">
      <c r="A721">
        <v>22200829</v>
      </c>
      <c r="B721" t="s">
        <v>18</v>
      </c>
      <c r="C721" t="s">
        <v>19</v>
      </c>
      <c r="D721">
        <v>72</v>
      </c>
      <c r="E721">
        <v>75</v>
      </c>
      <c r="F721">
        <v>3</v>
      </c>
      <c r="G721">
        <v>3</v>
      </c>
      <c r="H721" s="1">
        <v>3.1481481481481482E-3</v>
      </c>
      <c r="I721">
        <v>2022</v>
      </c>
      <c r="J721" t="s">
        <v>83</v>
      </c>
      <c r="K721" s="2" t="str">
        <f>HYPERLINK("https://www.nba.com/stats/events?CFID=&amp;CFPARAMS=&amp;GameEventID=390&amp;GameID=0022200829&amp;Season=2022-23&amp;flag=1&amp;title=Leonard%2010'%20pullup%20Jump%20Shot%20(11%20PTS)%20(P.%20George%204%20AST)", "10' pullup Jump Shot (11 PTS) (P. George 4 AST)")</f>
        <v>10' pullup Jump Shot (11 PTS) (P. George 4 AST)</v>
      </c>
      <c r="L721" s="2" t="str">
        <f>HYPERLINK("https://www.nba.com/game/...-vs-...-0022200829/play-by-play?watchFullGame=true", "LAC vs DAL - Q3 04:32.00")</f>
        <v>LAC vs DAL - Q3 04:32.00</v>
      </c>
      <c r="M721">
        <v>10.17</v>
      </c>
      <c r="N721">
        <v>15.82</v>
      </c>
      <c r="O721">
        <v>43.38</v>
      </c>
      <c r="P721">
        <v>33</v>
      </c>
      <c r="Q721">
        <v>96</v>
      </c>
      <c r="R721">
        <v>15</v>
      </c>
      <c r="S721">
        <v>43</v>
      </c>
    </row>
    <row r="722" spans="1:19" hidden="1" x14ac:dyDescent="0.25">
      <c r="A722">
        <v>22000457</v>
      </c>
      <c r="B722" t="s">
        <v>18</v>
      </c>
      <c r="C722" t="s">
        <v>19</v>
      </c>
      <c r="D722">
        <v>4</v>
      </c>
      <c r="E722">
        <v>7</v>
      </c>
      <c r="F722">
        <v>3</v>
      </c>
      <c r="G722">
        <v>1</v>
      </c>
      <c r="H722" s="1">
        <v>6.7245370370370367E-3</v>
      </c>
      <c r="I722">
        <v>2020</v>
      </c>
      <c r="J722" t="s">
        <v>83</v>
      </c>
      <c r="K722" s="2" t="str">
        <f>HYPERLINK("https://www.nba.com/stats/events?CFID=&amp;CFPARAMS=&amp;GameEventID=22&amp;GameID=0022000457&amp;Season=2020-21&amp;flag=1&amp;title=Leonard%2010'%20pullup%20Jump%20Shot%20(2%20PTS)", "10' pullup Jump Shot (2 PTS)")</f>
        <v>10' pullup Jump Shot (2 PTS)</v>
      </c>
      <c r="L722" s="2" t="str">
        <f>HYPERLINK("https://www.nba.com/game/...-vs-...-0022000457/play-by-play?watchFullGame=true", "LAC vs UTA - Q1 09:41.00")</f>
        <v>LAC vs UTA - Q1 09:41.00</v>
      </c>
      <c r="M722">
        <v>10.17</v>
      </c>
      <c r="N722">
        <v>15.59</v>
      </c>
      <c r="O722">
        <v>42.23</v>
      </c>
      <c r="P722">
        <v>39</v>
      </c>
      <c r="Q722">
        <v>94</v>
      </c>
      <c r="R722">
        <v>15</v>
      </c>
      <c r="S722">
        <v>42</v>
      </c>
    </row>
    <row r="723" spans="1:19" hidden="1" x14ac:dyDescent="0.25">
      <c r="A723">
        <v>22300827</v>
      </c>
      <c r="B723" t="s">
        <v>18</v>
      </c>
      <c r="C723" t="s">
        <v>19</v>
      </c>
      <c r="D723">
        <v>55</v>
      </c>
      <c r="E723">
        <v>70</v>
      </c>
      <c r="F723">
        <v>15</v>
      </c>
      <c r="G723">
        <v>3</v>
      </c>
      <c r="H723" s="1">
        <v>5.8680555555555552E-3</v>
      </c>
      <c r="I723">
        <v>2023</v>
      </c>
      <c r="J723" t="s">
        <v>83</v>
      </c>
      <c r="K723" s="2" t="str">
        <f>HYPERLINK("https://www.nba.com/stats/events?CFID=&amp;CFPARAMS=&amp;GameEventID=368&amp;GameID=0022300827&amp;Season=2023-24&amp;flag=1&amp;title=Leonard%209'%20pullup%20Jump%20Shot%20(14%20PTS)", "9' pullup Jump Shot (14 PTS)")</f>
        <v>9' pullup Jump Shot (14 PTS)</v>
      </c>
      <c r="L723" s="2" t="str">
        <f>HYPERLINK("https://www.nba.com/game/...-vs-...-0022300827/play-by-play?watchFullGame=true", "LAC vs SAC - Q3 08:27.00")</f>
        <v>LAC vs SAC - Q3 08:27.00</v>
      </c>
      <c r="M723">
        <v>9.9600000000000009</v>
      </c>
      <c r="N723">
        <v>15.95</v>
      </c>
      <c r="O723">
        <v>45.83</v>
      </c>
      <c r="P723">
        <v>21</v>
      </c>
      <c r="Q723">
        <v>97</v>
      </c>
      <c r="R723">
        <v>15</v>
      </c>
      <c r="S723">
        <v>45</v>
      </c>
    </row>
    <row r="724" spans="1:19" hidden="1" x14ac:dyDescent="0.25">
      <c r="A724">
        <v>22300024</v>
      </c>
      <c r="B724" t="s">
        <v>18</v>
      </c>
      <c r="C724" t="s">
        <v>19</v>
      </c>
      <c r="D724">
        <v>75</v>
      </c>
      <c r="E724">
        <v>76</v>
      </c>
      <c r="F724">
        <v>1</v>
      </c>
      <c r="G724">
        <v>3</v>
      </c>
      <c r="H724" s="1">
        <v>2.0138888888888888E-3</v>
      </c>
      <c r="I724">
        <v>2023</v>
      </c>
      <c r="J724" t="s">
        <v>83</v>
      </c>
      <c r="K724" s="2" t="str">
        <f>HYPERLINK("https://www.nba.com/stats/events?CFID=&amp;CFPARAMS=&amp;GameEventID=426&amp;GameID=0022300024&amp;Season=2023-24&amp;flag=1&amp;title=Leonard%209'%20pullup%20Jump%20Shot%20(11%20PTS)%20(J.%20Harden%203%20AST)", "9' pullup Jump Shot (11 PTS) (J. Harden 3 AST)")</f>
        <v>9' pullup Jump Shot (11 PTS) (J. Harden 3 AST)</v>
      </c>
      <c r="L724" s="2" t="str">
        <f>HYPERLINK("https://www.nba.com/game/...-vs-...-0022300024/play-by-play?watchFullGame=true", "LAC vs DEN - Q3 02:54.00")</f>
        <v>LAC vs DEN - Q3 02:54.00</v>
      </c>
      <c r="M724">
        <v>9.85</v>
      </c>
      <c r="N724">
        <v>15.85</v>
      </c>
      <c r="O724">
        <v>46.08</v>
      </c>
      <c r="P724">
        <v>20</v>
      </c>
      <c r="Q724">
        <v>96</v>
      </c>
      <c r="R724">
        <v>15</v>
      </c>
      <c r="S724">
        <v>46</v>
      </c>
    </row>
    <row r="725" spans="1:19" hidden="1" x14ac:dyDescent="0.25">
      <c r="A725">
        <v>22000720</v>
      </c>
      <c r="B725" t="s">
        <v>18</v>
      </c>
      <c r="C725" t="s">
        <v>19</v>
      </c>
      <c r="D725">
        <v>44</v>
      </c>
      <c r="E725">
        <v>28</v>
      </c>
      <c r="F725">
        <v>16</v>
      </c>
      <c r="G725">
        <v>2</v>
      </c>
      <c r="H725" s="1">
        <v>2.627314814814815E-3</v>
      </c>
      <c r="I725">
        <v>2020</v>
      </c>
      <c r="J725" t="s">
        <v>83</v>
      </c>
      <c r="K725" s="2" t="str">
        <f>HYPERLINK("https://www.nba.com/stats/events?CFID=&amp;CFPARAMS=&amp;GameEventID=232&amp;GameID=0022000720&amp;Season=2020-21&amp;flag=1&amp;title=Leonard%209'%20turnaround%20fadeaway%20Jump%20Shot%20(11%20PTS)", "9' turnaround fadeaway Jump Shot (11 PTS)")</f>
        <v>9' turnaround fadeaway Jump Shot (11 PTS)</v>
      </c>
      <c r="L725" s="2" t="str">
        <f>HYPERLINK("https://www.nba.com/game/...-vs-...-0022000720/play-by-play?watchFullGame=true", "LAC vs ORL - Q2 03:47.00")</f>
        <v>LAC vs ORL - Q2 03:47.00</v>
      </c>
      <c r="M725">
        <v>9.84</v>
      </c>
      <c r="N725">
        <v>15.46</v>
      </c>
      <c r="O725">
        <v>43.45</v>
      </c>
      <c r="P725">
        <v>33</v>
      </c>
      <c r="Q725">
        <v>93</v>
      </c>
      <c r="R725">
        <v>15</v>
      </c>
      <c r="S725">
        <v>43</v>
      </c>
    </row>
    <row r="726" spans="1:19" hidden="1" x14ac:dyDescent="0.25">
      <c r="A726">
        <v>21900458</v>
      </c>
      <c r="B726" t="s">
        <v>18</v>
      </c>
      <c r="C726" t="s">
        <v>84</v>
      </c>
      <c r="D726">
        <v>24</v>
      </c>
      <c r="E726">
        <v>21</v>
      </c>
      <c r="F726">
        <v>3</v>
      </c>
      <c r="G726">
        <v>1</v>
      </c>
      <c r="H726" s="1">
        <v>1.8171296296296297E-3</v>
      </c>
      <c r="I726">
        <v>2019</v>
      </c>
      <c r="J726" t="s">
        <v>83</v>
      </c>
      <c r="K726" s="2" t="str">
        <f>HYPERLINK("https://www.nba.com/stats/events?CFID=&amp;CFPARAMS=&amp;GameEventID=113&amp;GameID=0021900458&amp;Season=2019-20&amp;flag=1&amp;title=Leonard%2010'%20jumpshot%20(11%20PTS)%20(L.%20Williams%201%20AST)", "10' jumpshot (11 PTS) (L. Williams 1 AST)")</f>
        <v>10' jumpshot (11 PTS) (L. Williams 1 AST)</v>
      </c>
      <c r="L726" s="2" t="str">
        <f>HYPERLINK("https://www.nba.com/game/...-vs-...-0021900458/play-by-play?watchFullGame=true", "LAC vs LAL - Q1 02:37.00")</f>
        <v>LAC vs LAL - Q1 02:37.00</v>
      </c>
      <c r="M726">
        <v>9.56</v>
      </c>
      <c r="N726">
        <v>15.16</v>
      </c>
      <c r="O726">
        <v>50.67</v>
      </c>
      <c r="P726">
        <v>-3</v>
      </c>
      <c r="Q726">
        <v>90</v>
      </c>
      <c r="R726">
        <v>15</v>
      </c>
      <c r="S726">
        <v>50</v>
      </c>
    </row>
    <row r="727" spans="1:19" hidden="1" x14ac:dyDescent="0.25">
      <c r="A727">
        <v>22200784</v>
      </c>
      <c r="B727" t="s">
        <v>18</v>
      </c>
      <c r="C727" t="s">
        <v>19</v>
      </c>
      <c r="D727">
        <v>22</v>
      </c>
      <c r="E727">
        <v>9</v>
      </c>
      <c r="F727">
        <v>13</v>
      </c>
      <c r="G727">
        <v>1</v>
      </c>
      <c r="H727" s="1">
        <v>1.7476851851851852E-3</v>
      </c>
      <c r="I727">
        <v>2022</v>
      </c>
      <c r="J727" t="s">
        <v>83</v>
      </c>
      <c r="K727" s="2" t="str">
        <f>HYPERLINK("https://www.nba.com/stats/events?CFID=&amp;CFPARAMS=&amp;GameEventID=119&amp;GameID=0022200784&amp;Season=2022-23&amp;flag=1&amp;title=Leonard%209'%20turnaround%20fadeaway%20Jump%20Shot%20(6%20PTS)", "9' turnaround fadeaway Jump Shot (6 PTS)")</f>
        <v>9' turnaround fadeaway Jump Shot (6 PTS)</v>
      </c>
      <c r="L727" s="2" t="str">
        <f>HYPERLINK("https://www.nba.com/game/...-vs-...-0022200784/play-by-play?watchFullGame=true", "LAC vs MIL - Q1 02:31.00")</f>
        <v>LAC vs MIL - Q1 02:31.00</v>
      </c>
      <c r="M727">
        <v>9.5299999999999994</v>
      </c>
      <c r="N727">
        <v>15.72</v>
      </c>
      <c r="O727">
        <v>50.49</v>
      </c>
      <c r="P727">
        <v>-2</v>
      </c>
      <c r="Q727">
        <v>95</v>
      </c>
      <c r="R727">
        <v>15</v>
      </c>
      <c r="S727">
        <v>50</v>
      </c>
    </row>
    <row r="728" spans="1:19" hidden="1" x14ac:dyDescent="0.25">
      <c r="A728">
        <v>22000239</v>
      </c>
      <c r="B728" t="s">
        <v>18</v>
      </c>
      <c r="C728" t="s">
        <v>19</v>
      </c>
      <c r="D728">
        <v>79</v>
      </c>
      <c r="E728">
        <v>56</v>
      </c>
      <c r="F728">
        <v>23</v>
      </c>
      <c r="G728">
        <v>3</v>
      </c>
      <c r="H728" s="1">
        <v>6.1342592592592594E-3</v>
      </c>
      <c r="I728">
        <v>2020</v>
      </c>
      <c r="J728" t="s">
        <v>83</v>
      </c>
      <c r="K728" s="2" t="str">
        <f>HYPERLINK("https://www.nba.com/stats/events?CFID=&amp;CFPARAMS=&amp;GameEventID=354&amp;GameID=0022000239&amp;Season=2020-21&amp;flag=1&amp;title=Leonard%209'%20turnaround%20Jump%20Shot%20(19%20PTS)", "9' turnaround Jump Shot (19 PTS)")</f>
        <v>9' turnaround Jump Shot (19 PTS)</v>
      </c>
      <c r="L728" s="2" t="str">
        <f>HYPERLINK("https://www.nba.com/game/...-vs-...-0022000239/play-by-play?watchFullGame=true", "LAC vs OKC - Q3 08:50.00")</f>
        <v>LAC vs OKC - Q3 08:50.00</v>
      </c>
      <c r="M728">
        <v>9.4499999999999993</v>
      </c>
      <c r="N728">
        <v>15.59</v>
      </c>
      <c r="O728">
        <v>48.11</v>
      </c>
      <c r="P728">
        <v>9</v>
      </c>
      <c r="Q728">
        <v>94</v>
      </c>
      <c r="R728">
        <v>15</v>
      </c>
      <c r="S728">
        <v>48</v>
      </c>
    </row>
    <row r="729" spans="1:19" hidden="1" x14ac:dyDescent="0.25">
      <c r="A729">
        <v>22301225</v>
      </c>
      <c r="B729" t="s">
        <v>18</v>
      </c>
      <c r="C729" t="s">
        <v>19</v>
      </c>
      <c r="D729">
        <v>115</v>
      </c>
      <c r="E729">
        <v>97</v>
      </c>
      <c r="F729">
        <v>18</v>
      </c>
      <c r="G729">
        <v>4</v>
      </c>
      <c r="H729" s="1">
        <v>1.6435185185185185E-3</v>
      </c>
      <c r="I729">
        <v>2023</v>
      </c>
      <c r="J729" t="s">
        <v>83</v>
      </c>
      <c r="K729" s="2" t="str">
        <f>HYPERLINK("https://www.nba.com/stats/events?CFID=&amp;CFPARAMS=&amp;GameEventID=628&amp;GameID=0022301225&amp;Season=2023-24&amp;flag=1&amp;title=Leonard%209'%20Jump%20Shot%20(41%20PTS)", "9' Jump Shot (41 PTS)")</f>
        <v>9' Jump Shot (41 PTS)</v>
      </c>
      <c r="L729" s="2" t="str">
        <f>HYPERLINK("https://www.nba.com/game/...-vs-...-0022301225/play-by-play?watchFullGame=true", "LAC vs UTA - Q4 02:22.00")</f>
        <v>LAC vs UTA - Q4 02:22.00</v>
      </c>
      <c r="M729">
        <v>9.41</v>
      </c>
      <c r="N729">
        <v>15.59</v>
      </c>
      <c r="O729">
        <v>50.98</v>
      </c>
      <c r="P729">
        <v>-5</v>
      </c>
      <c r="Q729">
        <v>94</v>
      </c>
      <c r="R729">
        <v>15</v>
      </c>
      <c r="S729">
        <v>50</v>
      </c>
    </row>
    <row r="730" spans="1:19" hidden="1" x14ac:dyDescent="0.25">
      <c r="A730">
        <v>22400859</v>
      </c>
      <c r="B730" t="s">
        <v>18</v>
      </c>
      <c r="C730" t="s">
        <v>89</v>
      </c>
      <c r="D730">
        <v>83</v>
      </c>
      <c r="E730">
        <v>87</v>
      </c>
      <c r="F730">
        <v>4</v>
      </c>
      <c r="G730">
        <v>4</v>
      </c>
      <c r="H730" s="1">
        <v>6.4236111111111108E-3</v>
      </c>
      <c r="I730">
        <v>2024</v>
      </c>
      <c r="J730" t="s">
        <v>83</v>
      </c>
      <c r="K730" s="2" t="str">
        <f>HYPERLINK("https://www.nba.com/stats/events?CFID=&amp;CFPARAMS=&amp;GameEventID=498&amp;GameID=0022400859&amp;Season=2024-25&amp;flag=1&amp;title=Leonard%209'%20driving%20Hook%20(18%20PTS)", "9' driving Hook (18 PTS)")</f>
        <v>9' driving Hook (18 PTS)</v>
      </c>
      <c r="L730" s="2" t="str">
        <f>HYPERLINK("https://www.nba.com/game/...-vs-...-0022400859/play-by-play?watchFullGame=true", "LAC vs LAL - Q4 09:15.00")</f>
        <v>LAC vs LAL - Q4 09:15.00</v>
      </c>
      <c r="M730">
        <v>9.41</v>
      </c>
      <c r="N730">
        <v>15.51</v>
      </c>
      <c r="O730">
        <v>52.49</v>
      </c>
      <c r="P730">
        <v>-12</v>
      </c>
      <c r="Q730">
        <v>93</v>
      </c>
      <c r="R730">
        <v>15</v>
      </c>
      <c r="S730">
        <v>52</v>
      </c>
    </row>
    <row r="731" spans="1:19" hidden="1" x14ac:dyDescent="0.25">
      <c r="A731">
        <v>22300273</v>
      </c>
      <c r="B731" t="s">
        <v>18</v>
      </c>
      <c r="C731" t="s">
        <v>19</v>
      </c>
      <c r="D731">
        <v>58</v>
      </c>
      <c r="E731">
        <v>64</v>
      </c>
      <c r="F731">
        <v>6</v>
      </c>
      <c r="G731">
        <v>3</v>
      </c>
      <c r="H731" s="1">
        <v>6.7129629629629631E-3</v>
      </c>
      <c r="I731">
        <v>2023</v>
      </c>
      <c r="J731" t="s">
        <v>83</v>
      </c>
      <c r="K731" s="2" t="str">
        <f>HYPERLINK("https://www.nba.com/stats/events?CFID=&amp;CFPARAMS=&amp;GameEventID=356&amp;GameID=0022300273&amp;Season=2023-24&amp;flag=1&amp;title=Leonard%209'%20driving%20floating%20Jump%20Shot%20(16%20PTS)", "9' driving floating Jump Shot (16 PTS)")</f>
        <v>9' driving floating Jump Shot (16 PTS)</v>
      </c>
      <c r="L731" s="2" t="str">
        <f>HYPERLINK("https://www.nba.com/game/...-vs-...-0022300273/play-by-play?watchFullGame=true", "LAC vs GSW - Q3 09:40.00")</f>
        <v>LAC vs GSW - Q3 09:40.00</v>
      </c>
      <c r="M731">
        <v>9.4</v>
      </c>
      <c r="N731">
        <v>15.59</v>
      </c>
      <c r="O731">
        <v>50</v>
      </c>
      <c r="P731">
        <v>15</v>
      </c>
      <c r="Q731">
        <v>94</v>
      </c>
      <c r="R731">
        <v>15</v>
      </c>
      <c r="S731">
        <v>50</v>
      </c>
    </row>
    <row r="732" spans="1:19" hidden="1" x14ac:dyDescent="0.25">
      <c r="A732">
        <v>22300511</v>
      </c>
      <c r="B732" t="s">
        <v>18</v>
      </c>
      <c r="C732" t="s">
        <v>19</v>
      </c>
      <c r="D732">
        <v>105</v>
      </c>
      <c r="E732">
        <v>96</v>
      </c>
      <c r="F732">
        <v>9</v>
      </c>
      <c r="G732">
        <v>4</v>
      </c>
      <c r="H732" s="1">
        <v>7.0023148148148145E-3</v>
      </c>
      <c r="I732">
        <v>2023</v>
      </c>
      <c r="J732" t="s">
        <v>83</v>
      </c>
      <c r="K732" s="2" t="str">
        <f>HYPERLINK("https://www.nba.com/stats/events?CFID=&amp;CFPARAMS=&amp;GameEventID=492&amp;GameID=0022300511&amp;Season=2023-24&amp;flag=1&amp;title=Leonard%209'%20pullup%20Jump%20Shot%20(15%20PTS)", "9' pullup Jump Shot (15 PTS)")</f>
        <v>9' pullup Jump Shot (15 PTS)</v>
      </c>
      <c r="L732" s="2" t="str">
        <f>HYPERLINK("https://www.nba.com/game/...-vs-...-0022300511/play-by-play?watchFullGame=true", "LAC vs PHX - Q4 10:05.00")</f>
        <v>LAC vs PHX - Q4 10:05.00</v>
      </c>
      <c r="M732">
        <v>9.1300000000000008</v>
      </c>
      <c r="N732">
        <v>15.29</v>
      </c>
      <c r="O732">
        <v>49.02</v>
      </c>
      <c r="P732">
        <v>5</v>
      </c>
      <c r="Q732">
        <v>91</v>
      </c>
      <c r="R732">
        <v>15</v>
      </c>
      <c r="S732">
        <v>49</v>
      </c>
    </row>
    <row r="733" spans="1:19" hidden="1" x14ac:dyDescent="0.25">
      <c r="A733">
        <v>22000387</v>
      </c>
      <c r="B733" t="s">
        <v>18</v>
      </c>
      <c r="C733" t="s">
        <v>19</v>
      </c>
      <c r="D733">
        <v>79</v>
      </c>
      <c r="E733">
        <v>69</v>
      </c>
      <c r="F733">
        <v>10</v>
      </c>
      <c r="G733">
        <v>3</v>
      </c>
      <c r="H733" s="1">
        <v>1.2037037037037038E-3</v>
      </c>
      <c r="I733">
        <v>2020</v>
      </c>
      <c r="J733" t="s">
        <v>83</v>
      </c>
      <c r="K733" s="2" t="str">
        <f>HYPERLINK("https://www.nba.com/stats/events?CFID=&amp;CFPARAMS=&amp;GameEventID=470&amp;GameID=0022000387&amp;Season=2020-21&amp;flag=1&amp;title=Leonard%209'%20pullup%20Jump%20Shot%20(24%20PTS)", "9' pullup Jump Shot (24 PTS)")</f>
        <v>9' pullup Jump Shot (24 PTS)</v>
      </c>
      <c r="L733" s="2" t="str">
        <f>HYPERLINK("https://www.nba.com/game/...-vs-...-0022000387/play-by-play?watchFullGame=true", "LAC vs MIN - Q3 01:44.00")</f>
        <v>LAC vs MIN - Q3 01:44.00</v>
      </c>
      <c r="M733">
        <v>9.0299999999999994</v>
      </c>
      <c r="N733">
        <v>15.19</v>
      </c>
      <c r="O733">
        <v>50.31</v>
      </c>
      <c r="P733">
        <v>-2</v>
      </c>
      <c r="Q733">
        <v>90</v>
      </c>
      <c r="R733">
        <v>15</v>
      </c>
      <c r="S733">
        <v>50</v>
      </c>
    </row>
    <row r="734" spans="1:19" hidden="1" x14ac:dyDescent="0.25">
      <c r="A734">
        <v>22201162</v>
      </c>
      <c r="B734" t="s">
        <v>26</v>
      </c>
      <c r="C734" t="s">
        <v>19</v>
      </c>
      <c r="D734">
        <v>85</v>
      </c>
      <c r="E734">
        <v>84</v>
      </c>
      <c r="F734">
        <v>1</v>
      </c>
      <c r="G734">
        <v>3</v>
      </c>
      <c r="H734" s="1">
        <v>1.2037037037037038E-3</v>
      </c>
      <c r="I734">
        <v>2022</v>
      </c>
      <c r="J734" t="s">
        <v>83</v>
      </c>
      <c r="K734" s="2" t="str">
        <f>HYPERLINK("https://www.nba.com/stats/events?CFID=&amp;CFPARAMS=&amp;GameEventID=459&amp;GameID=0022201162&amp;Season=2022-23&amp;flag=1&amp;title=Leonard%2024'%203PT%20%20(26%20PTS)%20(B.%20Hyland%201%20AST)", "24' 3PT  (26 PTS) (B. Hyland 1 AST)")</f>
        <v>24' 3PT  (26 PTS) (B. Hyland 1 AST)</v>
      </c>
      <c r="L734" s="2" t="str">
        <f>HYPERLINK("https://www.nba.com/game/...-vs-...-0022201162/play-by-play?watchFullGame=true", "LAC vs NOP - Q3 01:44.00")</f>
        <v>LAC vs NOP - Q3 01:44.00</v>
      </c>
      <c r="M734">
        <v>24.94</v>
      </c>
      <c r="N734">
        <v>16.64</v>
      </c>
      <c r="O734">
        <v>95.34</v>
      </c>
      <c r="P734">
        <v>-227</v>
      </c>
      <c r="Q734">
        <v>104</v>
      </c>
      <c r="R734">
        <v>16</v>
      </c>
      <c r="S734">
        <v>95</v>
      </c>
    </row>
    <row r="735" spans="1:19" hidden="1" x14ac:dyDescent="0.25">
      <c r="A735">
        <v>22200918</v>
      </c>
      <c r="B735" t="s">
        <v>18</v>
      </c>
      <c r="C735" t="s">
        <v>19</v>
      </c>
      <c r="D735">
        <v>66</v>
      </c>
      <c r="E735">
        <v>70</v>
      </c>
      <c r="F735">
        <v>4</v>
      </c>
      <c r="G735">
        <v>3</v>
      </c>
      <c r="H735" s="1">
        <v>6.5509259259259262E-3</v>
      </c>
      <c r="I735">
        <v>2022</v>
      </c>
      <c r="J735" t="s">
        <v>83</v>
      </c>
      <c r="K735" s="2" t="str">
        <f>HYPERLINK("https://www.nba.com/stats/events?CFID=&amp;CFPARAMS=&amp;GameEventID=349&amp;GameID=0022200918&amp;Season=2022-23&amp;flag=1&amp;title=Leonard%2020'%20pullup%20Jump%20Shot%20(16%20PTS)", "20' pullup Jump Shot (16 PTS)")</f>
        <v>20' pullup Jump Shot (16 PTS)</v>
      </c>
      <c r="L735" s="2" t="str">
        <f>HYPERLINK("https://www.nba.com/game/...-vs-...-0022200918/play-by-play?watchFullGame=true", "LAC vs DEN - Q3 09:26.00")</f>
        <v>LAC vs DEN - Q3 09:26.00</v>
      </c>
      <c r="M735">
        <v>20.02</v>
      </c>
      <c r="N735">
        <v>16.11</v>
      </c>
      <c r="O735">
        <v>15.2</v>
      </c>
      <c r="P735">
        <v>174</v>
      </c>
      <c r="Q735">
        <v>99</v>
      </c>
      <c r="R735">
        <v>16</v>
      </c>
      <c r="S735">
        <v>15</v>
      </c>
    </row>
    <row r="736" spans="1:19" hidden="1" x14ac:dyDescent="0.25">
      <c r="A736">
        <v>22000457</v>
      </c>
      <c r="B736" t="s">
        <v>18</v>
      </c>
      <c r="C736" t="s">
        <v>19</v>
      </c>
      <c r="D736">
        <v>55</v>
      </c>
      <c r="E736">
        <v>40</v>
      </c>
      <c r="F736">
        <v>15</v>
      </c>
      <c r="G736">
        <v>2</v>
      </c>
      <c r="H736" s="1">
        <v>1.7824074074074075E-3</v>
      </c>
      <c r="I736">
        <v>2020</v>
      </c>
      <c r="J736" t="s">
        <v>83</v>
      </c>
      <c r="K736" s="2" t="str">
        <f>HYPERLINK("https://www.nba.com/stats/events?CFID=&amp;CFPARAMS=&amp;GameEventID=274&amp;GameID=0022000457&amp;Season=2020-21&amp;flag=1&amp;title=Leonard%2017'%20turnaround%20fadeaway%20Jump%20Shot%20(12%20PTS)", "17' turnaround fadeaway Jump Shot (12 PTS)")</f>
        <v>17' turnaround fadeaway Jump Shot (12 PTS)</v>
      </c>
      <c r="L736" s="2" t="str">
        <f>HYPERLINK("https://www.nba.com/game/...-vs-...-0022000457/play-by-play?watchFullGame=true", "LAC vs UTA - Q2 02:34.00")</f>
        <v>LAC vs UTA - Q2 02:34.00</v>
      </c>
      <c r="M736">
        <v>17.46</v>
      </c>
      <c r="N736">
        <v>16.25</v>
      </c>
      <c r="O736">
        <v>21.39</v>
      </c>
      <c r="P736">
        <v>143</v>
      </c>
      <c r="Q736">
        <v>100</v>
      </c>
      <c r="R736">
        <v>16</v>
      </c>
      <c r="S736">
        <v>21</v>
      </c>
    </row>
    <row r="737" spans="1:19" hidden="1" x14ac:dyDescent="0.25">
      <c r="A737">
        <v>22000239</v>
      </c>
      <c r="B737" t="s">
        <v>18</v>
      </c>
      <c r="C737" t="s">
        <v>19</v>
      </c>
      <c r="D737">
        <v>118</v>
      </c>
      <c r="E737">
        <v>105</v>
      </c>
      <c r="F737">
        <v>13</v>
      </c>
      <c r="G737">
        <v>4</v>
      </c>
      <c r="H737" s="1">
        <v>7.9861111111111116E-4</v>
      </c>
      <c r="I737">
        <v>2020</v>
      </c>
      <c r="J737" t="s">
        <v>83</v>
      </c>
      <c r="K737" s="2" t="str">
        <f>HYPERLINK("https://www.nba.com/stats/events?CFID=&amp;CFPARAMS=&amp;GameEventID=596&amp;GameID=0022000239&amp;Season=2020-21&amp;flag=1&amp;title=Leonard%2016'%20pullup%20Jump%20Shot%20(31%20PTS)", "16' pullup Jump Shot (31 PTS)")</f>
        <v>16' pullup Jump Shot (31 PTS)</v>
      </c>
      <c r="L737" s="2" t="str">
        <f>HYPERLINK("https://www.nba.com/game/...-vs-...-0022000239/play-by-play?watchFullGame=true", "LAC vs OKC - Q4 01:09.00")</f>
        <v>LAC vs OKC - Q4 01:09.00</v>
      </c>
      <c r="M737">
        <v>16.579999999999998</v>
      </c>
      <c r="N737">
        <v>16.899999999999999</v>
      </c>
      <c r="O737">
        <v>24.58</v>
      </c>
      <c r="P737">
        <v>127</v>
      </c>
      <c r="Q737">
        <v>106</v>
      </c>
      <c r="R737">
        <v>16</v>
      </c>
      <c r="S737">
        <v>24</v>
      </c>
    </row>
    <row r="738" spans="1:19" hidden="1" x14ac:dyDescent="0.25">
      <c r="A738">
        <v>22201162</v>
      </c>
      <c r="B738" t="s">
        <v>18</v>
      </c>
      <c r="C738" t="s">
        <v>19</v>
      </c>
      <c r="D738">
        <v>82</v>
      </c>
      <c r="E738">
        <v>82</v>
      </c>
      <c r="F738">
        <v>0</v>
      </c>
      <c r="G738">
        <v>3</v>
      </c>
      <c r="H738" s="1">
        <v>2.1643518518518518E-3</v>
      </c>
      <c r="I738">
        <v>2022</v>
      </c>
      <c r="J738" t="s">
        <v>83</v>
      </c>
      <c r="K738" s="2" t="str">
        <f>HYPERLINK("https://www.nba.com/stats/events?CFID=&amp;CFPARAMS=&amp;GameEventID=446&amp;GameID=0022201162&amp;Season=2022-23&amp;flag=1&amp;title=Leonard%2015'%20pullup%20Jump%20Shot%20(23%20PTS)", "15' pullup Jump Shot (23 PTS)")</f>
        <v>15' pullup Jump Shot (23 PTS)</v>
      </c>
      <c r="L738" s="2" t="str">
        <f>HYPERLINK("https://www.nba.com/game/...-vs-...-0022201162/play-by-play?watchFullGame=true", "LAC vs NOP - Q3 03:07.00")</f>
        <v>LAC vs NOP - Q3 03:07.00</v>
      </c>
      <c r="M738">
        <v>15.97</v>
      </c>
      <c r="N738">
        <v>16.64</v>
      </c>
      <c r="O738">
        <v>25.74</v>
      </c>
      <c r="P738">
        <v>121</v>
      </c>
      <c r="Q738">
        <v>104</v>
      </c>
      <c r="R738">
        <v>16</v>
      </c>
      <c r="S738">
        <v>25</v>
      </c>
    </row>
    <row r="739" spans="1:19" hidden="1" x14ac:dyDescent="0.25">
      <c r="A739">
        <v>22200766</v>
      </c>
      <c r="B739" t="s">
        <v>18</v>
      </c>
      <c r="C739" t="s">
        <v>19</v>
      </c>
      <c r="D739">
        <v>36</v>
      </c>
      <c r="E739">
        <v>48</v>
      </c>
      <c r="F739">
        <v>12</v>
      </c>
      <c r="G739">
        <v>2</v>
      </c>
      <c r="H739" s="1">
        <v>3.9120370370370368E-3</v>
      </c>
      <c r="I739">
        <v>2022</v>
      </c>
      <c r="J739" t="s">
        <v>83</v>
      </c>
      <c r="K739" s="2" t="str">
        <f>HYPERLINK("https://www.nba.com/stats/events?CFID=&amp;CFPARAMS=&amp;GameEventID=227&amp;GameID=0022200766&amp;Season=2022-23&amp;flag=1&amp;title=Leonard%2015'%20pullup%20Jump%20Shot%20(7%20PTS)%20(P.%20George%203%20AST)", "15' pullup Jump Shot (7 PTS) (P. George 3 AST)")</f>
        <v>15' pullup Jump Shot (7 PTS) (P. George 3 AST)</v>
      </c>
      <c r="L739" s="2" t="str">
        <f>HYPERLINK("https://www.nba.com/game/...-vs-...-0022200766/play-by-play?watchFullGame=true", "LAC vs CHI - Q2 05:38.00")</f>
        <v>LAC vs CHI - Q2 05:38.00</v>
      </c>
      <c r="M739">
        <v>15.16</v>
      </c>
      <c r="N739">
        <v>16.510000000000002</v>
      </c>
      <c r="O739">
        <v>27.7</v>
      </c>
      <c r="P739">
        <v>112</v>
      </c>
      <c r="Q739">
        <v>103</v>
      </c>
      <c r="R739">
        <v>16</v>
      </c>
      <c r="S739">
        <v>27</v>
      </c>
    </row>
    <row r="740" spans="1:19" hidden="1" x14ac:dyDescent="0.25">
      <c r="A740">
        <v>22300160</v>
      </c>
      <c r="B740" t="s">
        <v>18</v>
      </c>
      <c r="C740" t="s">
        <v>19</v>
      </c>
      <c r="D740">
        <v>57</v>
      </c>
      <c r="E740">
        <v>60</v>
      </c>
      <c r="F740">
        <v>3</v>
      </c>
      <c r="G740">
        <v>3</v>
      </c>
      <c r="H740" s="1">
        <v>3.9814814814814817E-3</v>
      </c>
      <c r="I740">
        <v>2023</v>
      </c>
      <c r="J740" t="s">
        <v>83</v>
      </c>
      <c r="K740" s="2" t="str">
        <f>HYPERLINK("https://www.nba.com/stats/events?CFID=&amp;CFPARAMS=&amp;GameEventID=397&amp;GameID=0022300160&amp;Season=2023-24&amp;flag=1&amp;title=Leonard%2015'%20turnaround%20fadeaway%20Jump%20Shot%20(10%20PTS)", "15' turnaround fadeaway Jump Shot (10 PTS)")</f>
        <v>15' turnaround fadeaway Jump Shot (10 PTS)</v>
      </c>
      <c r="L740" s="2" t="str">
        <f>HYPERLINK("https://www.nba.com/game/...-vs-...-0022300160/play-by-play?watchFullGame=true", "LAC vs BKN - Q3 05:44.00")</f>
        <v>LAC vs BKN - Q3 05:44.00</v>
      </c>
      <c r="M740">
        <v>15.06</v>
      </c>
      <c r="N740">
        <v>16.899999999999999</v>
      </c>
      <c r="O740">
        <v>28.68</v>
      </c>
      <c r="P740">
        <v>107</v>
      </c>
      <c r="Q740">
        <v>106</v>
      </c>
      <c r="R740">
        <v>16</v>
      </c>
      <c r="S740">
        <v>28</v>
      </c>
    </row>
    <row r="741" spans="1:19" hidden="1" x14ac:dyDescent="0.25">
      <c r="A741">
        <v>42000223</v>
      </c>
      <c r="B741" t="s">
        <v>18</v>
      </c>
      <c r="C741" t="s">
        <v>19</v>
      </c>
      <c r="D741">
        <v>25</v>
      </c>
      <c r="E741">
        <v>21</v>
      </c>
      <c r="F741">
        <v>4</v>
      </c>
      <c r="G741">
        <v>1</v>
      </c>
      <c r="H741" s="1">
        <v>8.7962962962962962E-4</v>
      </c>
      <c r="I741" t="s">
        <v>94</v>
      </c>
      <c r="J741" t="s">
        <v>83</v>
      </c>
      <c r="K741" s="2" t="str">
        <f>HYPERLINK("https://www.nba.com/stats/events?CFID=&amp;CFPARAMS=&amp;GameEventID=120&amp;GameID=0042000223&amp;Season=2020-21&amp;flag=1&amp;title=Leonard%2015'%20step%20back%20Jump%20Shot%20(6%20PTS)", "15' step back Jump Shot (6 PTS)")</f>
        <v>15' step back Jump Shot (6 PTS)</v>
      </c>
      <c r="L741" s="2" t="str">
        <f>HYPERLINK("https://www.nba.com/game/...-vs-...-0042000223/play-by-play?watchFullGame=true", "LAC vs UTA - Q1 01:16.00")</f>
        <v>LAC vs UTA - Q1 01:16.00</v>
      </c>
      <c r="M741">
        <v>15.05</v>
      </c>
      <c r="N741">
        <v>16.03</v>
      </c>
      <c r="O741">
        <v>72.8</v>
      </c>
      <c r="P741">
        <v>16</v>
      </c>
      <c r="Q741">
        <v>72</v>
      </c>
      <c r="R741">
        <v>16</v>
      </c>
      <c r="S741">
        <v>72</v>
      </c>
    </row>
    <row r="742" spans="1:19" hidden="1" x14ac:dyDescent="0.25">
      <c r="A742">
        <v>21900068</v>
      </c>
      <c r="B742" t="s">
        <v>18</v>
      </c>
      <c r="C742" t="s">
        <v>84</v>
      </c>
      <c r="D742">
        <v>2</v>
      </c>
      <c r="E742">
        <v>0</v>
      </c>
      <c r="F742">
        <v>2</v>
      </c>
      <c r="G742">
        <v>1</v>
      </c>
      <c r="H742" s="1">
        <v>7.037037037037037E-3</v>
      </c>
      <c r="I742">
        <v>2019</v>
      </c>
      <c r="J742" t="s">
        <v>83</v>
      </c>
      <c r="K742" s="2" t="str">
        <f>HYPERLINK("https://www.nba.com/stats/events?CFID=&amp;CFPARAMS=&amp;GameEventID=22&amp;GameID=0021900068&amp;Season=2019-20&amp;flag=1&amp;title=[LAC]%20Leonard%20jumpshot:%20Made%20(2%20PTS)", "[LAC] Leonard jumpshot: Made (2 PTS)")</f>
        <v>[LAC] Leonard jumpshot: Made (2 PTS)</v>
      </c>
      <c r="L742" s="2" t="str">
        <f>HYPERLINK("https://www.nba.com/game/...-vs-...-0021900068/play-by-play?watchFullGame=true", "LAC vs SAS - Q1 10:08.00")</f>
        <v>LAC vs SAS - Q1 10:08.00</v>
      </c>
      <c r="M742">
        <v>17.760000000000002</v>
      </c>
      <c r="N742">
        <v>16.87</v>
      </c>
      <c r="O742">
        <v>77.63</v>
      </c>
      <c r="P742">
        <v>-138</v>
      </c>
      <c r="Q742">
        <v>106</v>
      </c>
      <c r="R742">
        <v>16</v>
      </c>
      <c r="S742">
        <v>77</v>
      </c>
    </row>
    <row r="743" spans="1:19" hidden="1" x14ac:dyDescent="0.25">
      <c r="A743">
        <v>22000554</v>
      </c>
      <c r="B743" t="s">
        <v>18</v>
      </c>
      <c r="C743" t="s">
        <v>19</v>
      </c>
      <c r="D743">
        <v>29</v>
      </c>
      <c r="E743">
        <v>31</v>
      </c>
      <c r="F743">
        <v>2</v>
      </c>
      <c r="G743">
        <v>2</v>
      </c>
      <c r="H743" s="1">
        <v>6.898148148148148E-3</v>
      </c>
      <c r="I743">
        <v>2020</v>
      </c>
      <c r="J743" t="s">
        <v>83</v>
      </c>
      <c r="K743" s="2" t="str">
        <f>HYPERLINK("https://www.nba.com/stats/events?CFID=&amp;CFPARAMS=&amp;GameEventID=189&amp;GameID=0022000554&amp;Season=2020-21&amp;flag=1&amp;title=Leonard%2014'%20step%20back%20Jump%20Shot%20(7%20PTS)", "14' step back Jump Shot (7 PTS)")</f>
        <v>14' step back Jump Shot (7 PTS)</v>
      </c>
      <c r="L743" s="2" t="str">
        <f>HYPERLINK("https://www.nba.com/game/...-vs-...-0022000554/play-by-play?watchFullGame=true", "LAC vs WAS - Q2 09:56.00")</f>
        <v>LAC vs WAS - Q2 09:56.00</v>
      </c>
      <c r="M743">
        <v>14.7</v>
      </c>
      <c r="N743">
        <v>16.11</v>
      </c>
      <c r="O743">
        <v>28.26</v>
      </c>
      <c r="P743">
        <v>109</v>
      </c>
      <c r="Q743">
        <v>99</v>
      </c>
      <c r="R743">
        <v>16</v>
      </c>
      <c r="S743">
        <v>28</v>
      </c>
    </row>
    <row r="744" spans="1:19" hidden="1" x14ac:dyDescent="0.25">
      <c r="A744">
        <v>41900155</v>
      </c>
      <c r="B744" t="s">
        <v>18</v>
      </c>
      <c r="C744" t="s">
        <v>84</v>
      </c>
      <c r="D744">
        <v>60</v>
      </c>
      <c r="E744">
        <v>42</v>
      </c>
      <c r="F744">
        <v>18</v>
      </c>
      <c r="G744">
        <v>2</v>
      </c>
      <c r="H744" s="1">
        <v>3.9930555555555552E-3</v>
      </c>
      <c r="I744" t="s">
        <v>86</v>
      </c>
      <c r="J744" t="s">
        <v>83</v>
      </c>
      <c r="K744" s="2" t="str">
        <f>HYPERLINK("https://www.nba.com/stats/events?CFID=&amp;CFPARAMS=&amp;GameEventID=266&amp;GameID=0041900155&amp;Season=2019-20&amp;flag=1&amp;title=Leonard%2013'%20jumpshot%20(17%20PTS)%20(R.%20Jackson%201%20AST)", "13' jumpshot (17 PTS) (R. Jackson 1 AST)")</f>
        <v>13' jumpshot (17 PTS) (R. Jackson 1 AST)</v>
      </c>
      <c r="L744" s="2" t="str">
        <f>HYPERLINK("https://www.nba.com/game/...-vs-...-0041900155/play-by-play?watchFullGame=true", "LAC vs DAL - Q2 05:45.00")</f>
        <v>LAC vs DAL - Q2 05:45.00</v>
      </c>
      <c r="M744">
        <v>12.86</v>
      </c>
      <c r="N744">
        <v>16.25</v>
      </c>
      <c r="O744">
        <v>35.36</v>
      </c>
      <c r="P744">
        <v>73</v>
      </c>
      <c r="Q744">
        <v>100</v>
      </c>
      <c r="R744">
        <v>16</v>
      </c>
      <c r="S744">
        <v>35</v>
      </c>
    </row>
    <row r="745" spans="1:19" hidden="1" x14ac:dyDescent="0.25">
      <c r="A745">
        <v>22300179</v>
      </c>
      <c r="B745" t="s">
        <v>18</v>
      </c>
      <c r="C745" t="s">
        <v>19</v>
      </c>
      <c r="D745">
        <v>9</v>
      </c>
      <c r="E745">
        <v>19</v>
      </c>
      <c r="F745">
        <v>10</v>
      </c>
      <c r="G745">
        <v>1</v>
      </c>
      <c r="H745" s="1">
        <v>4.2129629629629626E-3</v>
      </c>
      <c r="I745">
        <v>2023</v>
      </c>
      <c r="J745" t="s">
        <v>83</v>
      </c>
      <c r="K745" s="2" t="str">
        <f>HYPERLINK("https://www.nba.com/stats/events?CFID=&amp;CFPARAMS=&amp;GameEventID=70&amp;GameID=0022300179&amp;Season=2023-24&amp;flag=1&amp;title=Leonard%2012'%20turnaround%20fadeaway%20Jump%20Shot%20(4%20PTS)", "12' turnaround fadeaway Jump Shot (4 PTS)")</f>
        <v>12' turnaround fadeaway Jump Shot (4 PTS)</v>
      </c>
      <c r="L745" s="2" t="str">
        <f>HYPERLINK("https://www.nba.com/game/...-vs-...-0022300179/play-by-play?watchFullGame=true", "LAC vs MEM - Q1 06:04.00")</f>
        <v>LAC vs MEM - Q1 06:04.00</v>
      </c>
      <c r="M745">
        <v>12.13</v>
      </c>
      <c r="N745">
        <v>16.87</v>
      </c>
      <c r="O745">
        <v>61.76</v>
      </c>
      <c r="P745">
        <v>-59</v>
      </c>
      <c r="Q745">
        <v>106</v>
      </c>
      <c r="R745">
        <v>16</v>
      </c>
      <c r="S745">
        <v>61</v>
      </c>
    </row>
    <row r="746" spans="1:19" hidden="1" x14ac:dyDescent="0.25">
      <c r="A746">
        <v>22200668</v>
      </c>
      <c r="B746" t="s">
        <v>18</v>
      </c>
      <c r="C746" t="s">
        <v>19</v>
      </c>
      <c r="D746">
        <v>73</v>
      </c>
      <c r="E746">
        <v>76</v>
      </c>
      <c r="F746">
        <v>3</v>
      </c>
      <c r="G746">
        <v>3</v>
      </c>
      <c r="H746" s="1">
        <v>3.9351851851851848E-3</v>
      </c>
      <c r="I746">
        <v>2022</v>
      </c>
      <c r="J746" t="s">
        <v>83</v>
      </c>
      <c r="K746" s="2" t="str">
        <f>HYPERLINK("https://www.nba.com/stats/events?CFID=&amp;CFPARAMS=&amp;GameEventID=377&amp;GameID=0022200668&amp;Season=2022-23&amp;flag=1&amp;title=Leonard%2012'%20step%20back%20Jump%20Shot%20(23%20PTS)", "12' step back Jump Shot (23 PTS)")</f>
        <v>12' step back Jump Shot (23 PTS)</v>
      </c>
      <c r="L746" s="2" t="str">
        <f>HYPERLINK("https://www.nba.com/game/...-vs-...-0022200668/play-by-play?watchFullGame=true", "LAC vs PHI - Q3 05:40.00")</f>
        <v>LAC vs PHI - Q3 05:40.00</v>
      </c>
      <c r="M746">
        <v>12.07</v>
      </c>
      <c r="N746">
        <v>16.87</v>
      </c>
      <c r="O746">
        <v>38.479999999999997</v>
      </c>
      <c r="P746">
        <v>58</v>
      </c>
      <c r="Q746">
        <v>106</v>
      </c>
      <c r="R746">
        <v>16</v>
      </c>
      <c r="S746">
        <v>38</v>
      </c>
    </row>
    <row r="747" spans="1:19" hidden="1" x14ac:dyDescent="0.25">
      <c r="A747">
        <v>22400679</v>
      </c>
      <c r="B747" t="s">
        <v>18</v>
      </c>
      <c r="C747" t="s">
        <v>19</v>
      </c>
      <c r="D747">
        <v>60</v>
      </c>
      <c r="E747">
        <v>52</v>
      </c>
      <c r="F747">
        <v>8</v>
      </c>
      <c r="G747">
        <v>3</v>
      </c>
      <c r="H747" s="1">
        <v>7.3148148148148148E-3</v>
      </c>
      <c r="I747">
        <v>2024</v>
      </c>
      <c r="J747" t="s">
        <v>83</v>
      </c>
      <c r="K747" s="2" t="str">
        <f>HYPERLINK("https://www.nba.com/stats/events?CFID=&amp;CFPARAMS=&amp;GameEventID=334&amp;GameID=0022400679&amp;Season=2024-25&amp;flag=1&amp;title=Leonard%2012'%20driving%20floating%20Jump%20Shot%20(11%20PTS)", "12' driving floating Jump Shot (11 PTS)")</f>
        <v>12' driving floating Jump Shot (11 PTS)</v>
      </c>
      <c r="L747" s="2" t="str">
        <f>HYPERLINK("https://www.nba.com/game/...-vs-...-0022400679/play-by-play?watchFullGame=true", "LAC vs CHA - Q3 10:32.00")</f>
        <v>LAC vs CHA - Q3 10:32.00</v>
      </c>
      <c r="M747">
        <v>12.04</v>
      </c>
      <c r="N747">
        <v>16.38</v>
      </c>
      <c r="O747">
        <v>62.99</v>
      </c>
      <c r="P747">
        <v>-65</v>
      </c>
      <c r="Q747">
        <v>101</v>
      </c>
      <c r="R747">
        <v>16</v>
      </c>
      <c r="S747">
        <v>62</v>
      </c>
    </row>
    <row r="748" spans="1:19" hidden="1" x14ac:dyDescent="0.25">
      <c r="A748">
        <v>41900154</v>
      </c>
      <c r="B748" t="s">
        <v>18</v>
      </c>
      <c r="C748" t="s">
        <v>84</v>
      </c>
      <c r="D748">
        <v>6</v>
      </c>
      <c r="E748">
        <v>5</v>
      </c>
      <c r="F748">
        <v>1</v>
      </c>
      <c r="G748">
        <v>1</v>
      </c>
      <c r="H748" s="1">
        <v>6.3078703703703708E-3</v>
      </c>
      <c r="I748" t="s">
        <v>86</v>
      </c>
      <c r="J748" t="s">
        <v>83</v>
      </c>
      <c r="K748" s="2" t="str">
        <f>HYPERLINK("https://www.nba.com/stats/events?CFID=&amp;CFPARAMS=&amp;GameEventID=36&amp;GameID=0041900154&amp;Season=2019-20&amp;flag=1&amp;title=Leonard%2012'%20jumpshot%20(4%20PTS)", "12' jumpshot (4 PTS)")</f>
        <v>12' jumpshot (4 PTS)</v>
      </c>
      <c r="L748" s="2" t="str">
        <f>HYPERLINK("https://www.nba.com/game/...-vs-...-0041900154/play-by-play?watchFullGame=true", "LAC vs DAL - Q1 09:05.00")</f>
        <v>LAC vs DAL - Q1 09:05.00</v>
      </c>
      <c r="M748">
        <v>11.91</v>
      </c>
      <c r="N748">
        <v>16.38</v>
      </c>
      <c r="O748">
        <v>39.53</v>
      </c>
      <c r="P748">
        <v>52</v>
      </c>
      <c r="Q748">
        <v>101</v>
      </c>
      <c r="R748">
        <v>16</v>
      </c>
      <c r="S748">
        <v>39</v>
      </c>
    </row>
    <row r="749" spans="1:19" hidden="1" x14ac:dyDescent="0.25">
      <c r="A749">
        <v>41900156</v>
      </c>
      <c r="B749" t="s">
        <v>18</v>
      </c>
      <c r="C749" t="s">
        <v>95</v>
      </c>
      <c r="D749">
        <v>41</v>
      </c>
      <c r="E749">
        <v>41</v>
      </c>
      <c r="F749">
        <v>0</v>
      </c>
      <c r="G749">
        <v>2</v>
      </c>
      <c r="H749" s="1">
        <v>5.6134259259259262E-3</v>
      </c>
      <c r="I749" t="s">
        <v>86</v>
      </c>
      <c r="J749" t="s">
        <v>83</v>
      </c>
      <c r="K749" s="2" t="str">
        <f>HYPERLINK("https://www.nba.com/stats/events?CFID=&amp;CFPARAMS=&amp;GameEventID=212&amp;GameID=0041900156&amp;Season=2019-20&amp;flag=1&amp;title=Leonard%2012'%20hook%20(4%20PTS)", "12' hook (4 PTS)")</f>
        <v>12' hook (4 PTS)</v>
      </c>
      <c r="L749" s="2" t="str">
        <f>HYPERLINK("https://www.nba.com/game/...-vs-...-0041900156/play-by-play?watchFullGame=true", "LAC vs DAL - Q2 08:05.00")</f>
        <v>LAC vs DAL - Q2 08:05.00</v>
      </c>
      <c r="M749">
        <v>11.87</v>
      </c>
      <c r="N749">
        <v>16.510000000000002</v>
      </c>
      <c r="O749">
        <v>40.270000000000003</v>
      </c>
      <c r="P749">
        <v>49</v>
      </c>
      <c r="Q749">
        <v>103</v>
      </c>
      <c r="R749">
        <v>16</v>
      </c>
      <c r="S749">
        <v>40</v>
      </c>
    </row>
    <row r="750" spans="1:19" hidden="1" x14ac:dyDescent="0.25">
      <c r="A750">
        <v>22300944</v>
      </c>
      <c r="B750" t="s">
        <v>18</v>
      </c>
      <c r="C750" t="s">
        <v>19</v>
      </c>
      <c r="D750">
        <v>18</v>
      </c>
      <c r="E750">
        <v>8</v>
      </c>
      <c r="F750">
        <v>10</v>
      </c>
      <c r="G750">
        <v>1</v>
      </c>
      <c r="H750" s="1">
        <v>3.9120370370370368E-3</v>
      </c>
      <c r="I750">
        <v>2023</v>
      </c>
      <c r="J750" t="s">
        <v>83</v>
      </c>
      <c r="K750" s="2" t="str">
        <f>HYPERLINK("https://www.nba.com/stats/events?CFID=&amp;CFPARAMS=&amp;GameEventID=69&amp;GameID=0022300944&amp;Season=2023-24&amp;flag=1&amp;title=Leonard%2011'%20driving%20floating%20Jump%20Shot%20(2%20PTS)%20(P.%20George%201%20AST)", "11' driving floating Jump Shot (2 PTS) (P. George 1 AST)")</f>
        <v>11' driving floating Jump Shot (2 PTS) (P. George 1 AST)</v>
      </c>
      <c r="L750" s="2" t="str">
        <f>HYPERLINK("https://www.nba.com/game/...-vs-...-0022300944/play-by-play?watchFullGame=true", "LAC vs MIN - Q1 05:38.00")</f>
        <v>LAC vs MIN - Q1 05:38.00</v>
      </c>
      <c r="M750">
        <v>11.78</v>
      </c>
      <c r="N750">
        <v>16.739999999999998</v>
      </c>
      <c r="O750">
        <v>39.22</v>
      </c>
      <c r="P750">
        <v>54</v>
      </c>
      <c r="Q750">
        <v>105</v>
      </c>
      <c r="R750">
        <v>16</v>
      </c>
      <c r="S750">
        <v>39</v>
      </c>
    </row>
    <row r="751" spans="1:19" hidden="1" x14ac:dyDescent="0.25">
      <c r="A751">
        <v>41900154</v>
      </c>
      <c r="B751" t="s">
        <v>18</v>
      </c>
      <c r="C751" t="s">
        <v>84</v>
      </c>
      <c r="D751">
        <v>64</v>
      </c>
      <c r="E751">
        <v>56</v>
      </c>
      <c r="F751">
        <v>8</v>
      </c>
      <c r="G751">
        <v>2</v>
      </c>
      <c r="H751" s="1">
        <v>1.0185185185185184E-3</v>
      </c>
      <c r="I751" t="s">
        <v>86</v>
      </c>
      <c r="J751" t="s">
        <v>83</v>
      </c>
      <c r="K751" s="2" t="str">
        <f>HYPERLINK("https://www.nba.com/stats/events?CFID=&amp;CFPARAMS=&amp;GameEventID=338&amp;GameID=0041900154&amp;Season=2019-20&amp;flag=1&amp;title=Leonard%2012'%20jumpshot%20(11%20PTS)", "12' jumpshot (11 PTS)")</f>
        <v>12' jumpshot (11 PTS)</v>
      </c>
      <c r="L751" s="2" t="str">
        <f>HYPERLINK("https://www.nba.com/game/...-vs-...-0041900154/play-by-play?watchFullGame=true", "LAC vs DAL - Q2 01:28.00")</f>
        <v>LAC vs DAL - Q2 01:28.00</v>
      </c>
      <c r="M751">
        <v>11.74</v>
      </c>
      <c r="N751">
        <v>16.11</v>
      </c>
      <c r="O751">
        <v>39.28</v>
      </c>
      <c r="P751">
        <v>54</v>
      </c>
      <c r="Q751">
        <v>99</v>
      </c>
      <c r="R751">
        <v>16</v>
      </c>
      <c r="S751">
        <v>39</v>
      </c>
    </row>
    <row r="752" spans="1:19" hidden="1" x14ac:dyDescent="0.25">
      <c r="A752">
        <v>22300014</v>
      </c>
      <c r="B752" t="s">
        <v>18</v>
      </c>
      <c r="C752" t="s">
        <v>19</v>
      </c>
      <c r="D752">
        <v>84</v>
      </c>
      <c r="E752">
        <v>111</v>
      </c>
      <c r="F752">
        <v>27</v>
      </c>
      <c r="G752">
        <v>3</v>
      </c>
      <c r="H752" s="1">
        <v>6.3773148148148153E-4</v>
      </c>
      <c r="I752">
        <v>2023</v>
      </c>
      <c r="J752" t="s">
        <v>83</v>
      </c>
      <c r="K752" s="2" t="str">
        <f>HYPERLINK("https://www.nba.com/stats/events?CFID=&amp;CFPARAMS=&amp;GameEventID=500&amp;GameID=0022300014&amp;Season=2023-24&amp;flag=1&amp;title=Leonard%2011'%20pullup%20Jump%20Shot%20(25%20PTS)", "11' pullup Jump Shot (25 PTS)")</f>
        <v>11' pullup Jump Shot (25 PTS)</v>
      </c>
      <c r="L752" s="2" t="str">
        <f>HYPERLINK("https://www.nba.com/game/...-vs-...-0022300014/play-by-play?watchFullGame=true", "LAC vs DAL - Q3 00:55.10")</f>
        <v>LAC vs DAL - Q3 00:55.10</v>
      </c>
      <c r="M752">
        <v>11.72</v>
      </c>
      <c r="N752">
        <v>16.38</v>
      </c>
      <c r="O752">
        <v>38.24</v>
      </c>
      <c r="P752">
        <v>59</v>
      </c>
      <c r="Q752">
        <v>101</v>
      </c>
      <c r="R752">
        <v>16</v>
      </c>
      <c r="S752">
        <v>38</v>
      </c>
    </row>
    <row r="753" spans="1:19" hidden="1" x14ac:dyDescent="0.25">
      <c r="A753">
        <v>22301043</v>
      </c>
      <c r="B753" t="s">
        <v>18</v>
      </c>
      <c r="C753" t="s">
        <v>19</v>
      </c>
      <c r="D753">
        <v>25</v>
      </c>
      <c r="E753">
        <v>17</v>
      </c>
      <c r="F753">
        <v>8</v>
      </c>
      <c r="G753">
        <v>1</v>
      </c>
      <c r="H753" s="1">
        <v>2.5694444444444445E-3</v>
      </c>
      <c r="I753">
        <v>2023</v>
      </c>
      <c r="J753" t="s">
        <v>83</v>
      </c>
      <c r="K753" s="2" t="str">
        <f>HYPERLINK("https://www.nba.com/stats/events?CFID=&amp;CFPARAMS=&amp;GameEventID=98&amp;GameID=0022301043&amp;Season=2023-24&amp;flag=1&amp;title=Leonard%2011'%20pullup%20Jump%20Shot%20(2%20PTS)", "11' pullup Jump Shot (2 PTS)")</f>
        <v>11' pullup Jump Shot (2 PTS)</v>
      </c>
      <c r="L753" s="2" t="str">
        <f>HYPERLINK("https://www.nba.com/game/...-vs-...-0022301043/play-by-play?watchFullGame=true", "LAC vs IND - Q1 03:42.00")</f>
        <v>LAC vs IND - Q1 03:42.00</v>
      </c>
      <c r="M753">
        <v>11.68</v>
      </c>
      <c r="N753">
        <v>16.61</v>
      </c>
      <c r="O753">
        <v>39.22</v>
      </c>
      <c r="P753">
        <v>54</v>
      </c>
      <c r="Q753">
        <v>104</v>
      </c>
      <c r="R753">
        <v>16</v>
      </c>
      <c r="S753">
        <v>39</v>
      </c>
    </row>
    <row r="754" spans="1:19" hidden="1" x14ac:dyDescent="0.25">
      <c r="A754">
        <v>22300505</v>
      </c>
      <c r="B754" t="s">
        <v>18</v>
      </c>
      <c r="C754" t="s">
        <v>19</v>
      </c>
      <c r="D754">
        <v>86</v>
      </c>
      <c r="E754">
        <v>94</v>
      </c>
      <c r="F754">
        <v>8</v>
      </c>
      <c r="G754">
        <v>4</v>
      </c>
      <c r="H754" s="1">
        <v>5.4282407407407404E-3</v>
      </c>
      <c r="I754">
        <v>2023</v>
      </c>
      <c r="J754" t="s">
        <v>83</v>
      </c>
      <c r="K754" s="2" t="str">
        <f>HYPERLINK("https://www.nba.com/stats/events?CFID=&amp;CFPARAMS=&amp;GameEventID=529&amp;GameID=0022300505&amp;Season=2023-24&amp;flag=1&amp;title=Leonard%2011'%20pullup%20Jump%20Shot%20(15%20PTS)%20(P.%20George%202%20AST)", "11' pullup Jump Shot (15 PTS) (P. George 2 AST)")</f>
        <v>11' pullup Jump Shot (15 PTS) (P. George 2 AST)</v>
      </c>
      <c r="L754" s="2" t="str">
        <f>HYPERLINK("https://www.nba.com/game/...-vs-...-0022300505/play-by-play?watchFullGame=true", "LAC vs LAL - Q4 07:49.00")</f>
        <v>LAC vs LAL - Q4 07:49.00</v>
      </c>
      <c r="M754">
        <v>11.64</v>
      </c>
      <c r="N754">
        <v>16.87</v>
      </c>
      <c r="O754">
        <v>40.44</v>
      </c>
      <c r="P754">
        <v>48</v>
      </c>
      <c r="Q754">
        <v>106</v>
      </c>
      <c r="R754">
        <v>16</v>
      </c>
      <c r="S754">
        <v>40</v>
      </c>
    </row>
    <row r="755" spans="1:19" hidden="1" x14ac:dyDescent="0.25">
      <c r="A755">
        <v>21900458</v>
      </c>
      <c r="B755" t="s">
        <v>18</v>
      </c>
      <c r="C755" t="s">
        <v>84</v>
      </c>
      <c r="D755">
        <v>20</v>
      </c>
      <c r="E755">
        <v>17</v>
      </c>
      <c r="F755">
        <v>3</v>
      </c>
      <c r="G755">
        <v>1</v>
      </c>
      <c r="H755" s="1">
        <v>2.8240740740740739E-3</v>
      </c>
      <c r="I755">
        <v>2019</v>
      </c>
      <c r="J755" t="s">
        <v>83</v>
      </c>
      <c r="K755" s="2" t="str">
        <f>HYPERLINK("https://www.nba.com/stats/events?CFID=&amp;CFPARAMS=&amp;GameEventID=91&amp;GameID=0021900458&amp;Season=2019-20&amp;flag=1&amp;title=Leonard%2011'%20jumpshot%20(7%20PTS)", "11' jumpshot (7 PTS)")</f>
        <v>11' jumpshot (7 PTS)</v>
      </c>
      <c r="L755" s="2" t="str">
        <f>HYPERLINK("https://www.nba.com/game/...-vs-...-0021900458/play-by-play?watchFullGame=true", "LAC vs LAL - Q1 04:04.00")</f>
        <v>LAC vs LAL - Q1 04:04.00</v>
      </c>
      <c r="M755">
        <v>11.43</v>
      </c>
      <c r="N755">
        <v>16.87</v>
      </c>
      <c r="O755">
        <v>45.03</v>
      </c>
      <c r="P755">
        <v>25</v>
      </c>
      <c r="Q755">
        <v>106</v>
      </c>
      <c r="R755">
        <v>16</v>
      </c>
      <c r="S755">
        <v>45</v>
      </c>
    </row>
    <row r="756" spans="1:19" hidden="1" x14ac:dyDescent="0.25">
      <c r="A756">
        <v>21900359</v>
      </c>
      <c r="B756" t="s">
        <v>18</v>
      </c>
      <c r="C756" t="s">
        <v>84</v>
      </c>
      <c r="D756">
        <v>45</v>
      </c>
      <c r="E756">
        <v>38</v>
      </c>
      <c r="F756">
        <v>7</v>
      </c>
      <c r="G756">
        <v>2</v>
      </c>
      <c r="H756" s="1">
        <v>3.1365740740740742E-3</v>
      </c>
      <c r="I756">
        <v>2019</v>
      </c>
      <c r="J756" t="s">
        <v>83</v>
      </c>
      <c r="K756" s="2" t="str">
        <f>HYPERLINK("https://www.nba.com/stats/events?CFID=&amp;CFPARAMS=&amp;GameEventID=290&amp;GameID=0021900359&amp;Season=2019-20&amp;flag=1&amp;title=Leonard%2011'%20jumpshot%20(7%20PTS)", "11' jumpshot (7 PTS)")</f>
        <v>11' jumpshot (7 PTS)</v>
      </c>
      <c r="L756" s="2" t="str">
        <f>HYPERLINK("https://www.nba.com/game/...-vs-...-0021900359/play-by-play?watchFullGame=true", "LAC vs TOR - Q2 04:31.00")</f>
        <v>LAC vs TOR - Q2 04:31.00</v>
      </c>
      <c r="M756">
        <v>11.38</v>
      </c>
      <c r="N756">
        <v>16.11</v>
      </c>
      <c r="O756">
        <v>41</v>
      </c>
      <c r="P756">
        <v>45</v>
      </c>
      <c r="Q756">
        <v>99</v>
      </c>
      <c r="R756">
        <v>16</v>
      </c>
      <c r="S756">
        <v>41</v>
      </c>
    </row>
    <row r="757" spans="1:19" hidden="1" x14ac:dyDescent="0.25">
      <c r="A757">
        <v>42200171</v>
      </c>
      <c r="B757" t="s">
        <v>18</v>
      </c>
      <c r="C757" t="s">
        <v>19</v>
      </c>
      <c r="D757">
        <v>97</v>
      </c>
      <c r="E757">
        <v>96</v>
      </c>
      <c r="F757">
        <v>1</v>
      </c>
      <c r="G757">
        <v>4</v>
      </c>
      <c r="H757" s="1">
        <v>4.4560185185185189E-3</v>
      </c>
      <c r="I757" t="s">
        <v>96</v>
      </c>
      <c r="J757" t="s">
        <v>83</v>
      </c>
      <c r="K757" s="2" t="str">
        <f>HYPERLINK("https://www.nba.com/stats/events?CFID=&amp;CFPARAMS=&amp;GameEventID=578&amp;GameID=0042200171&amp;Season=2022-23&amp;flag=1&amp;title=Leonard%2011'%20floating%20Jump%20Shot%20(32%20PTS)", "11' floating Jump Shot (32 PTS)")</f>
        <v>11' floating Jump Shot (32 PTS)</v>
      </c>
      <c r="L757" s="2" t="str">
        <f>HYPERLINK("https://www.nba.com/game/...-vs-...-0042200171/play-by-play?watchFullGame=true", "LAC vs PHX - Q4 06:25.00")</f>
        <v>LAC vs PHX - Q4 06:25.00</v>
      </c>
      <c r="M757">
        <v>11.38</v>
      </c>
      <c r="N757">
        <v>16.899999999999999</v>
      </c>
      <c r="O757">
        <v>58.09</v>
      </c>
      <c r="P757">
        <v>16</v>
      </c>
      <c r="Q757">
        <v>58</v>
      </c>
      <c r="R757">
        <v>16</v>
      </c>
      <c r="S757">
        <v>58</v>
      </c>
    </row>
    <row r="758" spans="1:19" hidden="1" x14ac:dyDescent="0.25">
      <c r="A758">
        <v>22000188</v>
      </c>
      <c r="B758" t="s">
        <v>18</v>
      </c>
      <c r="C758" t="s">
        <v>19</v>
      </c>
      <c r="D758">
        <v>80</v>
      </c>
      <c r="E758">
        <v>67</v>
      </c>
      <c r="F758">
        <v>13</v>
      </c>
      <c r="G758">
        <v>3</v>
      </c>
      <c r="H758" s="1">
        <v>5.9027777777777776E-3</v>
      </c>
      <c r="I758">
        <v>2020</v>
      </c>
      <c r="J758" t="s">
        <v>83</v>
      </c>
      <c r="K758" s="2" t="str">
        <f>HYPERLINK("https://www.nba.com/stats/events?CFID=&amp;CFPARAMS=&amp;GameEventID=361&amp;GameID=0022000188&amp;Season=2020-21&amp;flag=1&amp;title=Leonard%2011'%20fadeaway%20Jump%20Shot%20(20%20PTS)", "11' fadeaway Jump Shot (20 PTS)")</f>
        <v>11' fadeaway Jump Shot (20 PTS)</v>
      </c>
      <c r="L758" s="2" t="str">
        <f>HYPERLINK("https://www.nba.com/game/...-vs-...-0022000188/play-by-play?watchFullGame=true", "LAC vs SAC - Q3 08:30.00")</f>
        <v>LAC vs SAC - Q3 08:30.00</v>
      </c>
      <c r="M758">
        <v>11.22</v>
      </c>
      <c r="N758">
        <v>16.38</v>
      </c>
      <c r="O758">
        <v>59.63</v>
      </c>
      <c r="P758">
        <v>-48</v>
      </c>
      <c r="Q758">
        <v>101</v>
      </c>
      <c r="R758">
        <v>16</v>
      </c>
      <c r="S758">
        <v>59</v>
      </c>
    </row>
    <row r="759" spans="1:19" hidden="1" x14ac:dyDescent="0.25">
      <c r="A759">
        <v>42200171</v>
      </c>
      <c r="B759" t="s">
        <v>18</v>
      </c>
      <c r="C759" t="s">
        <v>19</v>
      </c>
      <c r="D759">
        <v>83</v>
      </c>
      <c r="E759">
        <v>81</v>
      </c>
      <c r="F759">
        <v>2</v>
      </c>
      <c r="G759">
        <v>4</v>
      </c>
      <c r="H759" s="1">
        <v>8.1597222222222227E-3</v>
      </c>
      <c r="I759" t="s">
        <v>96</v>
      </c>
      <c r="J759" t="s">
        <v>83</v>
      </c>
      <c r="K759" s="2" t="str">
        <f>HYPERLINK("https://www.nba.com/stats/events?CFID=&amp;CFPARAMS=&amp;GameEventID=509&amp;GameID=0042200171&amp;Season=2022-23&amp;flag=1&amp;title=Leonard%2011'%20fadeaway%20Jump%20Shot%20(27%20PTS)", "11' fadeaway Jump Shot (27 PTS)")</f>
        <v>11' fadeaway Jump Shot (27 PTS)</v>
      </c>
      <c r="L759" s="2" t="str">
        <f>HYPERLINK("https://www.nba.com/game/...-vs-...-0042200171/play-by-play?watchFullGame=true", "LAC vs PHX - Q4 11:45.00")</f>
        <v>LAC vs PHX - Q4 11:45.00</v>
      </c>
      <c r="M759">
        <v>11.22</v>
      </c>
      <c r="N759">
        <v>16.11</v>
      </c>
      <c r="O759">
        <v>39.46</v>
      </c>
      <c r="P759">
        <v>16</v>
      </c>
      <c r="Q759">
        <v>39</v>
      </c>
      <c r="R759">
        <v>16</v>
      </c>
      <c r="S759">
        <v>39</v>
      </c>
    </row>
    <row r="760" spans="1:19" hidden="1" x14ac:dyDescent="0.25">
      <c r="A760">
        <v>22000400</v>
      </c>
      <c r="B760" t="s">
        <v>18</v>
      </c>
      <c r="C760" t="s">
        <v>19</v>
      </c>
      <c r="D760">
        <v>62</v>
      </c>
      <c r="E760">
        <v>58</v>
      </c>
      <c r="F760">
        <v>4</v>
      </c>
      <c r="G760">
        <v>3</v>
      </c>
      <c r="H760" s="1">
        <v>7.4074074074074077E-3</v>
      </c>
      <c r="I760">
        <v>2020</v>
      </c>
      <c r="J760" t="s">
        <v>83</v>
      </c>
      <c r="K760" s="2" t="str">
        <f>HYPERLINK("https://www.nba.com/stats/events?CFID=&amp;CFPARAMS=&amp;GameEventID=311&amp;GameID=0022000400&amp;Season=2020-21&amp;flag=1&amp;title=Leonard%2011'%20pullup%20Jump%20Shot%20(16%20PTS)", "11' pullup Jump Shot (16 PTS)")</f>
        <v>11' pullup Jump Shot (16 PTS)</v>
      </c>
      <c r="L760" s="2" t="str">
        <f>HYPERLINK("https://www.nba.com/game/...-vs-...-0022000400/play-by-play?watchFullGame=true", "LAC vs CHI - Q3 10:40.00")</f>
        <v>LAC vs CHI - Q3 10:40.00</v>
      </c>
      <c r="M760">
        <v>11.2</v>
      </c>
      <c r="N760">
        <v>16.11</v>
      </c>
      <c r="O760">
        <v>39.53</v>
      </c>
      <c r="P760">
        <v>52</v>
      </c>
      <c r="Q760">
        <v>99</v>
      </c>
      <c r="R760">
        <v>16</v>
      </c>
      <c r="S760">
        <v>39</v>
      </c>
    </row>
    <row r="761" spans="1:19" hidden="1" x14ac:dyDescent="0.25">
      <c r="A761">
        <v>41900156</v>
      </c>
      <c r="B761" t="s">
        <v>18</v>
      </c>
      <c r="C761" t="s">
        <v>84</v>
      </c>
      <c r="D761">
        <v>48</v>
      </c>
      <c r="E761">
        <v>43</v>
      </c>
      <c r="F761">
        <v>5</v>
      </c>
      <c r="G761">
        <v>2</v>
      </c>
      <c r="H761" s="1">
        <v>4.0740740740740737E-3</v>
      </c>
      <c r="I761" t="s">
        <v>86</v>
      </c>
      <c r="J761" t="s">
        <v>83</v>
      </c>
      <c r="K761" s="2" t="str">
        <f>HYPERLINK("https://www.nba.com/stats/events?CFID=&amp;CFPARAMS=&amp;GameEventID=240&amp;GameID=0041900156&amp;Season=2019-20&amp;flag=1&amp;title=Leonard%2011'%20jumpshot%20(9%20PTS)", "11' jumpshot (9 PTS)")</f>
        <v>11' jumpshot (9 PTS)</v>
      </c>
      <c r="L761" s="2" t="str">
        <f>HYPERLINK("https://www.nba.com/game/...-vs-...-0041900156/play-by-play?watchFullGame=true", "LAC vs DAL - Q2 05:52.00")</f>
        <v>LAC vs DAL - Q2 05:52.00</v>
      </c>
      <c r="M761">
        <v>11.17</v>
      </c>
      <c r="N761">
        <v>16.64</v>
      </c>
      <c r="O761">
        <v>54.48</v>
      </c>
      <c r="P761">
        <v>-22</v>
      </c>
      <c r="Q761">
        <v>104</v>
      </c>
      <c r="R761">
        <v>16</v>
      </c>
      <c r="S761">
        <v>54</v>
      </c>
    </row>
    <row r="762" spans="1:19" hidden="1" x14ac:dyDescent="0.25">
      <c r="A762">
        <v>22300014</v>
      </c>
      <c r="B762" t="s">
        <v>18</v>
      </c>
      <c r="C762" t="s">
        <v>19</v>
      </c>
      <c r="D762">
        <v>72</v>
      </c>
      <c r="E762">
        <v>99</v>
      </c>
      <c r="F762">
        <v>27</v>
      </c>
      <c r="G762">
        <v>3</v>
      </c>
      <c r="H762" s="1">
        <v>3.7037037037037038E-3</v>
      </c>
      <c r="I762">
        <v>2023</v>
      </c>
      <c r="J762" t="s">
        <v>83</v>
      </c>
      <c r="K762" s="2" t="str">
        <f>HYPERLINK("https://www.nba.com/stats/events?CFID=&amp;CFPARAMS=&amp;GameEventID=454&amp;GameID=0022300014&amp;Season=2023-24&amp;flag=1&amp;title=Leonard%2011'%20pullup%20Jump%20Shot%20(23%20PTS)", "11' pullup Jump Shot (23 PTS)")</f>
        <v>11' pullup Jump Shot (23 PTS)</v>
      </c>
      <c r="L762" s="2" t="str">
        <f>HYPERLINK("https://www.nba.com/game/...-vs-...-0022300014/play-by-play?watchFullGame=true", "LAC vs DAL - Q3 05:20.00")</f>
        <v>LAC vs DAL - Q3 05:20.00</v>
      </c>
      <c r="M762">
        <v>11.15</v>
      </c>
      <c r="N762">
        <v>16.64</v>
      </c>
      <c r="O762">
        <v>41.91</v>
      </c>
      <c r="P762">
        <v>40</v>
      </c>
      <c r="Q762">
        <v>104</v>
      </c>
      <c r="R762">
        <v>16</v>
      </c>
      <c r="S762">
        <v>41</v>
      </c>
    </row>
    <row r="763" spans="1:19" hidden="1" x14ac:dyDescent="0.25">
      <c r="A763">
        <v>22000736</v>
      </c>
      <c r="B763" t="s">
        <v>18</v>
      </c>
      <c r="C763" t="s">
        <v>19</v>
      </c>
      <c r="D763">
        <v>53</v>
      </c>
      <c r="E763">
        <v>67</v>
      </c>
      <c r="F763">
        <v>14</v>
      </c>
      <c r="G763">
        <v>3</v>
      </c>
      <c r="H763" s="1">
        <v>5.9027777777777776E-3</v>
      </c>
      <c r="I763">
        <v>2020</v>
      </c>
      <c r="J763" t="s">
        <v>83</v>
      </c>
      <c r="K763" s="2" t="str">
        <f>HYPERLINK("https://www.nba.com/stats/events?CFID=&amp;CFPARAMS=&amp;GameEventID=328&amp;GameID=0022000736&amp;Season=2020-21&amp;flag=1&amp;title=Leonard%2010'%20turnaround%20Jump%20Shot%20(13%20PTS)", "10' turnaround Jump Shot (13 PTS)")</f>
        <v>10' turnaround Jump Shot (13 PTS)</v>
      </c>
      <c r="L763" s="2" t="str">
        <f>HYPERLINK("https://www.nba.com/game/...-vs-...-0022000736/play-by-play?watchFullGame=true", "LAC vs DEN - Q3 08:30.00")</f>
        <v>LAC vs DEN - Q3 08:30.00</v>
      </c>
      <c r="M763">
        <v>10.97</v>
      </c>
      <c r="N763">
        <v>16.64</v>
      </c>
      <c r="O763">
        <v>42.96</v>
      </c>
      <c r="P763">
        <v>35</v>
      </c>
      <c r="Q763">
        <v>104</v>
      </c>
      <c r="R763">
        <v>16</v>
      </c>
      <c r="S763">
        <v>42</v>
      </c>
    </row>
    <row r="764" spans="1:19" hidden="1" x14ac:dyDescent="0.25">
      <c r="A764">
        <v>22400793</v>
      </c>
      <c r="B764" t="s">
        <v>18</v>
      </c>
      <c r="C764" t="s">
        <v>89</v>
      </c>
      <c r="D764">
        <v>11</v>
      </c>
      <c r="E764">
        <v>6</v>
      </c>
      <c r="F764">
        <v>5</v>
      </c>
      <c r="G764">
        <v>1</v>
      </c>
      <c r="H764" s="1">
        <v>4.8148148148148152E-3</v>
      </c>
      <c r="I764">
        <v>2024</v>
      </c>
      <c r="J764" t="s">
        <v>83</v>
      </c>
      <c r="K764" s="2" t="str">
        <f>HYPERLINK("https://www.nba.com/stats/events?CFID=&amp;CFPARAMS=&amp;GameEventID=59&amp;GameID=0022400793&amp;Season=2024-25&amp;flag=1&amp;title=Leonard%2010'%20driving%20Hook%20(5%20PTS)", "10' driving Hook (5 PTS)")</f>
        <v>10' driving Hook (5 PTS)</v>
      </c>
      <c r="L764" s="2" t="str">
        <f>HYPERLINK("https://www.nba.com/game/...-vs-...-0022400793/play-by-play?watchFullGame=true", "LAC vs MIL - Q1 06:56.00")</f>
        <v>LAC vs MIL - Q1 06:56.00</v>
      </c>
      <c r="M764">
        <v>10.69</v>
      </c>
      <c r="N764">
        <v>16.11</v>
      </c>
      <c r="O764">
        <v>41.91</v>
      </c>
      <c r="P764">
        <v>40</v>
      </c>
      <c r="Q764">
        <v>99</v>
      </c>
      <c r="R764">
        <v>16</v>
      </c>
      <c r="S764">
        <v>41</v>
      </c>
    </row>
    <row r="765" spans="1:19" hidden="1" x14ac:dyDescent="0.25">
      <c r="A765">
        <v>22201041</v>
      </c>
      <c r="B765" t="s">
        <v>18</v>
      </c>
      <c r="C765" t="s">
        <v>19</v>
      </c>
      <c r="D765">
        <v>3</v>
      </c>
      <c r="E765">
        <v>8</v>
      </c>
      <c r="F765">
        <v>5</v>
      </c>
      <c r="G765">
        <v>1</v>
      </c>
      <c r="H765" s="1">
        <v>6.1574074074074074E-3</v>
      </c>
      <c r="I765">
        <v>2022</v>
      </c>
      <c r="J765" t="s">
        <v>83</v>
      </c>
      <c r="K765" s="2" t="str">
        <f>HYPERLINK("https://www.nba.com/stats/events?CFID=&amp;CFPARAMS=&amp;GameEventID=41&amp;GameID=0022201041&amp;Season=2022-23&amp;flag=1&amp;title=Leonard%2010'%20step%20back%20Jump%20Shot%20(2%20PTS)", "10' step back Jump Shot (2 PTS)")</f>
        <v>10' step back Jump Shot (2 PTS)</v>
      </c>
      <c r="L765" s="2" t="str">
        <f>HYPERLINK("https://www.nba.com/game/...-vs-...-0022201041/play-by-play?watchFullGame=true", "LAC vs GSW - Q1 08:52.00")</f>
        <v>LAC vs GSW - Q1 08:52.00</v>
      </c>
      <c r="M765">
        <v>10.6</v>
      </c>
      <c r="N765">
        <v>16.34</v>
      </c>
      <c r="O765">
        <v>43.63</v>
      </c>
      <c r="P765">
        <v>32</v>
      </c>
      <c r="Q765">
        <v>101</v>
      </c>
      <c r="R765">
        <v>16</v>
      </c>
      <c r="S765">
        <v>43</v>
      </c>
    </row>
    <row r="766" spans="1:19" hidden="1" x14ac:dyDescent="0.25">
      <c r="A766">
        <v>22400927</v>
      </c>
      <c r="B766" t="s">
        <v>18</v>
      </c>
      <c r="C766" t="s">
        <v>19</v>
      </c>
      <c r="D766">
        <v>81</v>
      </c>
      <c r="E766">
        <v>81</v>
      </c>
      <c r="F766">
        <v>0</v>
      </c>
      <c r="G766">
        <v>4</v>
      </c>
      <c r="H766" s="1">
        <v>5.7870370370370367E-3</v>
      </c>
      <c r="I766">
        <v>2024</v>
      </c>
      <c r="J766" t="s">
        <v>83</v>
      </c>
      <c r="K766" s="2" t="str">
        <f>HYPERLINK("https://www.nba.com/stats/events?CFID=&amp;CFPARAMS=&amp;GameEventID=462&amp;GameID=0022400927&amp;Season=2024-25&amp;flag=1&amp;title=Leonard%2010'%20pullup%20Jump%20Shot%20(12%20PTS)", "10' pullup Jump Shot (12 PTS)")</f>
        <v>10' pullup Jump Shot (12 PTS)</v>
      </c>
      <c r="L766" s="2" t="str">
        <f>HYPERLINK("https://www.nba.com/game/...-vs-...-0022400927/play-by-play?watchFullGame=true", "LAC vs SAC - Q4 08:20.00")</f>
        <v>LAC vs SAC - Q4 08:20.00</v>
      </c>
      <c r="M766">
        <v>10.53</v>
      </c>
      <c r="N766">
        <v>16.64</v>
      </c>
      <c r="O766">
        <v>46.57</v>
      </c>
      <c r="P766">
        <v>17</v>
      </c>
      <c r="Q766">
        <v>104</v>
      </c>
      <c r="R766">
        <v>16</v>
      </c>
      <c r="S766">
        <v>46</v>
      </c>
    </row>
    <row r="767" spans="1:19" hidden="1" x14ac:dyDescent="0.25">
      <c r="A767">
        <v>22300235</v>
      </c>
      <c r="B767" t="s">
        <v>18</v>
      </c>
      <c r="C767" t="s">
        <v>19</v>
      </c>
      <c r="D767">
        <v>61</v>
      </c>
      <c r="E767">
        <v>55</v>
      </c>
      <c r="F767">
        <v>6</v>
      </c>
      <c r="G767">
        <v>3</v>
      </c>
      <c r="H767" s="1">
        <v>6.6898148148148151E-3</v>
      </c>
      <c r="I767">
        <v>2023</v>
      </c>
      <c r="J767" t="s">
        <v>83</v>
      </c>
      <c r="K767" s="2" t="str">
        <f>HYPERLINK("https://www.nba.com/stats/events?CFID=&amp;CFPARAMS=&amp;GameEventID=377&amp;GameID=0022300235&amp;Season=2023-24&amp;flag=1&amp;title=Leonard%2010'%20floating%20Jump%20Shot%20(16%20PTS)", "10' floating Jump Shot (16 PTS)")</f>
        <v>10' floating Jump Shot (16 PTS)</v>
      </c>
      <c r="L767" s="2" t="str">
        <f>HYPERLINK("https://www.nba.com/game/...-vs-...-0022300235/play-by-play?watchFullGame=true", "LAC vs SAS - Q3 09:38.00")</f>
        <v>LAC vs SAS - Q3 09:38.00</v>
      </c>
      <c r="M767">
        <v>10.51</v>
      </c>
      <c r="N767">
        <v>16.77</v>
      </c>
      <c r="O767">
        <v>50</v>
      </c>
      <c r="P767">
        <v>16</v>
      </c>
      <c r="Q767">
        <v>105</v>
      </c>
      <c r="R767">
        <v>16</v>
      </c>
      <c r="S767">
        <v>50</v>
      </c>
    </row>
    <row r="768" spans="1:19" hidden="1" x14ac:dyDescent="0.25">
      <c r="A768">
        <v>22300486</v>
      </c>
      <c r="B768" t="s">
        <v>18</v>
      </c>
      <c r="C768" t="s">
        <v>19</v>
      </c>
      <c r="D768">
        <v>99</v>
      </c>
      <c r="E768">
        <v>70</v>
      </c>
      <c r="F768">
        <v>29</v>
      </c>
      <c r="G768">
        <v>4</v>
      </c>
      <c r="H768" s="1">
        <v>5.2314814814814811E-3</v>
      </c>
      <c r="I768">
        <v>2023</v>
      </c>
      <c r="J768" t="s">
        <v>83</v>
      </c>
      <c r="K768" s="2" t="str">
        <f>HYPERLINK("https://www.nba.com/stats/events?CFID=&amp;CFPARAMS=&amp;GameEventID=524&amp;GameID=0022300486&amp;Season=2023-24&amp;flag=1&amp;title=Leonard%2010'%20step%20back%20Jump%20Shot%20(19%20PTS)", "10' step back Jump Shot (19 PTS)")</f>
        <v>10' step back Jump Shot (19 PTS)</v>
      </c>
      <c r="L768" s="2" t="str">
        <f>HYPERLINK("https://www.nba.com/game/...-vs-...-0022300486/play-by-play?watchFullGame=true", "LAC vs NOP - Q4 07:32.00")</f>
        <v>LAC vs NOP - Q4 07:32.00</v>
      </c>
      <c r="M768">
        <v>10.48</v>
      </c>
      <c r="N768">
        <v>16.25</v>
      </c>
      <c r="O768">
        <v>56.13</v>
      </c>
      <c r="P768">
        <v>-31</v>
      </c>
      <c r="Q768">
        <v>100</v>
      </c>
      <c r="R768">
        <v>16</v>
      </c>
      <c r="S768">
        <v>56</v>
      </c>
    </row>
    <row r="769" spans="1:19" hidden="1" x14ac:dyDescent="0.25">
      <c r="A769">
        <v>42200171</v>
      </c>
      <c r="B769" t="s">
        <v>18</v>
      </c>
      <c r="C769" t="s">
        <v>19</v>
      </c>
      <c r="D769">
        <v>63</v>
      </c>
      <c r="E769">
        <v>58</v>
      </c>
      <c r="F769">
        <v>5</v>
      </c>
      <c r="G769">
        <v>3</v>
      </c>
      <c r="H769" s="1">
        <v>7.4884259259259262E-3</v>
      </c>
      <c r="I769" t="s">
        <v>96</v>
      </c>
      <c r="J769" t="s">
        <v>83</v>
      </c>
      <c r="K769" s="2" t="str">
        <f>HYPERLINK("https://www.nba.com/stats/events?CFID=&amp;CFPARAMS=&amp;GameEventID=346&amp;GameID=0042200171&amp;Season=2022-23&amp;flag=1&amp;title=Leonard%2010'%20driving%20floating%20bank%20Jump%20Shot%20(17%20PTS)", "10' driving floating bank Jump Shot (17 PTS)")</f>
        <v>10' driving floating bank Jump Shot (17 PTS)</v>
      </c>
      <c r="L769" s="2" t="str">
        <f>HYPERLINK("https://www.nba.com/game/...-vs-...-0042200171/play-by-play?watchFullGame=true", "LAC vs PHX - Q3 10:47.00")</f>
        <v>LAC vs PHX - Q3 10:47.00</v>
      </c>
      <c r="M769">
        <v>10.4</v>
      </c>
      <c r="N769">
        <v>16.64</v>
      </c>
      <c r="O769">
        <v>50.74</v>
      </c>
      <c r="P769">
        <v>16</v>
      </c>
      <c r="Q769">
        <v>50</v>
      </c>
      <c r="R769">
        <v>16</v>
      </c>
      <c r="S769">
        <v>50</v>
      </c>
    </row>
    <row r="770" spans="1:19" hidden="1" x14ac:dyDescent="0.25">
      <c r="A770">
        <v>22000105</v>
      </c>
      <c r="B770" t="s">
        <v>18</v>
      </c>
      <c r="C770" t="s">
        <v>19</v>
      </c>
      <c r="D770">
        <v>40</v>
      </c>
      <c r="E770">
        <v>60</v>
      </c>
      <c r="F770">
        <v>20</v>
      </c>
      <c r="G770">
        <v>2</v>
      </c>
      <c r="H770" s="1">
        <v>2.0949074074074073E-3</v>
      </c>
      <c r="I770">
        <v>2020</v>
      </c>
      <c r="J770" t="s">
        <v>83</v>
      </c>
      <c r="K770" s="2" t="str">
        <f>HYPERLINK("https://www.nba.com/stats/events?CFID=&amp;CFPARAMS=&amp;GameEventID=275&amp;GameID=0022000105&amp;Season=2020-21&amp;flag=1&amp;title=Leonard%2010'%20turnaround%20fadeaway%20Jump%20Shot%20(13%20PTS)", "10' turnaround fadeaway Jump Shot (13 PTS)")</f>
        <v>10' turnaround fadeaway Jump Shot (13 PTS)</v>
      </c>
      <c r="L770" s="2" t="str">
        <f>HYPERLINK("https://www.nba.com/game/...-vs-...-0022000105/play-by-play?watchFullGame=true", "LAC vs SAS - Q2 03:01.00")</f>
        <v>LAC vs SAS - Q2 03:01.00</v>
      </c>
      <c r="M770">
        <v>10.37</v>
      </c>
      <c r="N770">
        <v>16.38</v>
      </c>
      <c r="O770">
        <v>45.66</v>
      </c>
      <c r="P770">
        <v>22</v>
      </c>
      <c r="Q770">
        <v>101</v>
      </c>
      <c r="R770">
        <v>16</v>
      </c>
      <c r="S770">
        <v>45</v>
      </c>
    </row>
    <row r="771" spans="1:19" hidden="1" x14ac:dyDescent="0.25">
      <c r="A771">
        <v>22300553</v>
      </c>
      <c r="B771" t="s">
        <v>18</v>
      </c>
      <c r="C771" t="s">
        <v>19</v>
      </c>
      <c r="D771">
        <v>7</v>
      </c>
      <c r="E771">
        <v>10</v>
      </c>
      <c r="F771">
        <v>3</v>
      </c>
      <c r="G771">
        <v>1</v>
      </c>
      <c r="H771" s="1">
        <v>5.1041666666666666E-3</v>
      </c>
      <c r="I771">
        <v>2023</v>
      </c>
      <c r="J771" t="s">
        <v>83</v>
      </c>
      <c r="K771" s="2" t="str">
        <f>HYPERLINK("https://www.nba.com/stats/events?CFID=&amp;CFPARAMS=&amp;GameEventID=46&amp;GameID=0022300553&amp;Season=2023-24&amp;flag=1&amp;title=Leonard%2010'%20pullup%20Jump%20Shot%20(4%20PTS)", "10' pullup Jump Shot (4 PTS)")</f>
        <v>10' pullup Jump Shot (4 PTS)</v>
      </c>
      <c r="L771" s="2" t="str">
        <f>HYPERLINK("https://www.nba.com/game/...-vs-...-0022300553/play-by-play?watchFullGame=true", "LAC vs MIN - Q1 07:21.00")</f>
        <v>LAC vs MIN - Q1 07:21.00</v>
      </c>
      <c r="M771">
        <v>10.35</v>
      </c>
      <c r="N771">
        <v>16.38</v>
      </c>
      <c r="O771">
        <v>45.83</v>
      </c>
      <c r="P771">
        <v>21</v>
      </c>
      <c r="Q771">
        <v>101</v>
      </c>
      <c r="R771">
        <v>16</v>
      </c>
      <c r="S771">
        <v>45</v>
      </c>
    </row>
    <row r="772" spans="1:19" hidden="1" x14ac:dyDescent="0.25">
      <c r="A772">
        <v>22300458</v>
      </c>
      <c r="B772" t="s">
        <v>18</v>
      </c>
      <c r="C772" t="s">
        <v>19</v>
      </c>
      <c r="D772">
        <v>69</v>
      </c>
      <c r="E772">
        <v>63</v>
      </c>
      <c r="F772">
        <v>6</v>
      </c>
      <c r="G772">
        <v>3</v>
      </c>
      <c r="H772" s="1">
        <v>6.4930555555555557E-3</v>
      </c>
      <c r="I772">
        <v>2023</v>
      </c>
      <c r="J772" t="s">
        <v>83</v>
      </c>
      <c r="K772" s="2" t="str">
        <f>HYPERLINK("https://www.nba.com/stats/events?CFID=&amp;CFPARAMS=&amp;GameEventID=320&amp;GameID=0022300458&amp;Season=2023-24&amp;flag=1&amp;title=Leonard%2010'%20fadeaway%20Jump%20Shot%20(15%20PTS)", "10' fadeaway Jump Shot (15 PTS)")</f>
        <v>10' fadeaway Jump Shot (15 PTS)</v>
      </c>
      <c r="L772" s="2" t="str">
        <f>HYPERLINK("https://www.nba.com/game/...-vs-...-0022300458/play-by-play?watchFullGame=true", "LAC vs MIA - Q3 09:21.00")</f>
        <v>LAC vs MIA - Q3 09:21.00</v>
      </c>
      <c r="M772">
        <v>10.24</v>
      </c>
      <c r="N772">
        <v>16.48</v>
      </c>
      <c r="O772">
        <v>50.49</v>
      </c>
      <c r="P772">
        <v>-2</v>
      </c>
      <c r="Q772">
        <v>102</v>
      </c>
      <c r="R772">
        <v>16</v>
      </c>
      <c r="S772">
        <v>50</v>
      </c>
    </row>
    <row r="773" spans="1:19" hidden="1" x14ac:dyDescent="0.25">
      <c r="A773">
        <v>42000222</v>
      </c>
      <c r="B773" t="s">
        <v>18</v>
      </c>
      <c r="C773" t="s">
        <v>19</v>
      </c>
      <c r="D773">
        <v>35</v>
      </c>
      <c r="E773">
        <v>39</v>
      </c>
      <c r="F773">
        <v>4</v>
      </c>
      <c r="G773">
        <v>2</v>
      </c>
      <c r="H773" s="1">
        <v>5.6481481481481478E-3</v>
      </c>
      <c r="I773" t="s">
        <v>94</v>
      </c>
      <c r="J773" t="s">
        <v>83</v>
      </c>
      <c r="K773" s="2" t="str">
        <f>HYPERLINK("https://www.nba.com/stats/events?CFID=&amp;CFPARAMS=&amp;GameEventID=200&amp;GameID=0042000222&amp;Season=2020-21&amp;flag=1&amp;title=Leonard%2010'%20fadeaway%20Jump%20Shot%20(7%20PTS)", "10' fadeaway Jump Shot (7 PTS)")</f>
        <v>10' fadeaway Jump Shot (7 PTS)</v>
      </c>
      <c r="L773" s="2" t="str">
        <f>HYPERLINK("https://www.nba.com/game/...-vs-...-0042000222/play-by-play?watchFullGame=true", "LAC vs UTA - Q2 08:08.00")</f>
        <v>LAC vs UTA - Q2 08:08.00</v>
      </c>
      <c r="M773">
        <v>10.15</v>
      </c>
      <c r="N773">
        <v>16.38</v>
      </c>
      <c r="O773">
        <v>49.33</v>
      </c>
      <c r="P773">
        <v>16</v>
      </c>
      <c r="Q773">
        <v>49</v>
      </c>
      <c r="R773">
        <v>16</v>
      </c>
      <c r="S773">
        <v>49</v>
      </c>
    </row>
    <row r="774" spans="1:19" hidden="1" x14ac:dyDescent="0.25">
      <c r="A774">
        <v>22400889</v>
      </c>
      <c r="B774" t="s">
        <v>18</v>
      </c>
      <c r="C774" t="s">
        <v>19</v>
      </c>
      <c r="D774">
        <v>78</v>
      </c>
      <c r="E774">
        <v>58</v>
      </c>
      <c r="F774">
        <v>20</v>
      </c>
      <c r="G774">
        <v>3</v>
      </c>
      <c r="H774" s="1">
        <v>4.9537037037037041E-3</v>
      </c>
      <c r="I774">
        <v>2024</v>
      </c>
      <c r="J774" t="s">
        <v>83</v>
      </c>
      <c r="K774" s="2" t="str">
        <f>HYPERLINK("https://www.nba.com/stats/events?CFID=&amp;CFPARAMS=&amp;GameEventID=348&amp;GameID=0022400889&amp;Season=2024-25&amp;flag=1&amp;title=Leonard%2010'%20turnaround%20Jump%20Shot%20(15%20PTS)%20(B.%20Bogdanovic%203%20AST)", "10' turnaround Jump Shot (15 PTS) (B. Bogdanovic 3 AST)")</f>
        <v>10' turnaround Jump Shot (15 PTS) (B. Bogdanovic 3 AST)</v>
      </c>
      <c r="L774" s="2" t="str">
        <f>HYPERLINK("https://www.nba.com/game/...-vs-...-0022400889/play-by-play?watchFullGame=true", "LAC vs PHX - Q3 07:08.00")</f>
        <v>LAC vs PHX - Q3 07:08.00</v>
      </c>
      <c r="M774">
        <v>10.130000000000001</v>
      </c>
      <c r="N774">
        <v>16.29</v>
      </c>
      <c r="O774">
        <v>47.86</v>
      </c>
      <c r="P774">
        <v>11</v>
      </c>
      <c r="Q774">
        <v>101</v>
      </c>
      <c r="R774">
        <v>16</v>
      </c>
      <c r="S774">
        <v>47</v>
      </c>
    </row>
    <row r="775" spans="1:19" hidden="1" x14ac:dyDescent="0.25">
      <c r="A775">
        <v>22300807</v>
      </c>
      <c r="B775" t="s">
        <v>18</v>
      </c>
      <c r="C775" t="s">
        <v>19</v>
      </c>
      <c r="D775">
        <v>25</v>
      </c>
      <c r="E775">
        <v>19</v>
      </c>
      <c r="F775">
        <v>6</v>
      </c>
      <c r="G775">
        <v>1</v>
      </c>
      <c r="H775" s="1">
        <v>2.5810185185185185E-3</v>
      </c>
      <c r="I775">
        <v>2023</v>
      </c>
      <c r="J775" t="s">
        <v>83</v>
      </c>
      <c r="K775" s="2" t="str">
        <f>HYPERLINK("https://www.nba.com/stats/events?CFID=&amp;CFPARAMS=&amp;GameEventID=96&amp;GameID=0022300807&amp;Season=2023-24&amp;flag=1&amp;title=Leonard%2010'%20turnaround%20fadeaway%20Jump%20Shot%20(8%20PTS)", "10' turnaround fadeaway Jump Shot (8 PTS)")</f>
        <v>10' turnaround fadeaway Jump Shot (8 PTS)</v>
      </c>
      <c r="L775" s="2" t="str">
        <f>HYPERLINK("https://www.nba.com/game/...-vs-...-0022300807/play-by-play?watchFullGame=true", "LAC vs MEM - Q1 03:43.00")</f>
        <v>LAC vs MEM - Q1 03:43.00</v>
      </c>
      <c r="M775">
        <v>10.119999999999999</v>
      </c>
      <c r="N775">
        <v>16.11</v>
      </c>
      <c r="O775">
        <v>54.17</v>
      </c>
      <c r="P775">
        <v>-21</v>
      </c>
      <c r="Q775">
        <v>99</v>
      </c>
      <c r="R775">
        <v>16</v>
      </c>
      <c r="S775">
        <v>54</v>
      </c>
    </row>
    <row r="776" spans="1:19" hidden="1" x14ac:dyDescent="0.25">
      <c r="A776">
        <v>22200918</v>
      </c>
      <c r="B776" t="s">
        <v>18</v>
      </c>
      <c r="C776" t="s">
        <v>19</v>
      </c>
      <c r="D776">
        <v>117</v>
      </c>
      <c r="E776">
        <v>115</v>
      </c>
      <c r="F776">
        <v>2</v>
      </c>
      <c r="G776">
        <v>4</v>
      </c>
      <c r="H776" s="1">
        <v>1.2268518518518518E-3</v>
      </c>
      <c r="I776">
        <v>2022</v>
      </c>
      <c r="J776" t="s">
        <v>83</v>
      </c>
      <c r="K776" s="2" t="str">
        <f>HYPERLINK("https://www.nba.com/stats/events?CFID=&amp;CFPARAMS=&amp;GameEventID=625&amp;GameID=0022200918&amp;Season=2022-23&amp;flag=1&amp;title=Leonard%2010'%20turnaround%20fadeaway%20Jump%20Shot%20(33%20PTS)", "10' turnaround fadeaway Jump Shot (33 PTS)")</f>
        <v>10' turnaround fadeaway Jump Shot (33 PTS)</v>
      </c>
      <c r="L776" s="2" t="str">
        <f>HYPERLINK("https://www.nba.com/game/...-vs-...-0022200918/play-by-play?watchFullGame=true", "LAC vs DEN - Q4 01:46.00")</f>
        <v>LAC vs DEN - Q4 01:46.00</v>
      </c>
      <c r="M776">
        <v>10.029999999999999</v>
      </c>
      <c r="N776">
        <v>16.25</v>
      </c>
      <c r="O776">
        <v>49.26</v>
      </c>
      <c r="P776">
        <v>4</v>
      </c>
      <c r="Q776">
        <v>100</v>
      </c>
      <c r="R776">
        <v>16</v>
      </c>
      <c r="S776">
        <v>49</v>
      </c>
    </row>
    <row r="777" spans="1:19" hidden="1" x14ac:dyDescent="0.25">
      <c r="A777">
        <v>22301079</v>
      </c>
      <c r="B777" t="s">
        <v>26</v>
      </c>
      <c r="C777" t="s">
        <v>19</v>
      </c>
      <c r="D777">
        <v>120</v>
      </c>
      <c r="E777">
        <v>110</v>
      </c>
      <c r="F777">
        <v>10</v>
      </c>
      <c r="G777">
        <v>4</v>
      </c>
      <c r="H777" s="1">
        <v>1.8055555555555555E-3</v>
      </c>
      <c r="I777">
        <v>2023</v>
      </c>
      <c r="J777" t="s">
        <v>83</v>
      </c>
      <c r="K777" s="2" t="str">
        <f>HYPERLINK("https://www.nba.com/stats/events?CFID=&amp;CFPARAMS=&amp;GameEventID=554&amp;GameID=0022301079&amp;Season=2023-24&amp;flag=1&amp;title=Leonard%2025'%203PT%20%20(20%20PTS)%20(J.%20Harden%2010%20AST)", "25' 3PT  (20 PTS) (J. Harden 10 AST)")</f>
        <v>25' 3PT  (20 PTS) (J. Harden 10 AST)</v>
      </c>
      <c r="L777" s="2" t="str">
        <f>HYPERLINK("https://www.nba.com/game/...-vs-...-0022301079/play-by-play?watchFullGame=true", "LAC vs CHA - Q4 02:36.00")</f>
        <v>LAC vs CHA - Q4 02:36.00</v>
      </c>
      <c r="M777">
        <v>25.37</v>
      </c>
      <c r="N777">
        <v>17.95</v>
      </c>
      <c r="O777">
        <v>95.1</v>
      </c>
      <c r="P777">
        <v>-225</v>
      </c>
      <c r="Q777">
        <v>116</v>
      </c>
      <c r="R777">
        <v>17</v>
      </c>
      <c r="S777">
        <v>95</v>
      </c>
    </row>
    <row r="778" spans="1:19" hidden="1" x14ac:dyDescent="0.25">
      <c r="A778">
        <v>42000176</v>
      </c>
      <c r="B778" t="s">
        <v>18</v>
      </c>
      <c r="C778" t="s">
        <v>19</v>
      </c>
      <c r="D778">
        <v>88</v>
      </c>
      <c r="E778">
        <v>85</v>
      </c>
      <c r="F778">
        <v>3</v>
      </c>
      <c r="G778">
        <v>4</v>
      </c>
      <c r="H778" s="1">
        <v>3.9004629629629628E-3</v>
      </c>
      <c r="I778" t="s">
        <v>91</v>
      </c>
      <c r="J778" t="s">
        <v>83</v>
      </c>
      <c r="K778" s="2" t="str">
        <f>HYPERLINK("https://www.nba.com/stats/events?CFID=&amp;CFPARAMS=&amp;GameEventID=551&amp;GameID=0042000176&amp;Season=2020-21&amp;flag=1&amp;title=Leonard%2017'%20step%20back%20Jump%20Shot%20(37%20PTS)", "17' step back Jump Shot (37 PTS)")</f>
        <v>17' step back Jump Shot (37 PTS)</v>
      </c>
      <c r="L778" s="2" t="str">
        <f>HYPERLINK("https://www.nba.com/game/...-vs-...-0042000176/play-by-play?watchFullGame=true", "LAC vs DAL - Q4 05:37.00")</f>
        <v>LAC vs DAL - Q4 05:37.00</v>
      </c>
      <c r="M778">
        <v>17.59</v>
      </c>
      <c r="N778">
        <v>17.16</v>
      </c>
      <c r="O778">
        <v>22.37</v>
      </c>
      <c r="P778">
        <v>17</v>
      </c>
      <c r="Q778">
        <v>22</v>
      </c>
      <c r="R778">
        <v>17</v>
      </c>
      <c r="S778">
        <v>22</v>
      </c>
    </row>
    <row r="779" spans="1:19" hidden="1" x14ac:dyDescent="0.25">
      <c r="A779">
        <v>21901258</v>
      </c>
      <c r="B779" t="s">
        <v>18</v>
      </c>
      <c r="C779" t="s">
        <v>84</v>
      </c>
      <c r="D779">
        <v>11</v>
      </c>
      <c r="E779">
        <v>7</v>
      </c>
      <c r="F779">
        <v>4</v>
      </c>
      <c r="G779">
        <v>1</v>
      </c>
      <c r="H779" s="1">
        <v>5.1504629629629626E-3</v>
      </c>
      <c r="I779">
        <v>2019</v>
      </c>
      <c r="J779" t="s">
        <v>83</v>
      </c>
      <c r="K779" s="2" t="str">
        <f>HYPERLINK("https://www.nba.com/stats/events?CFID=&amp;CFPARAMS=&amp;GameEventID=52&amp;GameID=0021901258&amp;Season=2019-20&amp;flag=1&amp;title=Leonard%2016'%20jumpshot%20(2%20PTS)", "16' jumpshot (2 PTS)")</f>
        <v>16' jumpshot (2 PTS)</v>
      </c>
      <c r="L779" s="2" t="str">
        <f>HYPERLINK("https://www.nba.com/game/...-vs-...-0021901258/play-by-play?watchFullGame=true", "LAC vs PHX - Q1 07:25.00")</f>
        <v>LAC vs PHX - Q1 07:25.00</v>
      </c>
      <c r="M779">
        <v>15.79</v>
      </c>
      <c r="N779">
        <v>17.43</v>
      </c>
      <c r="O779">
        <v>28.75</v>
      </c>
      <c r="P779">
        <v>106</v>
      </c>
      <c r="Q779">
        <v>111</v>
      </c>
      <c r="R779">
        <v>17</v>
      </c>
      <c r="S779">
        <v>28</v>
      </c>
    </row>
    <row r="780" spans="1:19" hidden="1" x14ac:dyDescent="0.25">
      <c r="A780">
        <v>22000509</v>
      </c>
      <c r="B780" t="s">
        <v>18</v>
      </c>
      <c r="C780" t="s">
        <v>19</v>
      </c>
      <c r="D780">
        <v>73</v>
      </c>
      <c r="E780">
        <v>58</v>
      </c>
      <c r="F780">
        <v>15</v>
      </c>
      <c r="G780">
        <v>3</v>
      </c>
      <c r="H780" s="1">
        <v>4.8958333333333336E-3</v>
      </c>
      <c r="I780">
        <v>2020</v>
      </c>
      <c r="J780" t="s">
        <v>83</v>
      </c>
      <c r="K780" s="2" t="str">
        <f>HYPERLINK("https://www.nba.com/stats/events?CFID=&amp;CFPARAMS=&amp;GameEventID=372&amp;GameID=0022000509&amp;Season=2020-21&amp;flag=1&amp;title=Leonard%2016'%20pullup%20Jump%20Shot%20(18%20PTS)", "16' pullup Jump Shot (18 PTS)")</f>
        <v>16' pullup Jump Shot (18 PTS)</v>
      </c>
      <c r="L780" s="2" t="str">
        <f>HYPERLINK("https://www.nba.com/game/...-vs-...-0022000509/play-by-play?watchFullGame=true", "LAC vs MEM - Q3 07:03.00")</f>
        <v>LAC vs MEM - Q3 07:03.00</v>
      </c>
      <c r="M780">
        <v>16.309999999999999</v>
      </c>
      <c r="N780">
        <v>17.559999999999999</v>
      </c>
      <c r="O780">
        <v>73.599999999999994</v>
      </c>
      <c r="P780">
        <v>-118</v>
      </c>
      <c r="Q780">
        <v>113</v>
      </c>
      <c r="R780">
        <v>17</v>
      </c>
      <c r="S780">
        <v>73</v>
      </c>
    </row>
    <row r="781" spans="1:19" hidden="1" x14ac:dyDescent="0.25">
      <c r="A781">
        <v>22000799</v>
      </c>
      <c r="B781" t="s">
        <v>18</v>
      </c>
      <c r="C781" t="s">
        <v>19</v>
      </c>
      <c r="D781">
        <v>89</v>
      </c>
      <c r="E781">
        <v>74</v>
      </c>
      <c r="F781">
        <v>15</v>
      </c>
      <c r="G781">
        <v>3</v>
      </c>
      <c r="H781" s="1">
        <v>1.3078703703703703E-3</v>
      </c>
      <c r="I781">
        <v>2020</v>
      </c>
      <c r="J781" t="s">
        <v>83</v>
      </c>
      <c r="K781" s="2" t="str">
        <f>HYPERLINK("https://www.nba.com/stats/events?CFID=&amp;CFPARAMS=&amp;GameEventID=477&amp;GameID=0022000799&amp;Season=2020-21&amp;flag=1&amp;title=Leonard%2016'%20pullup%20Jump%20Shot%20(21%20PTS)", "16' pullup Jump Shot (21 PTS)")</f>
        <v>16' pullup Jump Shot (21 PTS)</v>
      </c>
      <c r="L781" s="2" t="str">
        <f>HYPERLINK("https://www.nba.com/game/...-vs-...-0022000799/play-by-play?watchFullGame=true", "LAC vs HOU - Q3 01:53.00")</f>
        <v>LAC vs HOU - Q3 01:53.00</v>
      </c>
      <c r="M781">
        <v>16.329999999999998</v>
      </c>
      <c r="N781">
        <v>17.03</v>
      </c>
      <c r="O781">
        <v>74.58</v>
      </c>
      <c r="P781">
        <v>-123</v>
      </c>
      <c r="Q781">
        <v>108</v>
      </c>
      <c r="R781">
        <v>17</v>
      </c>
      <c r="S781">
        <v>74</v>
      </c>
    </row>
    <row r="782" spans="1:19" hidden="1" x14ac:dyDescent="0.25">
      <c r="A782">
        <v>22200745</v>
      </c>
      <c r="B782" t="s">
        <v>18</v>
      </c>
      <c r="C782" t="s">
        <v>19</v>
      </c>
      <c r="D782">
        <v>76</v>
      </c>
      <c r="E782">
        <v>68</v>
      </c>
      <c r="F782">
        <v>8</v>
      </c>
      <c r="G782">
        <v>3</v>
      </c>
      <c r="H782" s="1">
        <v>3.5763888888888889E-3</v>
      </c>
      <c r="I782">
        <v>2022</v>
      </c>
      <c r="J782" t="s">
        <v>83</v>
      </c>
      <c r="K782" s="2" t="str">
        <f>HYPERLINK("https://www.nba.com/stats/events?CFID=&amp;CFPARAMS=&amp;GameEventID=358&amp;GameID=0022200745&amp;Season=2022-23&amp;flag=1&amp;title=Leonard%2014'%20pullup%20Jump%20Shot%20(19%20PTS)", "14' pullup Jump Shot (19 PTS)")</f>
        <v>14' pullup Jump Shot (19 PTS)</v>
      </c>
      <c r="L782" s="2" t="str">
        <f>HYPERLINK("https://www.nba.com/game/...-vs-...-0022200745/play-by-play?watchFullGame=true", "LAC vs ATL - Q3 05:09.00")</f>
        <v>LAC vs ATL - Q3 05:09.00</v>
      </c>
      <c r="M782">
        <v>14.85</v>
      </c>
      <c r="N782">
        <v>17.559999999999999</v>
      </c>
      <c r="O782">
        <v>30.64</v>
      </c>
      <c r="P782">
        <v>97</v>
      </c>
      <c r="Q782">
        <v>113</v>
      </c>
      <c r="R782">
        <v>17</v>
      </c>
      <c r="S782">
        <v>30</v>
      </c>
    </row>
    <row r="783" spans="1:19" hidden="1" x14ac:dyDescent="0.25">
      <c r="A783">
        <v>22301064</v>
      </c>
      <c r="B783" t="s">
        <v>18</v>
      </c>
      <c r="C783" t="s">
        <v>19</v>
      </c>
      <c r="D783">
        <v>16</v>
      </c>
      <c r="E783">
        <v>8</v>
      </c>
      <c r="F783">
        <v>8</v>
      </c>
      <c r="G783">
        <v>1</v>
      </c>
      <c r="H783" s="1">
        <v>3.3333333333333335E-3</v>
      </c>
      <c r="I783">
        <v>2023</v>
      </c>
      <c r="J783" t="s">
        <v>83</v>
      </c>
      <c r="K783" s="2" t="str">
        <f>HYPERLINK("https://www.nba.com/stats/events?CFID=&amp;CFPARAMS=&amp;GameEventID=73&amp;GameID=0022301064&amp;Season=2023-24&amp;flag=1&amp;title=Leonard%2014'%20pullup%20Jump%20Shot%20(4%20PTS)", "14' pullup Jump Shot (4 PTS)")</f>
        <v>14' pullup Jump Shot (4 PTS)</v>
      </c>
      <c r="L783" s="2" t="str">
        <f>HYPERLINK("https://www.nba.com/game/...-vs-...-0022301064/play-by-play?watchFullGame=true", "LAC vs ORL - Q1 04:48.00")</f>
        <v>LAC vs ORL - Q1 04:48.00</v>
      </c>
      <c r="M783">
        <v>14.52</v>
      </c>
      <c r="N783">
        <v>17.95</v>
      </c>
      <c r="O783">
        <v>32.6</v>
      </c>
      <c r="P783">
        <v>87</v>
      </c>
      <c r="Q783">
        <v>116</v>
      </c>
      <c r="R783">
        <v>17</v>
      </c>
      <c r="S783">
        <v>32</v>
      </c>
    </row>
    <row r="784" spans="1:19" hidden="1" x14ac:dyDescent="0.25">
      <c r="A784">
        <v>22201229</v>
      </c>
      <c r="B784" t="s">
        <v>18</v>
      </c>
      <c r="C784" t="s">
        <v>19</v>
      </c>
      <c r="D784">
        <v>50</v>
      </c>
      <c r="E784">
        <v>53</v>
      </c>
      <c r="F784">
        <v>3</v>
      </c>
      <c r="G784">
        <v>3</v>
      </c>
      <c r="H784" s="1">
        <v>8.1944444444444452E-3</v>
      </c>
      <c r="I784">
        <v>2022</v>
      </c>
      <c r="J784" t="s">
        <v>83</v>
      </c>
      <c r="K784" s="2" t="str">
        <f>HYPERLINK("https://www.nba.com/stats/events?CFID=&amp;CFPARAMS=&amp;GameEventID=348&amp;GameID=0022201229&amp;Season=2022-23&amp;flag=1&amp;title=Leonard%2014'%20Jump%20Shot%20(6%20PTS)", "14' Jump Shot (6 PTS)")</f>
        <v>14' Jump Shot (6 PTS)</v>
      </c>
      <c r="L784" s="2" t="str">
        <f>HYPERLINK("https://www.nba.com/game/...-vs-...-0022201229/play-by-play?watchFullGame=true", "LAC vs PHX - Q3 11:48.00")</f>
        <v>LAC vs PHX - Q3 11:48.00</v>
      </c>
      <c r="M784">
        <v>14.17</v>
      </c>
      <c r="N784">
        <v>17.16</v>
      </c>
      <c r="O784">
        <v>31.86</v>
      </c>
      <c r="P784">
        <v>91</v>
      </c>
      <c r="Q784">
        <v>109</v>
      </c>
      <c r="R784">
        <v>17</v>
      </c>
      <c r="S784">
        <v>31</v>
      </c>
    </row>
    <row r="785" spans="1:19" hidden="1" x14ac:dyDescent="0.25">
      <c r="A785">
        <v>22201082</v>
      </c>
      <c r="B785" t="s">
        <v>18</v>
      </c>
      <c r="C785" t="s">
        <v>19</v>
      </c>
      <c r="D785">
        <v>91</v>
      </c>
      <c r="E785">
        <v>89</v>
      </c>
      <c r="F785">
        <v>2</v>
      </c>
      <c r="G785">
        <v>4</v>
      </c>
      <c r="H785" s="1">
        <v>4.1319444444444442E-3</v>
      </c>
      <c r="I785">
        <v>2022</v>
      </c>
      <c r="J785" t="s">
        <v>83</v>
      </c>
      <c r="K785" s="2" t="str">
        <f>HYPERLINK("https://www.nba.com/stats/events?CFID=&amp;CFPARAMS=&amp;GameEventID=584&amp;GameID=0022201082&amp;Season=2022-23&amp;flag=1&amp;title=Leonard%2013'%20turnaround%20fadeaway%20Jump%20Shot%20(19%20PTS)", "13' turnaround fadeaway Jump Shot (19 PTS)")</f>
        <v>13' turnaround fadeaway Jump Shot (19 PTS)</v>
      </c>
      <c r="L785" s="2" t="str">
        <f>HYPERLINK("https://www.nba.com/game/...-vs-...-0022201082/play-by-play?watchFullGame=true", "LAC vs OKC - Q4 05:57.00")</f>
        <v>LAC vs OKC - Q4 05:57.00</v>
      </c>
      <c r="M785">
        <v>13.94</v>
      </c>
      <c r="N785">
        <v>17.66</v>
      </c>
      <c r="O785">
        <v>33.82</v>
      </c>
      <c r="P785">
        <v>81</v>
      </c>
      <c r="Q785">
        <v>113</v>
      </c>
      <c r="R785">
        <v>17</v>
      </c>
      <c r="S785">
        <v>33</v>
      </c>
    </row>
    <row r="786" spans="1:19" hidden="1" x14ac:dyDescent="0.25">
      <c r="A786">
        <v>22200408</v>
      </c>
      <c r="B786" t="s">
        <v>18</v>
      </c>
      <c r="C786" t="s">
        <v>19</v>
      </c>
      <c r="D786">
        <v>68</v>
      </c>
      <c r="E786">
        <v>52</v>
      </c>
      <c r="F786">
        <v>16</v>
      </c>
      <c r="G786">
        <v>3</v>
      </c>
      <c r="H786" s="1">
        <v>5.8101851851851856E-3</v>
      </c>
      <c r="I786">
        <v>2022</v>
      </c>
      <c r="J786" t="s">
        <v>83</v>
      </c>
      <c r="K786" s="2" t="str">
        <f>HYPERLINK("https://www.nba.com/stats/events?CFID=&amp;CFPARAMS=&amp;GameEventID=379&amp;GameID=0022200408&amp;Season=2022-23&amp;flag=1&amp;title=Leonard%2013'%20pullup%20Jump%20Shot%20(17%20PTS)", "13' pullup Jump Shot (17 PTS)")</f>
        <v>13' pullup Jump Shot (17 PTS)</v>
      </c>
      <c r="L786" s="2" t="str">
        <f>HYPERLINK("https://www.nba.com/game/...-vs-...-0022200408/play-by-play?watchFullGame=true", "LAC vs BOS - Q3 08:22.00")</f>
        <v>LAC vs BOS - Q3 08:22.00</v>
      </c>
      <c r="M786">
        <v>13.37</v>
      </c>
      <c r="N786">
        <v>17</v>
      </c>
      <c r="O786">
        <v>34.07</v>
      </c>
      <c r="P786">
        <v>80</v>
      </c>
      <c r="Q786">
        <v>107</v>
      </c>
      <c r="R786">
        <v>17</v>
      </c>
      <c r="S786">
        <v>34</v>
      </c>
    </row>
    <row r="787" spans="1:19" hidden="1" x14ac:dyDescent="0.25">
      <c r="A787">
        <v>21900157</v>
      </c>
      <c r="B787" t="s">
        <v>18</v>
      </c>
      <c r="C787" t="s">
        <v>84</v>
      </c>
      <c r="D787">
        <v>86</v>
      </c>
      <c r="E787">
        <v>85</v>
      </c>
      <c r="F787">
        <v>1</v>
      </c>
      <c r="G787">
        <v>4</v>
      </c>
      <c r="H787" s="1">
        <v>3.6689814814814814E-3</v>
      </c>
      <c r="I787">
        <v>2019</v>
      </c>
      <c r="J787" t="s">
        <v>83</v>
      </c>
      <c r="K787" s="2" t="str">
        <f>HYPERLINK("https://www.nba.com/stats/events?CFID=&amp;CFPARAMS=&amp;GameEventID=609&amp;GameID=0021900157&amp;Season=2019-20&amp;flag=1&amp;title=Leonard%2013'%20jumpshot%20(26%20PTS)", "13' jumpshot (26 PTS)")</f>
        <v>13' jumpshot (26 PTS)</v>
      </c>
      <c r="L787" s="2" t="str">
        <f>HYPERLINK("https://www.nba.com/game/...-vs-...-0021900157/play-by-play?watchFullGame=true", "LAC vs HOU - Q4 05:17.00")</f>
        <v>LAC vs HOU - Q4 05:17.00</v>
      </c>
      <c r="M787">
        <v>13.1</v>
      </c>
      <c r="N787">
        <v>17.66</v>
      </c>
      <c r="O787">
        <v>60.96</v>
      </c>
      <c r="P787">
        <v>-55</v>
      </c>
      <c r="Q787">
        <v>113</v>
      </c>
      <c r="R787">
        <v>17</v>
      </c>
      <c r="S787">
        <v>60</v>
      </c>
    </row>
    <row r="788" spans="1:19" hidden="1" x14ac:dyDescent="0.25">
      <c r="A788">
        <v>21900035</v>
      </c>
      <c r="B788" t="s">
        <v>18</v>
      </c>
      <c r="C788" t="s">
        <v>84</v>
      </c>
      <c r="D788">
        <v>29</v>
      </c>
      <c r="E788">
        <v>32</v>
      </c>
      <c r="F788">
        <v>3</v>
      </c>
      <c r="G788">
        <v>2</v>
      </c>
      <c r="H788" s="1">
        <v>6.7592592592592591E-3</v>
      </c>
      <c r="I788">
        <v>2019</v>
      </c>
      <c r="J788" t="s">
        <v>83</v>
      </c>
      <c r="K788" s="2" t="str">
        <f>HYPERLINK("https://www.nba.com/stats/events?CFID=&amp;CFPARAMS=&amp;GameEventID=231&amp;GameID=0021900035&amp;Season=2019-20&amp;flag=1&amp;title=[LAC]%20Leonard%20jumpshot:%20Made%20(5%20PTS)", "[LAC] Leonard jumpshot: Made (5 PTS)")</f>
        <v>[LAC] Leonard jumpshot: Made (5 PTS)</v>
      </c>
      <c r="L788" s="2" t="str">
        <f>HYPERLINK("https://www.nba.com/game/...-vs-...-0021900035/play-by-play?watchFullGame=true", "LAC vs PHX - Q2 09:44.00")</f>
        <v>LAC vs PHX - Q2 09:44.00</v>
      </c>
      <c r="M788">
        <v>12.85</v>
      </c>
      <c r="N788">
        <v>17.03</v>
      </c>
      <c r="O788">
        <v>37.81</v>
      </c>
      <c r="P788">
        <v>61</v>
      </c>
      <c r="Q788">
        <v>108</v>
      </c>
      <c r="R788">
        <v>17</v>
      </c>
      <c r="S788">
        <v>37</v>
      </c>
    </row>
    <row r="789" spans="1:19" hidden="1" x14ac:dyDescent="0.25">
      <c r="A789">
        <v>22000116</v>
      </c>
      <c r="B789" t="s">
        <v>18</v>
      </c>
      <c r="C789" t="s">
        <v>19</v>
      </c>
      <c r="D789">
        <v>12</v>
      </c>
      <c r="E789">
        <v>6</v>
      </c>
      <c r="F789">
        <v>6</v>
      </c>
      <c r="G789">
        <v>1</v>
      </c>
      <c r="H789" s="1">
        <v>3.449074074074074E-3</v>
      </c>
      <c r="I789">
        <v>2020</v>
      </c>
      <c r="J789" t="s">
        <v>83</v>
      </c>
      <c r="K789" s="2" t="str">
        <f>HYPERLINK("https://www.nba.com/stats/events?CFID=&amp;CFPARAMS=&amp;GameEventID=79&amp;GameID=0022000116&amp;Season=2020-21&amp;flag=1&amp;title=Leonard%2012'%20pullup%20Jump%20Shot%20(2%20PTS)", "12' pullup Jump Shot (2 PTS)")</f>
        <v>12' pullup Jump Shot (2 PTS)</v>
      </c>
      <c r="L789" s="2" t="str">
        <f>HYPERLINK("https://www.nba.com/game/...-vs-...-0022000116/play-by-play?watchFullGame=true", "LAC vs GSW - Q1 04:58.00")</f>
        <v>LAC vs GSW - Q1 04:58.00</v>
      </c>
      <c r="M789">
        <v>12.83</v>
      </c>
      <c r="N789">
        <v>17.3</v>
      </c>
      <c r="O789">
        <v>36.83</v>
      </c>
      <c r="P789">
        <v>66</v>
      </c>
      <c r="Q789">
        <v>110</v>
      </c>
      <c r="R789">
        <v>17</v>
      </c>
      <c r="S789">
        <v>36</v>
      </c>
    </row>
    <row r="790" spans="1:19" hidden="1" x14ac:dyDescent="0.25">
      <c r="A790">
        <v>22300880</v>
      </c>
      <c r="B790" t="s">
        <v>18</v>
      </c>
      <c r="C790" t="s">
        <v>19</v>
      </c>
      <c r="D790">
        <v>16</v>
      </c>
      <c r="E790">
        <v>16</v>
      </c>
      <c r="F790">
        <v>0</v>
      </c>
      <c r="G790">
        <v>1</v>
      </c>
      <c r="H790" s="1">
        <v>3.7615740740740739E-3</v>
      </c>
      <c r="I790">
        <v>2023</v>
      </c>
      <c r="J790" t="s">
        <v>83</v>
      </c>
      <c r="K790" s="2" t="str">
        <f>HYPERLINK("https://www.nba.com/stats/events?CFID=&amp;CFPARAMS=&amp;GameEventID=65&amp;GameID=0022300880&amp;Season=2023-24&amp;flag=1&amp;title=Leonard%2012'%20driving%20floating%20Jump%20Shot%20(2%20PTS)", "12' driving floating Jump Shot (2 PTS)")</f>
        <v>12' driving floating Jump Shot (2 PTS)</v>
      </c>
      <c r="L790" s="2" t="str">
        <f>HYPERLINK("https://www.nba.com/game/...-vs-...-0022300880/play-by-play?watchFullGame=true", "LAC vs MIL - Q1 05:25.00")</f>
        <v>LAC vs MIL - Q1 05:25.00</v>
      </c>
      <c r="M790">
        <v>12.57</v>
      </c>
      <c r="N790">
        <v>17.03</v>
      </c>
      <c r="O790">
        <v>37.01</v>
      </c>
      <c r="P790">
        <v>65</v>
      </c>
      <c r="Q790">
        <v>108</v>
      </c>
      <c r="R790">
        <v>17</v>
      </c>
      <c r="S790">
        <v>37</v>
      </c>
    </row>
    <row r="791" spans="1:19" hidden="1" x14ac:dyDescent="0.25">
      <c r="A791">
        <v>22200649</v>
      </c>
      <c r="B791" t="s">
        <v>18</v>
      </c>
      <c r="C791" t="s">
        <v>19</v>
      </c>
      <c r="D791">
        <v>91</v>
      </c>
      <c r="E791">
        <v>88</v>
      </c>
      <c r="F791">
        <v>3</v>
      </c>
      <c r="G791">
        <v>3</v>
      </c>
      <c r="H791" s="1">
        <v>1.875E-4</v>
      </c>
      <c r="I791">
        <v>2022</v>
      </c>
      <c r="J791" t="s">
        <v>83</v>
      </c>
      <c r="K791" s="2" t="str">
        <f>HYPERLINK("https://www.nba.com/stats/events?CFID=&amp;CFPARAMS=&amp;GameEventID=474&amp;GameID=0022200649&amp;Season=2022-23&amp;flag=1&amp;title=Leonard%2012'%20fadeaway%20Jump%20Shot%20(28%20PTS)", "12' fadeaway Jump Shot (28 PTS)")</f>
        <v>12' fadeaway Jump Shot (28 PTS)</v>
      </c>
      <c r="L791" s="2" t="str">
        <f>HYPERLINK("https://www.nba.com/game/...-vs-...-0022200649/play-by-play?watchFullGame=true", "LAC vs HOU - Q3 00:16.20")</f>
        <v>LAC vs HOU - Q3 00:16.20</v>
      </c>
      <c r="M791">
        <v>12.55</v>
      </c>
      <c r="N791">
        <v>17.920000000000002</v>
      </c>
      <c r="O791">
        <v>59.56</v>
      </c>
      <c r="P791">
        <v>-48</v>
      </c>
      <c r="Q791">
        <v>116</v>
      </c>
      <c r="R791">
        <v>17</v>
      </c>
      <c r="S791">
        <v>59</v>
      </c>
    </row>
    <row r="792" spans="1:19" hidden="1" x14ac:dyDescent="0.25">
      <c r="A792">
        <v>21900276</v>
      </c>
      <c r="B792" t="s">
        <v>18</v>
      </c>
      <c r="C792" t="s">
        <v>84</v>
      </c>
      <c r="D792">
        <v>40</v>
      </c>
      <c r="E792">
        <v>38</v>
      </c>
      <c r="F792">
        <v>2</v>
      </c>
      <c r="G792">
        <v>2</v>
      </c>
      <c r="H792" s="1">
        <v>5.0231481481481481E-3</v>
      </c>
      <c r="I792">
        <v>2019</v>
      </c>
      <c r="J792" t="s">
        <v>83</v>
      </c>
      <c r="K792" s="2" t="str">
        <f>HYPERLINK("https://www.nba.com/stats/events?CFID=&amp;CFPARAMS=&amp;GameEventID=214&amp;GameID=0021900276&amp;Season=2019-20&amp;flag=1&amp;title=Leonard%2012'%20jumpshot%20(6%20PTS)", "12' jumpshot (6 PTS)")</f>
        <v>12' jumpshot (6 PTS)</v>
      </c>
      <c r="L792" s="2" t="str">
        <f>HYPERLINK("https://www.nba.com/game/...-vs-...-0021900276/play-by-play?watchFullGame=true", "LAC vs SAS - Q2 07:14.00")</f>
        <v>LAC vs SAS - Q2 07:14.00</v>
      </c>
      <c r="M792">
        <v>12.46</v>
      </c>
      <c r="N792">
        <v>17.559999999999999</v>
      </c>
      <c r="O792">
        <v>57.91</v>
      </c>
      <c r="P792">
        <v>-40</v>
      </c>
      <c r="Q792">
        <v>113</v>
      </c>
      <c r="R792">
        <v>17</v>
      </c>
      <c r="S792">
        <v>57</v>
      </c>
    </row>
    <row r="793" spans="1:19" hidden="1" x14ac:dyDescent="0.25">
      <c r="A793">
        <v>21900016</v>
      </c>
      <c r="B793" t="s">
        <v>18</v>
      </c>
      <c r="C793" t="s">
        <v>95</v>
      </c>
      <c r="D793">
        <v>57</v>
      </c>
      <c r="E793">
        <v>44</v>
      </c>
      <c r="F793">
        <v>13</v>
      </c>
      <c r="G793">
        <v>2</v>
      </c>
      <c r="H793" s="1">
        <v>3.5648148148148149E-3</v>
      </c>
      <c r="I793">
        <v>2019</v>
      </c>
      <c r="J793" t="s">
        <v>83</v>
      </c>
      <c r="K793" s="2" t="str">
        <f>HYPERLINK("https://www.nba.com/stats/events?CFID=&amp;CFPARAMS=&amp;GameEventID=287&amp;GameID=0021900016&amp;Season=2019-20&amp;flag=1&amp;title=[LAC]%20Leonard%20hook:%20Made%20(10%20PTS)", "[LAC] Leonard hook: Made (10 PTS)")</f>
        <v>[LAC] Leonard hook: Made (10 PTS)</v>
      </c>
      <c r="L793" s="2" t="str">
        <f>HYPERLINK("https://www.nba.com/game/...-vs-...-0021900016/play-by-play?watchFullGame=true", "LAC vs GSW - Q2 05:08.00")</f>
        <v>LAC vs GSW - Q2 05:08.00</v>
      </c>
      <c r="M793">
        <v>12.41</v>
      </c>
      <c r="N793">
        <v>17.03</v>
      </c>
      <c r="O793">
        <v>39.770000000000003</v>
      </c>
      <c r="P793">
        <v>51</v>
      </c>
      <c r="Q793">
        <v>108</v>
      </c>
      <c r="R793">
        <v>17</v>
      </c>
      <c r="S793">
        <v>39</v>
      </c>
    </row>
    <row r="794" spans="1:19" hidden="1" x14ac:dyDescent="0.25">
      <c r="A794">
        <v>42300173</v>
      </c>
      <c r="B794" t="s">
        <v>18</v>
      </c>
      <c r="C794" t="s">
        <v>19</v>
      </c>
      <c r="D794">
        <v>72</v>
      </c>
      <c r="E794">
        <v>91</v>
      </c>
      <c r="F794">
        <v>19</v>
      </c>
      <c r="G794">
        <v>4</v>
      </c>
      <c r="H794" s="1">
        <v>5.3009259259259259E-3</v>
      </c>
      <c r="I794" t="s">
        <v>93</v>
      </c>
      <c r="J794" t="s">
        <v>83</v>
      </c>
      <c r="K794" s="2" t="str">
        <f>HYPERLINK("https://www.nba.com/stats/events?CFID=&amp;CFPARAMS=&amp;GameEventID=571&amp;GameID=0042300173&amp;Season=2023-24&amp;flag=1&amp;title=Leonard%2012'%20pullup%20Jump%20Shot%20(9%20PTS)%20(P.%20George%205%20AST)", "12' pullup Jump Shot (9 PTS) (P. George 5 AST)")</f>
        <v>12' pullup Jump Shot (9 PTS) (P. George 5 AST)</v>
      </c>
      <c r="L794" s="2" t="str">
        <f>HYPERLINK("https://www.nba.com/game/...-vs-...-0042300173/play-by-play?watchFullGame=true", "LAC vs DAL - Q4 07:38.00")</f>
        <v>LAC vs DAL - Q4 07:38.00</v>
      </c>
      <c r="M794">
        <v>12.37</v>
      </c>
      <c r="N794">
        <v>17.3</v>
      </c>
      <c r="O794">
        <v>61.27</v>
      </c>
      <c r="P794">
        <v>17</v>
      </c>
      <c r="Q794">
        <v>61</v>
      </c>
      <c r="R794">
        <v>17</v>
      </c>
      <c r="S794">
        <v>61</v>
      </c>
    </row>
    <row r="795" spans="1:19" hidden="1" x14ac:dyDescent="0.25">
      <c r="A795">
        <v>22300280</v>
      </c>
      <c r="B795" t="s">
        <v>18</v>
      </c>
      <c r="C795" t="s">
        <v>19</v>
      </c>
      <c r="D795">
        <v>8</v>
      </c>
      <c r="E795">
        <v>12</v>
      </c>
      <c r="F795">
        <v>4</v>
      </c>
      <c r="G795">
        <v>1</v>
      </c>
      <c r="H795" s="1">
        <v>5.0810185185185186E-3</v>
      </c>
      <c r="I795">
        <v>2023</v>
      </c>
      <c r="J795" t="s">
        <v>83</v>
      </c>
      <c r="K795" s="2" t="str">
        <f>HYPERLINK("https://www.nba.com/stats/events?CFID=&amp;CFPARAMS=&amp;GameEventID=51&amp;GameID=0022300280&amp;Season=2023-24&amp;flag=1&amp;title=Leonard%2012'%20pullup%20Jump%20Shot%20(2%20PTS)", "12' pullup Jump Shot (2 PTS)")</f>
        <v>12' pullup Jump Shot (2 PTS)</v>
      </c>
      <c r="L795" s="2" t="str">
        <f>HYPERLINK("https://www.nba.com/game/...-vs-...-0022300280/play-by-play?watchFullGame=true", "LAC vs GSW - Q1 07:19.00")</f>
        <v>LAC vs GSW - Q1 07:19.00</v>
      </c>
      <c r="M795">
        <v>12.34</v>
      </c>
      <c r="N795">
        <v>17.260000000000002</v>
      </c>
      <c r="O795">
        <v>38.729999999999997</v>
      </c>
      <c r="P795">
        <v>56</v>
      </c>
      <c r="Q795">
        <v>110</v>
      </c>
      <c r="R795">
        <v>17</v>
      </c>
      <c r="S795">
        <v>38</v>
      </c>
    </row>
    <row r="796" spans="1:19" hidden="1" x14ac:dyDescent="0.25">
      <c r="A796">
        <v>21900626</v>
      </c>
      <c r="B796" t="s">
        <v>18</v>
      </c>
      <c r="C796" t="s">
        <v>84</v>
      </c>
      <c r="D796">
        <v>19</v>
      </c>
      <c r="E796">
        <v>12</v>
      </c>
      <c r="F796">
        <v>7</v>
      </c>
      <c r="G796">
        <v>1</v>
      </c>
      <c r="H796" s="1">
        <v>4.3287037037037035E-3</v>
      </c>
      <c r="I796">
        <v>2019</v>
      </c>
      <c r="J796" t="s">
        <v>83</v>
      </c>
      <c r="K796" s="2" t="str">
        <f>HYPERLINK("https://www.nba.com/stats/events?CFID=&amp;CFPARAMS=&amp;GameEventID=74&amp;GameID=0021900626&amp;Season=2019-20&amp;flag=1&amp;title=Leonard%2012'%20jumpshot%20(12%20PTS)", "12' jumpshot (12 PTS)")</f>
        <v>12' jumpshot (12 PTS)</v>
      </c>
      <c r="L796" s="2" t="str">
        <f>HYPERLINK("https://www.nba.com/game/...-vs-...-0021900626/play-by-play?watchFullGame=true", "LAC vs NOP - Q1 06:14.00")</f>
        <v>LAC vs NOP - Q1 06:14.00</v>
      </c>
      <c r="M796">
        <v>12.18</v>
      </c>
      <c r="N796">
        <v>17.95</v>
      </c>
      <c r="O796">
        <v>49.33</v>
      </c>
      <c r="P796">
        <v>3</v>
      </c>
      <c r="Q796">
        <v>116</v>
      </c>
      <c r="R796">
        <v>17</v>
      </c>
      <c r="S796">
        <v>49</v>
      </c>
    </row>
    <row r="797" spans="1:19" hidden="1" x14ac:dyDescent="0.25">
      <c r="A797">
        <v>22200538</v>
      </c>
      <c r="B797" t="s">
        <v>18</v>
      </c>
      <c r="C797" t="s">
        <v>19</v>
      </c>
      <c r="D797">
        <v>77</v>
      </c>
      <c r="E797">
        <v>81</v>
      </c>
      <c r="F797">
        <v>4</v>
      </c>
      <c r="G797">
        <v>3</v>
      </c>
      <c r="H797" s="1">
        <v>4.1550925925925922E-3</v>
      </c>
      <c r="I797">
        <v>2022</v>
      </c>
      <c r="J797" t="s">
        <v>83</v>
      </c>
      <c r="K797" s="2" t="str">
        <f>HYPERLINK("https://www.nba.com/stats/events?CFID=&amp;CFPARAMS=&amp;GameEventID=358&amp;GameID=0022200538&amp;Season=2022-23&amp;flag=1&amp;title=Leonard%2012'%20pullup%20Jump%20Shot%20(16%20PTS)", "12' pullup Jump Shot (16 PTS)")</f>
        <v>12' pullup Jump Shot (16 PTS)</v>
      </c>
      <c r="L797" s="2" t="str">
        <f>HYPERLINK("https://www.nba.com/game/...-vs-...-0022200538/play-by-play?watchFullGame=true", "LAC vs IND - Q3 05:59.00")</f>
        <v>LAC vs IND - Q3 05:59.00</v>
      </c>
      <c r="M797">
        <v>12.14</v>
      </c>
      <c r="N797">
        <v>17.559999999999999</v>
      </c>
      <c r="O797">
        <v>59.07</v>
      </c>
      <c r="P797">
        <v>-45</v>
      </c>
      <c r="Q797">
        <v>113</v>
      </c>
      <c r="R797">
        <v>17</v>
      </c>
      <c r="S797">
        <v>59</v>
      </c>
    </row>
    <row r="798" spans="1:19" hidden="1" x14ac:dyDescent="0.25">
      <c r="A798">
        <v>22300024</v>
      </c>
      <c r="B798" t="s">
        <v>18</v>
      </c>
      <c r="C798" t="s">
        <v>19</v>
      </c>
      <c r="D798">
        <v>99</v>
      </c>
      <c r="E798">
        <v>92</v>
      </c>
      <c r="F798">
        <v>7</v>
      </c>
      <c r="G798">
        <v>4</v>
      </c>
      <c r="H798" s="1">
        <v>4.178240740740741E-3</v>
      </c>
      <c r="I798">
        <v>2023</v>
      </c>
      <c r="J798" t="s">
        <v>83</v>
      </c>
      <c r="K798" s="2" t="str">
        <f>HYPERLINK("https://www.nba.com/stats/events?CFID=&amp;CFPARAMS=&amp;GameEventID=536&amp;GameID=0022300024&amp;Season=2023-24&amp;flag=1&amp;title=Leonard%2012'%20turnaround%20fadeaway%20Jump%20Shot%20(13%20PTS)", "12' turnaround fadeaway Jump Shot (13 PTS)")</f>
        <v>12' turnaround fadeaway Jump Shot (13 PTS)</v>
      </c>
      <c r="L798" s="2" t="str">
        <f>HYPERLINK("https://www.nba.com/game/...-vs-...-0022300024/play-by-play?watchFullGame=true", "LAC vs DEN - Q4 06:01.00")</f>
        <v>LAC vs DEN - Q4 06:01.00</v>
      </c>
      <c r="M798">
        <v>12.14</v>
      </c>
      <c r="N798">
        <v>17.559999999999999</v>
      </c>
      <c r="O798">
        <v>40.93</v>
      </c>
      <c r="P798">
        <v>45</v>
      </c>
      <c r="Q798">
        <v>113</v>
      </c>
      <c r="R798">
        <v>17</v>
      </c>
      <c r="S798">
        <v>40</v>
      </c>
    </row>
    <row r="799" spans="1:19" hidden="1" x14ac:dyDescent="0.25">
      <c r="A799">
        <v>22300799</v>
      </c>
      <c r="B799" t="s">
        <v>18</v>
      </c>
      <c r="C799" t="s">
        <v>89</v>
      </c>
      <c r="D799">
        <v>27</v>
      </c>
      <c r="E799">
        <v>28</v>
      </c>
      <c r="F799">
        <v>1</v>
      </c>
      <c r="G799">
        <v>1</v>
      </c>
      <c r="H799" s="1">
        <v>1.5393518518518519E-3</v>
      </c>
      <c r="I799">
        <v>2023</v>
      </c>
      <c r="J799" t="s">
        <v>83</v>
      </c>
      <c r="K799" s="2" t="str">
        <f>HYPERLINK("https://www.nba.com/stats/events?CFID=&amp;CFPARAMS=&amp;GameEventID=119&amp;GameID=0022300799&amp;Season=2023-24&amp;flag=1&amp;title=Leonard%2012'%20driving%20Hook%20(8%20PTS)%20(A.%20Coffey%201%20AST)", "12' driving Hook (8 PTS) (A. Coffey 1 AST)")</f>
        <v>12' driving Hook (8 PTS) (A. Coffey 1 AST)</v>
      </c>
      <c r="L799" s="2" t="str">
        <f>HYPERLINK("https://www.nba.com/game/...-vs-...-0022300799/play-by-play?watchFullGame=true", "LAC vs OKC - Q1 02:13.00")</f>
        <v>LAC vs OKC - Q1 02:13.00</v>
      </c>
      <c r="M799">
        <v>12.03</v>
      </c>
      <c r="N799">
        <v>17.95</v>
      </c>
      <c r="O799">
        <v>43.87</v>
      </c>
      <c r="P799">
        <v>31</v>
      </c>
      <c r="Q799">
        <v>116</v>
      </c>
      <c r="R799">
        <v>17</v>
      </c>
      <c r="S799">
        <v>43</v>
      </c>
    </row>
    <row r="800" spans="1:19" hidden="1" x14ac:dyDescent="0.25">
      <c r="A800">
        <v>22200885</v>
      </c>
      <c r="B800" t="s">
        <v>18</v>
      </c>
      <c r="C800" t="s">
        <v>19</v>
      </c>
      <c r="D800">
        <v>87</v>
      </c>
      <c r="E800">
        <v>79</v>
      </c>
      <c r="F800">
        <v>8</v>
      </c>
      <c r="G800">
        <v>3</v>
      </c>
      <c r="H800" s="1">
        <v>1.1921296296296296E-3</v>
      </c>
      <c r="I800">
        <v>2022</v>
      </c>
      <c r="J800" t="s">
        <v>83</v>
      </c>
      <c r="K800" s="2" t="str">
        <f>HYPERLINK("https://www.nba.com/stats/events?CFID=&amp;CFPARAMS=&amp;GameEventID=485&amp;GameID=0022200885&amp;Season=2022-23&amp;flag=1&amp;title=Leonard%2012'%20pullup%20Jump%20Shot%20(9%20PTS)%20(M.%20Plumlee%203%20AST)", "12' pullup Jump Shot (9 PTS) (M. Plumlee 3 AST)")</f>
        <v>12' pullup Jump Shot (9 PTS) (M. Plumlee 3 AST)</v>
      </c>
      <c r="L800" s="2" t="str">
        <f>HYPERLINK("https://www.nba.com/game/...-vs-...-0022200885/play-by-play?watchFullGame=true", "LAC vs PHX - Q3 01:43.00")</f>
        <v>LAC vs PHX - Q3 01:43.00</v>
      </c>
      <c r="M800">
        <v>12</v>
      </c>
      <c r="N800">
        <v>17.3</v>
      </c>
      <c r="O800">
        <v>40.44</v>
      </c>
      <c r="P800">
        <v>48</v>
      </c>
      <c r="Q800">
        <v>110</v>
      </c>
      <c r="R800">
        <v>17</v>
      </c>
      <c r="S800">
        <v>40</v>
      </c>
    </row>
    <row r="801" spans="1:19" hidden="1" x14ac:dyDescent="0.25">
      <c r="A801">
        <v>22001034</v>
      </c>
      <c r="B801" t="s">
        <v>18</v>
      </c>
      <c r="C801" t="s">
        <v>19</v>
      </c>
      <c r="D801">
        <v>25</v>
      </c>
      <c r="E801">
        <v>13</v>
      </c>
      <c r="F801">
        <v>12</v>
      </c>
      <c r="G801">
        <v>1</v>
      </c>
      <c r="H801" s="1">
        <v>2.0370370370370369E-3</v>
      </c>
      <c r="I801">
        <v>2020</v>
      </c>
      <c r="J801" t="s">
        <v>83</v>
      </c>
      <c r="K801" s="2" t="str">
        <f>HYPERLINK("https://www.nba.com/stats/events?CFID=&amp;CFPARAMS=&amp;GameEventID=101&amp;GameID=0022001034&amp;Season=2020-21&amp;flag=1&amp;title=Leonard%2011'%20fadeaway%20Jump%20Shot%20(7%20PTS)", "11' fadeaway Jump Shot (7 PTS)")</f>
        <v>11' fadeaway Jump Shot (7 PTS)</v>
      </c>
      <c r="L801" s="2" t="str">
        <f>HYPERLINK("https://www.nba.com/game/...-vs-...-0022001034/play-by-play?watchFullGame=true", "LAC vs TOR - Q1 02:56.00")</f>
        <v>LAC vs TOR - Q1 02:56.00</v>
      </c>
      <c r="M801">
        <v>11.8</v>
      </c>
      <c r="N801">
        <v>17.3</v>
      </c>
      <c r="O801">
        <v>41.49</v>
      </c>
      <c r="P801">
        <v>43</v>
      </c>
      <c r="Q801">
        <v>110</v>
      </c>
      <c r="R801">
        <v>17</v>
      </c>
      <c r="S801">
        <v>41</v>
      </c>
    </row>
    <row r="802" spans="1:19" hidden="1" x14ac:dyDescent="0.25">
      <c r="A802">
        <v>22000239</v>
      </c>
      <c r="B802" t="s">
        <v>18</v>
      </c>
      <c r="C802" t="s">
        <v>19</v>
      </c>
      <c r="D802">
        <v>81</v>
      </c>
      <c r="E802">
        <v>58</v>
      </c>
      <c r="F802">
        <v>23</v>
      </c>
      <c r="G802">
        <v>3</v>
      </c>
      <c r="H802" s="1">
        <v>5.3356481481481484E-3</v>
      </c>
      <c r="I802">
        <v>2020</v>
      </c>
      <c r="J802" t="s">
        <v>83</v>
      </c>
      <c r="K802" s="2" t="str">
        <f>HYPERLINK("https://www.nba.com/stats/events?CFID=&amp;CFPARAMS=&amp;GameEventID=363&amp;GameID=0022000239&amp;Season=2020-21&amp;flag=1&amp;title=Leonard%2011'%20turnaround%20Jump%20Shot%20(21%20PTS)", "11' turnaround Jump Shot (21 PTS)")</f>
        <v>11' turnaround Jump Shot (21 PTS)</v>
      </c>
      <c r="L802" s="2" t="str">
        <f>HYPERLINK("https://www.nba.com/game/...-vs-...-0022000239/play-by-play?watchFullGame=true", "LAC vs OKC - Q3 07:41.00")</f>
        <v>LAC vs OKC - Q3 07:41.00</v>
      </c>
      <c r="M802">
        <v>11.78</v>
      </c>
      <c r="N802">
        <v>17.690000000000001</v>
      </c>
      <c r="O802">
        <v>43.94</v>
      </c>
      <c r="P802">
        <v>30</v>
      </c>
      <c r="Q802">
        <v>114</v>
      </c>
      <c r="R802">
        <v>17</v>
      </c>
      <c r="S802">
        <v>43</v>
      </c>
    </row>
    <row r="803" spans="1:19" hidden="1" x14ac:dyDescent="0.25">
      <c r="A803">
        <v>22300127</v>
      </c>
      <c r="B803" t="s">
        <v>18</v>
      </c>
      <c r="C803" t="s">
        <v>19</v>
      </c>
      <c r="D803">
        <v>82</v>
      </c>
      <c r="E803">
        <v>76</v>
      </c>
      <c r="F803">
        <v>6</v>
      </c>
      <c r="G803">
        <v>3</v>
      </c>
      <c r="H803" s="1">
        <v>1.8981481481481482E-3</v>
      </c>
      <c r="I803">
        <v>2023</v>
      </c>
      <c r="J803" t="s">
        <v>83</v>
      </c>
      <c r="K803" s="2" t="str">
        <f>HYPERLINK("https://www.nba.com/stats/events?CFID=&amp;CFPARAMS=&amp;GameEventID=465&amp;GameID=0022300127&amp;Season=2023-24&amp;flag=1&amp;title=Leonard%2011'%20floating%20Jump%20Shot%20(28%20PTS)", "11' floating Jump Shot (28 PTS)")</f>
        <v>11' floating Jump Shot (28 PTS)</v>
      </c>
      <c r="L803" s="2" t="str">
        <f>HYPERLINK("https://www.nba.com/game/...-vs-...-0022300127/play-by-play?watchFullGame=true", "LAC vs LAL - Q3 02:44.00")</f>
        <v>LAC vs LAL - Q3 02:44.00</v>
      </c>
      <c r="M803">
        <v>11.72</v>
      </c>
      <c r="N803">
        <v>17.66</v>
      </c>
      <c r="O803">
        <v>44.12</v>
      </c>
      <c r="P803">
        <v>29</v>
      </c>
      <c r="Q803">
        <v>113</v>
      </c>
      <c r="R803">
        <v>17</v>
      </c>
      <c r="S803">
        <v>44</v>
      </c>
    </row>
    <row r="804" spans="1:19" hidden="1" x14ac:dyDescent="0.25">
      <c r="A804">
        <v>22300873</v>
      </c>
      <c r="B804" t="s">
        <v>18</v>
      </c>
      <c r="C804" t="s">
        <v>19</v>
      </c>
      <c r="D804">
        <v>2</v>
      </c>
      <c r="E804">
        <v>9</v>
      </c>
      <c r="F804">
        <v>7</v>
      </c>
      <c r="G804">
        <v>1</v>
      </c>
      <c r="H804" s="1">
        <v>6.076388888888889E-3</v>
      </c>
      <c r="I804">
        <v>2023</v>
      </c>
      <c r="J804" t="s">
        <v>83</v>
      </c>
      <c r="K804" s="2" t="str">
        <f>HYPERLINK("https://www.nba.com/stats/events?CFID=&amp;CFPARAMS=&amp;GameEventID=31&amp;GameID=0022300873&amp;Season=2023-24&amp;flag=1&amp;title=Leonard%2011'%20turnaround%20fadeaway%20Jump%20Shot%20(2%20PTS)", "11' turnaround fadeaway Jump Shot (2 PTS)")</f>
        <v>11' turnaround fadeaway Jump Shot (2 PTS)</v>
      </c>
      <c r="L804" s="2" t="str">
        <f>HYPERLINK("https://www.nba.com/game/...-vs-...-0022300873/play-by-play?watchFullGame=true", "LAC vs MIN - Q1 08:45.00")</f>
        <v>LAC vs MIN - Q1 08:45.00</v>
      </c>
      <c r="M804">
        <v>11.58</v>
      </c>
      <c r="N804">
        <v>17.43</v>
      </c>
      <c r="O804">
        <v>43.63</v>
      </c>
      <c r="P804">
        <v>32</v>
      </c>
      <c r="Q804">
        <v>111</v>
      </c>
      <c r="R804">
        <v>17</v>
      </c>
      <c r="S804">
        <v>43</v>
      </c>
    </row>
    <row r="805" spans="1:19" hidden="1" x14ac:dyDescent="0.25">
      <c r="A805">
        <v>22400874</v>
      </c>
      <c r="B805" t="s">
        <v>18</v>
      </c>
      <c r="C805" t="s">
        <v>19</v>
      </c>
      <c r="D805">
        <v>90</v>
      </c>
      <c r="E805">
        <v>99</v>
      </c>
      <c r="F805">
        <v>9</v>
      </c>
      <c r="G805">
        <v>4</v>
      </c>
      <c r="H805" s="1">
        <v>4.1666666666666666E-3</v>
      </c>
      <c r="I805">
        <v>2024</v>
      </c>
      <c r="J805" t="s">
        <v>83</v>
      </c>
      <c r="K805" s="2" t="str">
        <f>HYPERLINK("https://www.nba.com/stats/events?CFID=&amp;CFPARAMS=&amp;GameEventID=544&amp;GameID=0022400874&amp;Season=2024-25&amp;flag=1&amp;title=Leonard%2011'%20turnaround%20fadeaway%20Jump%20Shot%20(30%20PTS)%20(Dunn%203%20AST)", "11' turnaround fadeaway Jump Shot (30 PTS) (K. Dunn 3 AST)")</f>
        <v>11' turnaround fadeaway Jump Shot (30 PTS) (K. Dunn 3 AST)</v>
      </c>
      <c r="L805" s="2" t="str">
        <f>HYPERLINK("https://www.nba.com/game/...-vs-...-0022400874/play-by-play?watchFullGame=true", "LAC vs LAL - Q4 06:00.00")</f>
        <v>LAC vs LAL - Q4 06:00.00</v>
      </c>
      <c r="M805">
        <v>11.51</v>
      </c>
      <c r="N805">
        <v>17.79</v>
      </c>
      <c r="O805">
        <v>48.04</v>
      </c>
      <c r="P805">
        <v>10</v>
      </c>
      <c r="Q805">
        <v>115</v>
      </c>
      <c r="R805">
        <v>17</v>
      </c>
      <c r="S805">
        <v>48</v>
      </c>
    </row>
    <row r="806" spans="1:19" hidden="1" x14ac:dyDescent="0.25">
      <c r="A806">
        <v>22300343</v>
      </c>
      <c r="B806" t="s">
        <v>18</v>
      </c>
      <c r="C806" t="s">
        <v>19</v>
      </c>
      <c r="D806">
        <v>89</v>
      </c>
      <c r="E806">
        <v>73</v>
      </c>
      <c r="F806">
        <v>16</v>
      </c>
      <c r="G806">
        <v>3</v>
      </c>
      <c r="H806" s="1">
        <v>5.7523148148148151E-3</v>
      </c>
      <c r="I806">
        <v>2023</v>
      </c>
      <c r="J806" t="s">
        <v>83</v>
      </c>
      <c r="K806" s="2" t="str">
        <f>HYPERLINK("https://www.nba.com/stats/events?CFID=&amp;CFPARAMS=&amp;GameEventID=408&amp;GameID=0022300343&amp;Season=2023-24&amp;flag=1&amp;title=Leonard%2011'%20fadeaway%20Jump%20Shot%20(28%20PTS)", "11' fadeaway Jump Shot (28 PTS)")</f>
        <v>11' fadeaway Jump Shot (28 PTS)</v>
      </c>
      <c r="L806" s="2" t="str">
        <f>HYPERLINK("https://www.nba.com/game/...-vs-...-0022300343/play-by-play?watchFullGame=true", "LAC vs NYK - Q3 08:17.00")</f>
        <v>LAC vs NYK - Q3 08:17.00</v>
      </c>
      <c r="M806">
        <v>11.48</v>
      </c>
      <c r="N806">
        <v>17.79</v>
      </c>
      <c r="O806">
        <v>50.74</v>
      </c>
      <c r="P806">
        <v>-4</v>
      </c>
      <c r="Q806">
        <v>115</v>
      </c>
      <c r="R806">
        <v>17</v>
      </c>
      <c r="S806">
        <v>50</v>
      </c>
    </row>
    <row r="807" spans="1:19" hidden="1" x14ac:dyDescent="0.25">
      <c r="A807">
        <v>21900016</v>
      </c>
      <c r="B807" t="s">
        <v>18</v>
      </c>
      <c r="C807" t="s">
        <v>84</v>
      </c>
      <c r="D807">
        <v>7</v>
      </c>
      <c r="E807">
        <v>0</v>
      </c>
      <c r="F807">
        <v>7</v>
      </c>
      <c r="G807">
        <v>1</v>
      </c>
      <c r="H807" s="1">
        <v>6.7245370370370367E-3</v>
      </c>
      <c r="I807">
        <v>2019</v>
      </c>
      <c r="J807" t="s">
        <v>83</v>
      </c>
      <c r="K807" s="2" t="str">
        <f>HYPERLINK("https://www.nba.com/stats/events?CFID=&amp;CFPARAMS=&amp;GameEventID=27&amp;GameID=0021900016&amp;Season=2019-20&amp;flag=1&amp;title=[LAC]%20Leonard%20jumpshot:%20Made%20(2%20PTS)", "[LAC] Leonard jumpshot: Made (2 PTS)")</f>
        <v>[LAC] Leonard jumpshot: Made (2 PTS)</v>
      </c>
      <c r="L807" s="2" t="str">
        <f>HYPERLINK("https://www.nba.com/game/...-vs-...-0021900016/play-by-play?watchFullGame=true", "LAC vs GSW - Q1 09:41.00")</f>
        <v>LAC vs GSW - Q1 09:41.00</v>
      </c>
      <c r="M807">
        <v>11.44</v>
      </c>
      <c r="N807">
        <v>17.16</v>
      </c>
      <c r="O807">
        <v>49.33</v>
      </c>
      <c r="P807">
        <v>3</v>
      </c>
      <c r="Q807">
        <v>109</v>
      </c>
      <c r="R807">
        <v>17</v>
      </c>
      <c r="S807">
        <v>49</v>
      </c>
    </row>
    <row r="808" spans="1:19" hidden="1" x14ac:dyDescent="0.25">
      <c r="A808">
        <v>22300807</v>
      </c>
      <c r="B808" t="s">
        <v>18</v>
      </c>
      <c r="C808" t="s">
        <v>19</v>
      </c>
      <c r="D808">
        <v>16</v>
      </c>
      <c r="E808">
        <v>14</v>
      </c>
      <c r="F808">
        <v>2</v>
      </c>
      <c r="G808">
        <v>1</v>
      </c>
      <c r="H808" s="1">
        <v>5.1041666666666666E-3</v>
      </c>
      <c r="I808">
        <v>2023</v>
      </c>
      <c r="J808" t="s">
        <v>83</v>
      </c>
      <c r="K808" s="2" t="str">
        <f>HYPERLINK("https://www.nba.com/stats/events?CFID=&amp;CFPARAMS=&amp;GameEventID=51&amp;GameID=0022300807&amp;Season=2023-24&amp;flag=1&amp;title=Leonard%2011'%20pullup%20Jump%20Shot%20(4%20PTS)%20(T.%20Mann%201%20AST)", "11' pullup Jump Shot (4 PTS) (T. Mann 1 AST)")</f>
        <v>11' pullup Jump Shot (4 PTS) (T. Mann 1 AST)</v>
      </c>
      <c r="L808" s="2" t="str">
        <f>HYPERLINK("https://www.nba.com/game/...-vs-...-0022300807/play-by-play?watchFullGame=true", "LAC vs MEM - Q1 07:21.00")</f>
        <v>LAC vs MEM - Q1 07:21.00</v>
      </c>
      <c r="M808">
        <v>11.38</v>
      </c>
      <c r="N808">
        <v>17.690000000000001</v>
      </c>
      <c r="O808">
        <v>49.51</v>
      </c>
      <c r="P808">
        <v>2</v>
      </c>
      <c r="Q808">
        <v>114</v>
      </c>
      <c r="R808">
        <v>17</v>
      </c>
      <c r="S808">
        <v>49</v>
      </c>
    </row>
    <row r="809" spans="1:19" hidden="1" x14ac:dyDescent="0.25">
      <c r="A809">
        <v>22400859</v>
      </c>
      <c r="B809" t="s">
        <v>18</v>
      </c>
      <c r="C809" t="s">
        <v>19</v>
      </c>
      <c r="D809">
        <v>61</v>
      </c>
      <c r="E809">
        <v>64</v>
      </c>
      <c r="F809">
        <v>3</v>
      </c>
      <c r="G809">
        <v>3</v>
      </c>
      <c r="H809" s="1">
        <v>5.9722222222222225E-3</v>
      </c>
      <c r="I809">
        <v>2024</v>
      </c>
      <c r="J809" t="s">
        <v>83</v>
      </c>
      <c r="K809" s="2" t="str">
        <f>HYPERLINK("https://www.nba.com/stats/events?CFID=&amp;CFPARAMS=&amp;GameEventID=324&amp;GameID=0022400859&amp;Season=2024-25&amp;flag=1&amp;title=Leonard%2011'%20pullup%20Jump%20Shot%20(11%20PTS)", "11' pullup Jump Shot (11 PTS)")</f>
        <v>11' pullup Jump Shot (11 PTS)</v>
      </c>
      <c r="L809" s="2" t="str">
        <f>HYPERLINK("https://www.nba.com/game/...-vs-...-0022400859/play-by-play?watchFullGame=true", "LAC vs LAL - Q3 08:36.00")</f>
        <v>LAC vs LAL - Q3 08:36.00</v>
      </c>
      <c r="M809">
        <v>11.25</v>
      </c>
      <c r="N809">
        <v>17.48</v>
      </c>
      <c r="O809">
        <v>52.53</v>
      </c>
      <c r="P809">
        <v>-13</v>
      </c>
      <c r="Q809">
        <v>112</v>
      </c>
      <c r="R809">
        <v>17</v>
      </c>
      <c r="S809">
        <v>52</v>
      </c>
    </row>
    <row r="810" spans="1:19" hidden="1" x14ac:dyDescent="0.25">
      <c r="A810">
        <v>42300172</v>
      </c>
      <c r="B810" t="s">
        <v>18</v>
      </c>
      <c r="C810" t="s">
        <v>19</v>
      </c>
      <c r="D810">
        <v>57</v>
      </c>
      <c r="E810">
        <v>61</v>
      </c>
      <c r="F810">
        <v>4</v>
      </c>
      <c r="G810">
        <v>3</v>
      </c>
      <c r="H810" s="1">
        <v>3.1134259259259257E-3</v>
      </c>
      <c r="I810" t="s">
        <v>93</v>
      </c>
      <c r="J810" t="s">
        <v>83</v>
      </c>
      <c r="K810" s="2" t="str">
        <f>HYPERLINK("https://www.nba.com/stats/events?CFID=&amp;CFPARAMS=&amp;GameEventID=434&amp;GameID=0042300172&amp;Season=2023-24&amp;flag=1&amp;title=Leonard%2011'%20step%20back%20Jump%20Shot%20(12%20PTS)", "11' step back Jump Shot (12 PTS)")</f>
        <v>11' step back Jump Shot (12 PTS)</v>
      </c>
      <c r="L810" s="2" t="str">
        <f>HYPERLINK("https://www.nba.com/game/...-vs-...-0042300172/play-by-play?watchFullGame=true", "LAC vs DAL - Q3 04:29.00")</f>
        <v>LAC vs DAL - Q3 04:29.00</v>
      </c>
      <c r="M810">
        <v>11.17</v>
      </c>
      <c r="N810">
        <v>17.39</v>
      </c>
      <c r="O810">
        <v>52.45</v>
      </c>
      <c r="P810">
        <v>17</v>
      </c>
      <c r="Q810">
        <v>52</v>
      </c>
      <c r="R810">
        <v>17</v>
      </c>
      <c r="S810">
        <v>52</v>
      </c>
    </row>
    <row r="811" spans="1:19" hidden="1" x14ac:dyDescent="0.25">
      <c r="A811">
        <v>22300264</v>
      </c>
      <c r="B811" t="s">
        <v>18</v>
      </c>
      <c r="C811" t="s">
        <v>19</v>
      </c>
      <c r="D811">
        <v>58</v>
      </c>
      <c r="E811">
        <v>47</v>
      </c>
      <c r="F811">
        <v>11</v>
      </c>
      <c r="G811">
        <v>2</v>
      </c>
      <c r="H811" s="1">
        <v>3.0787037037037037E-3</v>
      </c>
      <c r="I811">
        <v>2023</v>
      </c>
      <c r="J811" t="s">
        <v>83</v>
      </c>
      <c r="K811" s="2" t="str">
        <f>HYPERLINK("https://www.nba.com/stats/events?CFID=&amp;CFPARAMS=&amp;GameEventID=305&amp;GameID=0022300264&amp;Season=2023-24&amp;flag=1&amp;title=Leonard%2011'%20fadeaway%20Jump%20Shot%20(11%20PTS)%20(P.%20George%204%20AST)", "11' fadeaway Jump Shot (11 PTS) (P. George 4 AST)")</f>
        <v>11' fadeaway Jump Shot (11 PTS) (P. George 4 AST)</v>
      </c>
      <c r="L811" s="2" t="str">
        <f>HYPERLINK("https://www.nba.com/game/...-vs-...-0022300264/play-by-play?watchFullGame=true", "LAC vs SAC - Q2 04:26.00")</f>
        <v>LAC vs SAC - Q2 04:26.00</v>
      </c>
      <c r="M811">
        <v>11.16</v>
      </c>
      <c r="N811">
        <v>17.16</v>
      </c>
      <c r="O811">
        <v>54.9</v>
      </c>
      <c r="P811">
        <v>-25</v>
      </c>
      <c r="Q811">
        <v>109</v>
      </c>
      <c r="R811">
        <v>17</v>
      </c>
      <c r="S811">
        <v>54</v>
      </c>
    </row>
    <row r="812" spans="1:19" hidden="1" x14ac:dyDescent="0.25">
      <c r="A812">
        <v>22301064</v>
      </c>
      <c r="B812" t="s">
        <v>18</v>
      </c>
      <c r="C812" t="s">
        <v>89</v>
      </c>
      <c r="D812">
        <v>52</v>
      </c>
      <c r="E812">
        <v>48</v>
      </c>
      <c r="F812">
        <v>4</v>
      </c>
      <c r="G812">
        <v>2</v>
      </c>
      <c r="H812" s="1">
        <v>1.0069444444444444E-3</v>
      </c>
      <c r="I812">
        <v>2023</v>
      </c>
      <c r="J812" t="s">
        <v>83</v>
      </c>
      <c r="K812" s="2" t="str">
        <f>HYPERLINK("https://www.nba.com/stats/events?CFID=&amp;CFPARAMS=&amp;GameEventID=301&amp;GameID=0022301064&amp;Season=2023-24&amp;flag=1&amp;title=Leonard%2011'%20driving%20Hook%20(10%20PTS)", "11' driving Hook (10 PTS)")</f>
        <v>11' driving Hook (10 PTS)</v>
      </c>
      <c r="L812" s="2" t="str">
        <f>HYPERLINK("https://www.nba.com/game/...-vs-...-0022301064/play-by-play?watchFullGame=true", "LAC vs ORL - Q2 01:27.00")</f>
        <v>LAC vs ORL - Q2 01:27.00</v>
      </c>
      <c r="M812">
        <v>11.13</v>
      </c>
      <c r="N812">
        <v>17.43</v>
      </c>
      <c r="O812">
        <v>49.75</v>
      </c>
      <c r="P812">
        <v>1</v>
      </c>
      <c r="Q812">
        <v>111</v>
      </c>
      <c r="R812">
        <v>17</v>
      </c>
      <c r="S812">
        <v>49</v>
      </c>
    </row>
    <row r="813" spans="1:19" hidden="1" x14ac:dyDescent="0.25">
      <c r="A813">
        <v>22201229</v>
      </c>
      <c r="B813" t="s">
        <v>18</v>
      </c>
      <c r="C813" t="s">
        <v>19</v>
      </c>
      <c r="D813">
        <v>59</v>
      </c>
      <c r="E813">
        <v>53</v>
      </c>
      <c r="F813">
        <v>6</v>
      </c>
      <c r="G813">
        <v>3</v>
      </c>
      <c r="H813" s="1">
        <v>6.5277777777777782E-3</v>
      </c>
      <c r="I813">
        <v>2022</v>
      </c>
      <c r="J813" t="s">
        <v>83</v>
      </c>
      <c r="K813" s="2" t="str">
        <f>HYPERLINK("https://www.nba.com/stats/events?CFID=&amp;CFPARAMS=&amp;GameEventID=369&amp;GameID=0022201229&amp;Season=2022-23&amp;flag=1&amp;title=Leonard%2011'%20pullup%20Jump%20Shot%20(10%20PTS)", "11' pullup Jump Shot (10 PTS)")</f>
        <v>11' pullup Jump Shot (10 PTS)</v>
      </c>
      <c r="L813" s="2" t="str">
        <f>HYPERLINK("https://www.nba.com/game/...-vs-...-0022201229/play-by-play?watchFullGame=true", "LAC vs PHX - Q3 09:24.00")</f>
        <v>LAC vs PHX - Q3 09:24.00</v>
      </c>
      <c r="M813">
        <v>11.01</v>
      </c>
      <c r="N813">
        <v>17.3</v>
      </c>
      <c r="O813">
        <v>50</v>
      </c>
      <c r="P813">
        <v>17</v>
      </c>
      <c r="Q813">
        <v>110</v>
      </c>
      <c r="R813">
        <v>17</v>
      </c>
      <c r="S813">
        <v>50</v>
      </c>
    </row>
    <row r="814" spans="1:19" hidden="1" x14ac:dyDescent="0.25">
      <c r="A814">
        <v>22200719</v>
      </c>
      <c r="B814" t="s">
        <v>18</v>
      </c>
      <c r="C814" t="s">
        <v>19</v>
      </c>
      <c r="D814">
        <v>92</v>
      </c>
      <c r="E814">
        <v>76</v>
      </c>
      <c r="F814">
        <v>16</v>
      </c>
      <c r="G814">
        <v>3</v>
      </c>
      <c r="H814" s="1">
        <v>2.5925925925925925E-3</v>
      </c>
      <c r="I814">
        <v>2022</v>
      </c>
      <c r="J814" t="s">
        <v>83</v>
      </c>
      <c r="K814" s="2" t="str">
        <f>HYPERLINK("https://www.nba.com/stats/events?CFID=&amp;CFPARAMS=&amp;GameEventID=439&amp;GameID=0022200719&amp;Season=2022-23&amp;flag=1&amp;title=Leonard%2010'%20driving%20floating%20Jump%20Shot%20(18%20PTS)", "10' driving floating Jump Shot (18 PTS)")</f>
        <v>10' driving floating Jump Shot (18 PTS)</v>
      </c>
      <c r="L814" s="2" t="str">
        <f>HYPERLINK("https://www.nba.com/game/...-vs-...-0022200719/play-by-play?watchFullGame=true", "LAC vs LAL - Q3 03:44.00")</f>
        <v>LAC vs LAL - Q3 03:44.00</v>
      </c>
      <c r="M814">
        <v>10.93</v>
      </c>
      <c r="N814">
        <v>17.13</v>
      </c>
      <c r="O814">
        <v>52.7</v>
      </c>
      <c r="P814">
        <v>-13</v>
      </c>
      <c r="Q814">
        <v>109</v>
      </c>
      <c r="R814">
        <v>17</v>
      </c>
      <c r="S814">
        <v>52</v>
      </c>
    </row>
    <row r="815" spans="1:19" hidden="1" x14ac:dyDescent="0.25">
      <c r="A815">
        <v>22201229</v>
      </c>
      <c r="B815" t="s">
        <v>18</v>
      </c>
      <c r="C815" t="s">
        <v>19</v>
      </c>
      <c r="D815">
        <v>115</v>
      </c>
      <c r="E815">
        <v>109</v>
      </c>
      <c r="F815">
        <v>6</v>
      </c>
      <c r="G815">
        <v>4</v>
      </c>
      <c r="H815" s="1">
        <v>2.1759259259259258E-3</v>
      </c>
      <c r="I815">
        <v>2022</v>
      </c>
      <c r="J815" t="s">
        <v>83</v>
      </c>
      <c r="K815" s="2" t="str">
        <f>HYPERLINK("https://www.nba.com/stats/events?CFID=&amp;CFPARAMS=&amp;GameEventID=622&amp;GameID=0022201229&amp;Season=2022-23&amp;flag=1&amp;title=Leonard%2010'%20floating%20Jump%20Shot%20(21%20PTS)%20(R.%20Westbrook%209%20AST)", "10' floating Jump Shot (21 PTS) (R. Westbrook 9 AST)")</f>
        <v>10' floating Jump Shot (21 PTS) (R. Westbrook 9 AST)</v>
      </c>
      <c r="L815" s="2" t="str">
        <f>HYPERLINK("https://www.nba.com/game/...-vs-...-0022201229/play-by-play?watchFullGame=true", "LAC vs PHX - Q4 03:08.00")</f>
        <v>LAC vs PHX - Q4 03:08.00</v>
      </c>
      <c r="M815">
        <v>10.88</v>
      </c>
      <c r="N815">
        <v>17.03</v>
      </c>
      <c r="O815">
        <v>46.81</v>
      </c>
      <c r="P815">
        <v>16</v>
      </c>
      <c r="Q815">
        <v>108</v>
      </c>
      <c r="R815">
        <v>17</v>
      </c>
      <c r="S815">
        <v>46</v>
      </c>
    </row>
    <row r="816" spans="1:19" hidden="1" x14ac:dyDescent="0.25">
      <c r="A816">
        <v>22300304</v>
      </c>
      <c r="B816" t="s">
        <v>26</v>
      </c>
      <c r="C816" t="s">
        <v>19</v>
      </c>
      <c r="D816">
        <v>89</v>
      </c>
      <c r="E816">
        <v>88</v>
      </c>
      <c r="F816">
        <v>1</v>
      </c>
      <c r="G816">
        <v>3</v>
      </c>
      <c r="H816" s="1">
        <v>3.449074074074074E-3</v>
      </c>
      <c r="I816">
        <v>2023</v>
      </c>
      <c r="J816" t="s">
        <v>83</v>
      </c>
      <c r="K816" s="2" t="str">
        <f>HYPERLINK("https://www.nba.com/stats/events?CFID=&amp;CFPARAMS=&amp;GameEventID=379&amp;GameID=0022300304&amp;Season=2023-24&amp;flag=1&amp;title=Leonard%2025'%203PT%20pullup%20(17%20PTS)%20(R.%20Westbrook%205%20AST)", "25' 3PT pullup (17 PTS) (R. Westbrook 5 AST)")</f>
        <v>25' 3PT pullup (17 PTS) (R. Westbrook 5 AST)</v>
      </c>
      <c r="L816" s="2" t="str">
        <f>HYPERLINK("https://www.nba.com/game/...-vs-...-0022300304/play-by-play?watchFullGame=true", "LAC vs POR - Q3 04:58.00")</f>
        <v>LAC vs POR - Q3 04:58.00</v>
      </c>
      <c r="M816">
        <v>25.58</v>
      </c>
      <c r="N816">
        <v>18.18</v>
      </c>
      <c r="O816">
        <v>4.66</v>
      </c>
      <c r="P816">
        <v>227</v>
      </c>
      <c r="Q816">
        <v>118</v>
      </c>
      <c r="R816">
        <v>18</v>
      </c>
      <c r="S816">
        <v>4</v>
      </c>
    </row>
    <row r="817" spans="1:19" hidden="1" x14ac:dyDescent="0.25">
      <c r="A817">
        <v>22200617</v>
      </c>
      <c r="B817" t="s">
        <v>26</v>
      </c>
      <c r="C817" t="s">
        <v>19</v>
      </c>
      <c r="D817">
        <v>107</v>
      </c>
      <c r="E817">
        <v>96</v>
      </c>
      <c r="F817">
        <v>11</v>
      </c>
      <c r="G817">
        <v>4</v>
      </c>
      <c r="H817" s="1">
        <v>1.5856481481481481E-3</v>
      </c>
      <c r="I817">
        <v>2022</v>
      </c>
      <c r="J817" t="s">
        <v>83</v>
      </c>
      <c r="K817" s="2" t="str">
        <f>HYPERLINK("https://www.nba.com/stats/events?CFID=&amp;CFPARAMS=&amp;GameEventID=586&amp;GameID=0022200617&amp;Season=2022-23&amp;flag=1&amp;title=Leonard%2025'%203PT%20pullup%20(30%20PTS)", "25' 3PT pullup (30 PTS)")</f>
        <v>25' 3PT pullup (30 PTS)</v>
      </c>
      <c r="L817" s="2" t="str">
        <f>HYPERLINK("https://www.nba.com/game/...-vs-...-0022200617/play-by-play?watchFullGame=true", "LAC vs DAL - Q4 02:17.00")</f>
        <v>LAC vs DAL - Q4 02:17.00</v>
      </c>
      <c r="M817">
        <v>25.54</v>
      </c>
      <c r="N817">
        <v>18.579999999999998</v>
      </c>
      <c r="O817">
        <v>5.15</v>
      </c>
      <c r="P817">
        <v>224</v>
      </c>
      <c r="Q817">
        <v>122</v>
      </c>
      <c r="R817">
        <v>18</v>
      </c>
      <c r="S817">
        <v>5</v>
      </c>
    </row>
    <row r="818" spans="1:19" hidden="1" x14ac:dyDescent="0.25">
      <c r="A818">
        <v>22300304</v>
      </c>
      <c r="B818" t="s">
        <v>26</v>
      </c>
      <c r="C818" t="s">
        <v>19</v>
      </c>
      <c r="D818">
        <v>86</v>
      </c>
      <c r="E818">
        <v>85</v>
      </c>
      <c r="F818">
        <v>1</v>
      </c>
      <c r="G818">
        <v>3</v>
      </c>
      <c r="H818" s="1">
        <v>4.1898148148148146E-3</v>
      </c>
      <c r="I818">
        <v>2023</v>
      </c>
      <c r="J818" t="s">
        <v>83</v>
      </c>
      <c r="K818" s="2" t="str">
        <f>HYPERLINK("https://www.nba.com/stats/events?CFID=&amp;CFPARAMS=&amp;GameEventID=367&amp;GameID=0022300304&amp;Season=2023-24&amp;flag=1&amp;title=Leonard%2024'%203PT%20%20(14%20PTS)%20(P.%20George%206%20AST)", "24' 3PT  (14 PTS) (P. George 6 AST)")</f>
        <v>24' 3PT  (14 PTS) (P. George 6 AST)</v>
      </c>
      <c r="L818" s="2" t="str">
        <f>HYPERLINK("https://www.nba.com/game/...-vs-...-0022300304/play-by-play?watchFullGame=true", "LAC vs POR - Q3 06:02.00")</f>
        <v>LAC vs POR - Q3 06:02.00</v>
      </c>
      <c r="M818">
        <v>24.93</v>
      </c>
      <c r="N818">
        <v>18.18</v>
      </c>
      <c r="O818">
        <v>6.13</v>
      </c>
      <c r="P818">
        <v>219</v>
      </c>
      <c r="Q818">
        <v>118</v>
      </c>
      <c r="R818">
        <v>18</v>
      </c>
      <c r="S818">
        <v>6</v>
      </c>
    </row>
    <row r="819" spans="1:19" hidden="1" x14ac:dyDescent="0.25">
      <c r="A819">
        <v>22300553</v>
      </c>
      <c r="B819" t="s">
        <v>26</v>
      </c>
      <c r="C819" t="s">
        <v>19</v>
      </c>
      <c r="D819">
        <v>38</v>
      </c>
      <c r="E819">
        <v>37</v>
      </c>
      <c r="F819">
        <v>1</v>
      </c>
      <c r="G819">
        <v>2</v>
      </c>
      <c r="H819" s="1">
        <v>3.5300925925925925E-3</v>
      </c>
      <c r="I819">
        <v>2023</v>
      </c>
      <c r="J819" t="s">
        <v>83</v>
      </c>
      <c r="K819" s="2" t="str">
        <f>HYPERLINK("https://www.nba.com/stats/events?CFID=&amp;CFPARAMS=&amp;GameEventID=216&amp;GameID=0022300553&amp;Season=2023-24&amp;flag=1&amp;title=Leonard%2024'%203PT%20%20(11%20PTS)%20(P.%20George%202%20AST)", "24' 3PT  (11 PTS) (P. George 2 AST)")</f>
        <v>24' 3PT  (11 PTS) (P. George 2 AST)</v>
      </c>
      <c r="L819" s="2" t="str">
        <f>HYPERLINK("https://www.nba.com/game/...-vs-...-0022300553/play-by-play?watchFullGame=true", "LAC vs MIN - Q2 05:05.00")</f>
        <v>LAC vs MIN - Q2 05:05.00</v>
      </c>
      <c r="M819">
        <v>24.54</v>
      </c>
      <c r="N819">
        <v>18.739999999999998</v>
      </c>
      <c r="O819">
        <v>92.4</v>
      </c>
      <c r="P819">
        <v>-212</v>
      </c>
      <c r="Q819">
        <v>124</v>
      </c>
      <c r="R819">
        <v>18</v>
      </c>
      <c r="S819">
        <v>92</v>
      </c>
    </row>
    <row r="820" spans="1:19" hidden="1" x14ac:dyDescent="0.25">
      <c r="A820">
        <v>21901307</v>
      </c>
      <c r="B820" t="s">
        <v>18</v>
      </c>
      <c r="C820" t="s">
        <v>84</v>
      </c>
      <c r="D820">
        <v>41</v>
      </c>
      <c r="E820">
        <v>45</v>
      </c>
      <c r="F820">
        <v>4</v>
      </c>
      <c r="G820">
        <v>2</v>
      </c>
      <c r="H820" s="1">
        <v>3.6921296296296298E-3</v>
      </c>
      <c r="I820">
        <v>2019</v>
      </c>
      <c r="J820" t="s">
        <v>83</v>
      </c>
      <c r="K820" s="2" t="str">
        <f>HYPERLINK("https://www.nba.com/stats/events?CFID=&amp;CFPARAMS=&amp;GameEventID=249&amp;GameID=0021901307&amp;Season=2019-20&amp;flag=1&amp;title=Leonard%2020'%20jumpshot%20(10%20PTS)", "20' jumpshot (10 PTS)")</f>
        <v>20' jumpshot (10 PTS)</v>
      </c>
      <c r="L820" s="2" t="str">
        <f>HYPERLINK("https://www.nba.com/game/...-vs-...-0021901307/play-by-play?watchFullGame=true", "LAC vs DEN - Q2 05:19.00")</f>
        <v>LAC vs DEN - Q2 05:19.00</v>
      </c>
      <c r="M820">
        <v>19.510000000000002</v>
      </c>
      <c r="N820">
        <v>18.22</v>
      </c>
      <c r="O820">
        <v>19.920000000000002</v>
      </c>
      <c r="P820">
        <v>150</v>
      </c>
      <c r="Q820">
        <v>119</v>
      </c>
      <c r="R820">
        <v>18</v>
      </c>
      <c r="S820">
        <v>19</v>
      </c>
    </row>
    <row r="821" spans="1:19" hidden="1" x14ac:dyDescent="0.25">
      <c r="A821">
        <v>22000472</v>
      </c>
      <c r="B821" t="s">
        <v>18</v>
      </c>
      <c r="C821" t="s">
        <v>19</v>
      </c>
      <c r="D821">
        <v>55</v>
      </c>
      <c r="E821">
        <v>60</v>
      </c>
      <c r="F821">
        <v>5</v>
      </c>
      <c r="G821">
        <v>3</v>
      </c>
      <c r="H821" s="1">
        <v>7.3958333333333333E-3</v>
      </c>
      <c r="I821">
        <v>2020</v>
      </c>
      <c r="J821" t="s">
        <v>83</v>
      </c>
      <c r="K821" s="2" t="str">
        <f>HYPERLINK("https://www.nba.com/stats/events?CFID=&amp;CFPARAMS=&amp;GameEventID=334&amp;GameID=0022000472&amp;Season=2020-21&amp;flag=1&amp;title=Leonard%2018'%20pullup%20Jump%20Shot%20(20%20PTS)%20(P.%20Beverley%201%20AST)", "18' pullup Jump Shot (20 PTS) (P. Beverley 1 AST)")</f>
        <v>18' pullup Jump Shot (20 PTS) (P. Beverley 1 AST)</v>
      </c>
      <c r="L821" s="2" t="str">
        <f>HYPERLINK("https://www.nba.com/game/...-vs-...-0022000472/play-by-play?watchFullGame=true", "LAC vs BKN - Q3 10:39.00")</f>
        <v>LAC vs BKN - Q3 10:39.00</v>
      </c>
      <c r="M821">
        <v>18.78</v>
      </c>
      <c r="N821">
        <v>18.22</v>
      </c>
      <c r="O821">
        <v>20.9</v>
      </c>
      <c r="P821">
        <v>145</v>
      </c>
      <c r="Q821">
        <v>119</v>
      </c>
      <c r="R821">
        <v>18</v>
      </c>
      <c r="S821">
        <v>20</v>
      </c>
    </row>
    <row r="822" spans="1:19" hidden="1" x14ac:dyDescent="0.25">
      <c r="A822">
        <v>22200480</v>
      </c>
      <c r="B822" t="s">
        <v>18</v>
      </c>
      <c r="C822" t="s">
        <v>19</v>
      </c>
      <c r="D822">
        <v>67</v>
      </c>
      <c r="E822">
        <v>55</v>
      </c>
      <c r="F822">
        <v>12</v>
      </c>
      <c r="G822">
        <v>3</v>
      </c>
      <c r="H822" s="1">
        <v>7.083333333333333E-3</v>
      </c>
      <c r="I822">
        <v>2022</v>
      </c>
      <c r="J822" t="s">
        <v>83</v>
      </c>
      <c r="K822" s="2" t="str">
        <f>HYPERLINK("https://www.nba.com/stats/events?CFID=&amp;CFPARAMS=&amp;GameEventID=308&amp;GameID=0022200480&amp;Season=2022-23&amp;flag=1&amp;title=Leonard%2017'%20pullup%20Jump%20Shot%20(17%20PTS)", "17' pullup Jump Shot (17 PTS)")</f>
        <v>17' pullup Jump Shot (17 PTS)</v>
      </c>
      <c r="L822" s="2" t="str">
        <f>HYPERLINK("https://www.nba.com/game/...-vs-...-0022200480/play-by-play?watchFullGame=true", "LAC vs PHI - Q3 10:12.00")</f>
        <v>LAC vs PHI - Q3 10:12.00</v>
      </c>
      <c r="M822">
        <v>17.739999999999998</v>
      </c>
      <c r="N822">
        <v>18.579999999999998</v>
      </c>
      <c r="O822">
        <v>24.26</v>
      </c>
      <c r="P822">
        <v>129</v>
      </c>
      <c r="Q822">
        <v>122</v>
      </c>
      <c r="R822">
        <v>18</v>
      </c>
      <c r="S822">
        <v>24</v>
      </c>
    </row>
    <row r="823" spans="1:19" hidden="1" x14ac:dyDescent="0.25">
      <c r="A823">
        <v>22400671</v>
      </c>
      <c r="B823" t="s">
        <v>18</v>
      </c>
      <c r="C823" t="s">
        <v>19</v>
      </c>
      <c r="D823">
        <v>104</v>
      </c>
      <c r="E823">
        <v>99</v>
      </c>
      <c r="F823">
        <v>5</v>
      </c>
      <c r="G823">
        <v>4</v>
      </c>
      <c r="H823" s="1">
        <v>4.4907407407407405E-3</v>
      </c>
      <c r="I823">
        <v>2024</v>
      </c>
      <c r="J823" t="s">
        <v>83</v>
      </c>
      <c r="K823" s="2" t="str">
        <f>HYPERLINK("https://www.nba.com/stats/events?CFID=&amp;CFPARAMS=&amp;GameEventID=568&amp;GameID=0022400671&amp;Season=2024-25&amp;flag=1&amp;title=Leonard%2015'%20pullup%20Jump%20Shot%20(23%20PTS)%20(J.%20Harden%2010%20AST)", "15' pullup Jump Shot (23 PTS) (J. Harden 10 AST)")</f>
        <v>15' pullup Jump Shot (23 PTS) (J. Harden 10 AST)</v>
      </c>
      <c r="L823" s="2" t="str">
        <f>HYPERLINK("https://www.nba.com/game/...-vs-...-0022400671/play-by-play?watchFullGame=true", "LAC vs SAS - Q4 06:28.00")</f>
        <v>LAC vs SAS - Q4 06:28.00</v>
      </c>
      <c r="M823">
        <v>15.63</v>
      </c>
      <c r="N823">
        <v>18.22</v>
      </c>
      <c r="O823">
        <v>29.66</v>
      </c>
      <c r="P823">
        <v>102</v>
      </c>
      <c r="Q823">
        <v>119</v>
      </c>
      <c r="R823">
        <v>18</v>
      </c>
      <c r="S823">
        <v>29</v>
      </c>
    </row>
    <row r="824" spans="1:19" hidden="1" x14ac:dyDescent="0.25">
      <c r="A824">
        <v>41900156</v>
      </c>
      <c r="B824" t="s">
        <v>18</v>
      </c>
      <c r="C824" t="s">
        <v>84</v>
      </c>
      <c r="D824">
        <v>45</v>
      </c>
      <c r="E824">
        <v>43</v>
      </c>
      <c r="F824">
        <v>2</v>
      </c>
      <c r="G824">
        <v>2</v>
      </c>
      <c r="H824" s="1">
        <v>4.5254629629629629E-3</v>
      </c>
      <c r="I824" t="s">
        <v>86</v>
      </c>
      <c r="J824" t="s">
        <v>83</v>
      </c>
      <c r="K824" s="2" t="str">
        <f>HYPERLINK("https://www.nba.com/stats/events?CFID=&amp;CFPARAMS=&amp;GameEventID=229&amp;GameID=0041900156&amp;Season=2019-20&amp;flag=1&amp;title=Leonard%2015'%20jumpshot%20(6%20PTS)", "15' jumpshot (6 PTS)")</f>
        <v>15' jumpshot (6 PTS)</v>
      </c>
      <c r="L824" s="2" t="str">
        <f>HYPERLINK("https://www.nba.com/game/...-vs-...-0041900156/play-by-play?watchFullGame=true", "LAC vs DAL - Q2 06:31.00")</f>
        <v>LAC vs DAL - Q2 06:31.00</v>
      </c>
      <c r="M824">
        <v>15.26</v>
      </c>
      <c r="N824">
        <v>18.079999999999998</v>
      </c>
      <c r="O824">
        <v>31.93</v>
      </c>
      <c r="P824">
        <v>90</v>
      </c>
      <c r="Q824">
        <v>117</v>
      </c>
      <c r="R824">
        <v>18</v>
      </c>
      <c r="S824">
        <v>31</v>
      </c>
    </row>
    <row r="825" spans="1:19" hidden="1" x14ac:dyDescent="0.25">
      <c r="A825">
        <v>21900339</v>
      </c>
      <c r="B825" t="s">
        <v>18</v>
      </c>
      <c r="C825" t="s">
        <v>84</v>
      </c>
      <c r="D825">
        <v>84</v>
      </c>
      <c r="E825">
        <v>70</v>
      </c>
      <c r="F825">
        <v>14</v>
      </c>
      <c r="G825">
        <v>3</v>
      </c>
      <c r="H825" s="1">
        <v>4.8611111111111112E-3</v>
      </c>
      <c r="I825">
        <v>2019</v>
      </c>
      <c r="J825" t="s">
        <v>83</v>
      </c>
      <c r="K825" s="2" t="str">
        <f>HYPERLINK("https://www.nba.com/stats/events?CFID=&amp;CFPARAMS=&amp;GameEventID=450&amp;GameID=0021900339&amp;Season=2019-20&amp;flag=1&amp;title=Leonard%2016'%20jumpshot%20(22%20PTS)", "16' jumpshot (22 PTS)")</f>
        <v>16' jumpshot (22 PTS)</v>
      </c>
      <c r="L825" s="2" t="str">
        <f>HYPERLINK("https://www.nba.com/game/...-vs-...-0021900339/play-by-play?watchFullGame=true", "LAC vs WAS - Q3 07:00.00")</f>
        <v>LAC vs WAS - Q3 07:00.00</v>
      </c>
      <c r="M825">
        <v>15.63</v>
      </c>
      <c r="N825">
        <v>18.579999999999998</v>
      </c>
      <c r="O825">
        <v>68.069999999999993</v>
      </c>
      <c r="P825">
        <v>-90</v>
      </c>
      <c r="Q825">
        <v>122</v>
      </c>
      <c r="R825">
        <v>18</v>
      </c>
      <c r="S825">
        <v>68</v>
      </c>
    </row>
    <row r="826" spans="1:19" hidden="1" x14ac:dyDescent="0.25">
      <c r="A826">
        <v>22400715</v>
      </c>
      <c r="B826" t="s">
        <v>18</v>
      </c>
      <c r="C826" t="s">
        <v>19</v>
      </c>
      <c r="D826">
        <v>58</v>
      </c>
      <c r="E826">
        <v>75</v>
      </c>
      <c r="F826">
        <v>17</v>
      </c>
      <c r="G826">
        <v>3</v>
      </c>
      <c r="H826" s="1">
        <v>7.060185185185185E-3</v>
      </c>
      <c r="I826">
        <v>2024</v>
      </c>
      <c r="J826" t="s">
        <v>83</v>
      </c>
      <c r="K826" s="2" t="str">
        <f>HYPERLINK("https://www.nba.com/stats/events?CFID=&amp;CFPARAMS=&amp;GameEventID=338&amp;GameID=0022400715&amp;Season=2024-25&amp;flag=1&amp;title=Leonard%2014'%20pullup%20Jump%20Shot%20(7%20PTS)%20(I.%20Zubac%203%20AST)", "14' pullup Jump Shot (7 PTS) (I. Zubac 3 AST)")</f>
        <v>14' pullup Jump Shot (7 PTS) (I. Zubac 3 AST)</v>
      </c>
      <c r="L826" s="2" t="str">
        <f>HYPERLINK("https://www.nba.com/game/...-vs-...-0022400715/play-by-play?watchFullGame=true", "LAC vs LAL - Q3 10:10.00")</f>
        <v>LAC vs LAL - Q3 10:10.00</v>
      </c>
      <c r="M826">
        <v>14.61</v>
      </c>
      <c r="N826">
        <v>18.350000000000001</v>
      </c>
      <c r="O826">
        <v>33.33</v>
      </c>
      <c r="P826">
        <v>83</v>
      </c>
      <c r="Q826">
        <v>120</v>
      </c>
      <c r="R826">
        <v>18</v>
      </c>
      <c r="S826">
        <v>33</v>
      </c>
    </row>
    <row r="827" spans="1:19" hidden="1" x14ac:dyDescent="0.25">
      <c r="A827">
        <v>22300537</v>
      </c>
      <c r="B827" t="s">
        <v>18</v>
      </c>
      <c r="C827" t="s">
        <v>19</v>
      </c>
      <c r="D827">
        <v>23</v>
      </c>
      <c r="E827">
        <v>26</v>
      </c>
      <c r="F827">
        <v>3</v>
      </c>
      <c r="G827">
        <v>1</v>
      </c>
      <c r="H827" s="1">
        <v>1.1805555555555555E-4</v>
      </c>
      <c r="I827">
        <v>2023</v>
      </c>
      <c r="J827" t="s">
        <v>83</v>
      </c>
      <c r="K827" s="2" t="str">
        <f>HYPERLINK("https://www.nba.com/stats/events?CFID=&amp;CFPARAMS=&amp;GameEventID=155&amp;GameID=0022300537&amp;Season=2023-24&amp;flag=1&amp;title=Leonard%2014'%20pullup%20Jump%20Shot%20(8%20PTS)", "14' pullup Jump Shot (8 PTS)")</f>
        <v>14' pullup Jump Shot (8 PTS)</v>
      </c>
      <c r="L827" s="2" t="str">
        <f>HYPERLINK("https://www.nba.com/game/...-vs-...-0022300537/play-by-play?watchFullGame=true", "LAC vs MEM - Q1 00:10.20")</f>
        <v>LAC vs MEM - Q1 00:10.20</v>
      </c>
      <c r="M827">
        <v>14.39</v>
      </c>
      <c r="N827">
        <v>18.739999999999998</v>
      </c>
      <c r="O827">
        <v>35.29</v>
      </c>
      <c r="P827">
        <v>74</v>
      </c>
      <c r="Q827">
        <v>124</v>
      </c>
      <c r="R827">
        <v>18</v>
      </c>
      <c r="S827">
        <v>35</v>
      </c>
    </row>
    <row r="828" spans="1:19" hidden="1" x14ac:dyDescent="0.25">
      <c r="A828">
        <v>21901307</v>
      </c>
      <c r="B828" t="s">
        <v>18</v>
      </c>
      <c r="C828" t="s">
        <v>84</v>
      </c>
      <c r="D828">
        <v>21</v>
      </c>
      <c r="E828">
        <v>22</v>
      </c>
      <c r="F828">
        <v>1</v>
      </c>
      <c r="G828">
        <v>1</v>
      </c>
      <c r="H828" s="1">
        <v>1.3194444444444445E-3</v>
      </c>
      <c r="I828">
        <v>2019</v>
      </c>
      <c r="J828" t="s">
        <v>83</v>
      </c>
      <c r="K828" s="2" t="str">
        <f>HYPERLINK("https://www.nba.com/stats/events?CFID=&amp;CFPARAMS=&amp;GameEventID=131&amp;GameID=0021901307&amp;Season=2019-20&amp;flag=1&amp;title=Leonard%2014'%20jumpshot%20(8%20PTS)%20(R.%20McGruder%201%20AST)", "14' jumpshot (8 PTS) (R. McGruder 1 AST)")</f>
        <v>14' jumpshot (8 PTS) (R. McGruder 1 AST)</v>
      </c>
      <c r="L828" s="2" t="str">
        <f>HYPERLINK("https://www.nba.com/game/...-vs-...-0021901307/play-by-play?watchFullGame=true", "LAC vs DEN - Q1 01:54.00")</f>
        <v>LAC vs DEN - Q1 01:54.00</v>
      </c>
      <c r="M828">
        <v>14.23</v>
      </c>
      <c r="N828">
        <v>18.350000000000001</v>
      </c>
      <c r="O828">
        <v>36.590000000000003</v>
      </c>
      <c r="P828">
        <v>67</v>
      </c>
      <c r="Q828">
        <v>120</v>
      </c>
      <c r="R828">
        <v>18</v>
      </c>
      <c r="S828">
        <v>36</v>
      </c>
    </row>
    <row r="829" spans="1:19" hidden="1" x14ac:dyDescent="0.25">
      <c r="A829">
        <v>41900237</v>
      </c>
      <c r="B829" t="s">
        <v>18</v>
      </c>
      <c r="C829" t="s">
        <v>84</v>
      </c>
      <c r="D829">
        <v>67</v>
      </c>
      <c r="E829">
        <v>73</v>
      </c>
      <c r="F829">
        <v>6</v>
      </c>
      <c r="G829">
        <v>3</v>
      </c>
      <c r="H829" s="1">
        <v>3.5069444444444445E-3</v>
      </c>
      <c r="I829" t="s">
        <v>85</v>
      </c>
      <c r="J829" t="s">
        <v>83</v>
      </c>
      <c r="K829" s="2" t="str">
        <f>HYPERLINK("https://www.nba.com/stats/events?CFID=&amp;CFPARAMS=&amp;GameEventID=394&amp;GameID=0041900237&amp;Season=2019-20&amp;flag=1&amp;title=Leonard%2014'%20jumpshot%20(14%20PTS)%20(L.%20Williams%205%20AST)", "14' jumpshot (14 PTS) (L. Williams 5 AST)")</f>
        <v>14' jumpshot (14 PTS) (L. Williams 5 AST)</v>
      </c>
      <c r="L829" s="2" t="str">
        <f>HYPERLINK("https://www.nba.com/game/...-vs-...-0041900237/play-by-play?watchFullGame=true", "LAC vs DEN - Q3 05:03.00")</f>
        <v>LAC vs DEN - Q3 05:03.00</v>
      </c>
      <c r="M829">
        <v>13.91</v>
      </c>
      <c r="N829">
        <v>18.48</v>
      </c>
      <c r="O829">
        <v>38.549999999999997</v>
      </c>
      <c r="P829">
        <v>57</v>
      </c>
      <c r="Q829">
        <v>121</v>
      </c>
      <c r="R829">
        <v>18</v>
      </c>
      <c r="S829">
        <v>38</v>
      </c>
    </row>
    <row r="830" spans="1:19" hidden="1" x14ac:dyDescent="0.25">
      <c r="A830">
        <v>21900499</v>
      </c>
      <c r="B830" t="s">
        <v>18</v>
      </c>
      <c r="C830" t="s">
        <v>84</v>
      </c>
      <c r="D830">
        <v>66</v>
      </c>
      <c r="E830">
        <v>52</v>
      </c>
      <c r="F830">
        <v>14</v>
      </c>
      <c r="G830">
        <v>3</v>
      </c>
      <c r="H830" s="1">
        <v>5.5787037037037038E-3</v>
      </c>
      <c r="I830">
        <v>2019</v>
      </c>
      <c r="J830" t="s">
        <v>83</v>
      </c>
      <c r="K830" s="2" t="str">
        <f>HYPERLINK("https://www.nba.com/stats/events?CFID=&amp;CFPARAMS=&amp;GameEventID=386&amp;GameID=0021900499&amp;Season=2019-20&amp;flag=1&amp;title=Leonard%2014'%20jumpshot%20(14%20PTS)", "14' jumpshot (14 PTS)")</f>
        <v>14' jumpshot (14 PTS)</v>
      </c>
      <c r="L830" s="2" t="str">
        <f>HYPERLINK("https://www.nba.com/game/...-vs-...-0021900499/play-by-play?watchFullGame=true", "LAC vs SAC - Q3 08:02.00")</f>
        <v>LAC vs SAC - Q3 08:02.00</v>
      </c>
      <c r="M830">
        <v>13.76</v>
      </c>
      <c r="N830">
        <v>18.87</v>
      </c>
      <c r="O830">
        <v>41.25</v>
      </c>
      <c r="P830">
        <v>44</v>
      </c>
      <c r="Q830">
        <v>125</v>
      </c>
      <c r="R830">
        <v>18</v>
      </c>
      <c r="S830">
        <v>41</v>
      </c>
    </row>
    <row r="831" spans="1:19" hidden="1" x14ac:dyDescent="0.25">
      <c r="A831">
        <v>22000350</v>
      </c>
      <c r="B831" t="s">
        <v>18</v>
      </c>
      <c r="C831" t="s">
        <v>19</v>
      </c>
      <c r="D831">
        <v>17</v>
      </c>
      <c r="E831">
        <v>7</v>
      </c>
      <c r="F831">
        <v>10</v>
      </c>
      <c r="G831">
        <v>1</v>
      </c>
      <c r="H831" s="1">
        <v>4.4907407407407405E-3</v>
      </c>
      <c r="I831">
        <v>2020</v>
      </c>
      <c r="J831" t="s">
        <v>83</v>
      </c>
      <c r="K831" s="2" t="str">
        <f>HYPERLINK("https://www.nba.com/stats/events?CFID=&amp;CFPARAMS=&amp;GameEventID=73&amp;GameID=0022000350&amp;Season=2020-21&amp;flag=1&amp;title=Leonard%2013'%20turnaround%20Jump%20Shot%20(7%20PTS)", "13' turnaround Jump Shot (7 PTS)")</f>
        <v>13' turnaround Jump Shot (7 PTS)</v>
      </c>
      <c r="L831" s="2" t="str">
        <f>HYPERLINK("https://www.nba.com/game/...-vs-...-0022000350/play-by-play?watchFullGame=true", "LAC vs BOS - Q1 06:28.00")</f>
        <v>LAC vs BOS - Q1 06:28.00</v>
      </c>
      <c r="M831">
        <v>13.68</v>
      </c>
      <c r="N831">
        <v>18.739999999999998</v>
      </c>
      <c r="O831">
        <v>38.299999999999997</v>
      </c>
      <c r="P831">
        <v>58</v>
      </c>
      <c r="Q831">
        <v>124</v>
      </c>
      <c r="R831">
        <v>18</v>
      </c>
      <c r="S831">
        <v>38</v>
      </c>
    </row>
    <row r="832" spans="1:19" hidden="1" x14ac:dyDescent="0.25">
      <c r="A832">
        <v>22201096</v>
      </c>
      <c r="B832" t="s">
        <v>18</v>
      </c>
      <c r="C832" t="s">
        <v>19</v>
      </c>
      <c r="D832">
        <v>65</v>
      </c>
      <c r="E832">
        <v>65</v>
      </c>
      <c r="F832">
        <v>0</v>
      </c>
      <c r="G832">
        <v>3</v>
      </c>
      <c r="H832" s="1">
        <v>5.208333333333333E-3</v>
      </c>
      <c r="I832">
        <v>2022</v>
      </c>
      <c r="J832" t="s">
        <v>83</v>
      </c>
      <c r="K832" s="2" t="str">
        <f>HYPERLINK("https://www.nba.com/stats/events?CFID=&amp;CFPARAMS=&amp;GameEventID=388&amp;GameID=0022201096&amp;Season=2022-23&amp;flag=1&amp;title=Leonard%2013'%20pullup%20Jump%20Shot%20(19%20PTS)%20(I.%20Zubac%201%20AST)", "13' pullup Jump Shot (19 PTS) (I. Zubac 1 AST)")</f>
        <v>13' pullup Jump Shot (19 PTS) (I. Zubac 1 AST)</v>
      </c>
      <c r="L832" s="2" t="str">
        <f>HYPERLINK("https://www.nba.com/game/...-vs-...-0022201096/play-by-play?watchFullGame=true", "LAC vs OKC - Q3 07:30.00")</f>
        <v>LAC vs OKC - Q3 07:30.00</v>
      </c>
      <c r="M832">
        <v>13.57</v>
      </c>
      <c r="N832">
        <v>18.18</v>
      </c>
      <c r="O832">
        <v>63.24</v>
      </c>
      <c r="P832">
        <v>-66</v>
      </c>
      <c r="Q832">
        <v>118</v>
      </c>
      <c r="R832">
        <v>18</v>
      </c>
      <c r="S832">
        <v>63</v>
      </c>
    </row>
    <row r="833" spans="1:19" hidden="1" x14ac:dyDescent="0.25">
      <c r="A833">
        <v>41900153</v>
      </c>
      <c r="B833" t="s">
        <v>18</v>
      </c>
      <c r="C833" t="s">
        <v>84</v>
      </c>
      <c r="D833">
        <v>48</v>
      </c>
      <c r="E833">
        <v>41</v>
      </c>
      <c r="F833">
        <v>7</v>
      </c>
      <c r="G833">
        <v>2</v>
      </c>
      <c r="H833" s="1">
        <v>3.2060185185185186E-3</v>
      </c>
      <c r="I833" t="s">
        <v>86</v>
      </c>
      <c r="J833" t="s">
        <v>83</v>
      </c>
      <c r="K833" s="2" t="str">
        <f>HYPERLINK("https://www.nba.com/stats/events?CFID=&amp;CFPARAMS=&amp;GameEventID=260&amp;GameID=0041900153&amp;Season=2019-20&amp;flag=1&amp;title=Leonard%2013'%20jumpshot%20(14%20PTS)", "13' jumpshot (14 PTS)")</f>
        <v>13' jumpshot (14 PTS)</v>
      </c>
      <c r="L833" s="2" t="str">
        <f>HYPERLINK("https://www.nba.com/game/...-vs-...-0041900153/play-by-play?watchFullGame=true", "LAC vs DAL - Q2 04:37.00")</f>
        <v>LAC vs DAL - Q2 04:37.00</v>
      </c>
      <c r="M833">
        <v>13.43</v>
      </c>
      <c r="N833">
        <v>18.48</v>
      </c>
      <c r="O833">
        <v>58.89</v>
      </c>
      <c r="P833">
        <v>-44</v>
      </c>
      <c r="Q833">
        <v>121</v>
      </c>
      <c r="R833">
        <v>18</v>
      </c>
      <c r="S833">
        <v>58</v>
      </c>
    </row>
    <row r="834" spans="1:19" hidden="1" x14ac:dyDescent="0.25">
      <c r="A834">
        <v>21900276</v>
      </c>
      <c r="B834" t="s">
        <v>18</v>
      </c>
      <c r="C834" t="s">
        <v>84</v>
      </c>
      <c r="D834">
        <v>42</v>
      </c>
      <c r="E834">
        <v>40</v>
      </c>
      <c r="F834">
        <v>2</v>
      </c>
      <c r="G834">
        <v>2</v>
      </c>
      <c r="H834" s="1">
        <v>4.6874999999999998E-3</v>
      </c>
      <c r="I834">
        <v>2019</v>
      </c>
      <c r="J834" t="s">
        <v>83</v>
      </c>
      <c r="K834" s="2" t="str">
        <f>HYPERLINK("https://www.nba.com/stats/events?CFID=&amp;CFPARAMS=&amp;GameEventID=217&amp;GameID=0021900276&amp;Season=2019-20&amp;flag=1&amp;title=Leonard%2013'%20jumpshot%20(8%20PTS)%20(P.%20Beverley%201%20AST)", "13' jumpshot (8 PTS) (P. Beverley 1 AST)")</f>
        <v>13' jumpshot (8 PTS) (P. Beverley 1 AST)</v>
      </c>
      <c r="L834" s="2" t="str">
        <f>HYPERLINK("https://www.nba.com/game/...-vs-...-0021900276/play-by-play?watchFullGame=true", "LAC vs SAS - Q2 06:45.00")</f>
        <v>LAC vs SAS - Q2 06:45.00</v>
      </c>
      <c r="M834">
        <v>13.33</v>
      </c>
      <c r="N834">
        <v>18.48</v>
      </c>
      <c r="O834">
        <v>41.74</v>
      </c>
      <c r="P834">
        <v>41</v>
      </c>
      <c r="Q834">
        <v>121</v>
      </c>
      <c r="R834">
        <v>18</v>
      </c>
      <c r="S834">
        <v>41</v>
      </c>
    </row>
    <row r="835" spans="1:19" hidden="1" x14ac:dyDescent="0.25">
      <c r="A835">
        <v>22201069</v>
      </c>
      <c r="B835" t="s">
        <v>18</v>
      </c>
      <c r="C835" t="s">
        <v>19</v>
      </c>
      <c r="D835">
        <v>86</v>
      </c>
      <c r="E835">
        <v>77</v>
      </c>
      <c r="F835">
        <v>9</v>
      </c>
      <c r="G835">
        <v>3</v>
      </c>
      <c r="H835" s="1">
        <v>1.8518518518518519E-3</v>
      </c>
      <c r="I835">
        <v>2022</v>
      </c>
      <c r="J835" t="s">
        <v>83</v>
      </c>
      <c r="K835" s="2" t="str">
        <f>HYPERLINK("https://www.nba.com/stats/events?CFID=&amp;CFPARAMS=&amp;GameEventID=450&amp;GameID=0022201069&amp;Season=2022-23&amp;flag=1&amp;title=Leonard%2013'%20turnaround%20fadeaway%20Jump%20Shot%20(15%20PTS)", "13' turnaround fadeaway Jump Shot (15 PTS)")</f>
        <v>13' turnaround fadeaway Jump Shot (15 PTS)</v>
      </c>
      <c r="L835" s="2" t="str">
        <f>HYPERLINK("https://www.nba.com/game/...-vs-...-0022201069/play-by-play?watchFullGame=true", "LAC vs POR - Q3 02:40.00")</f>
        <v>LAC vs POR - Q3 02:40.00</v>
      </c>
      <c r="M835">
        <v>13.31</v>
      </c>
      <c r="N835">
        <v>18.48</v>
      </c>
      <c r="O835">
        <v>38.97</v>
      </c>
      <c r="P835">
        <v>55</v>
      </c>
      <c r="Q835">
        <v>121</v>
      </c>
      <c r="R835">
        <v>18</v>
      </c>
      <c r="S835">
        <v>38</v>
      </c>
    </row>
    <row r="836" spans="1:19" hidden="1" x14ac:dyDescent="0.25">
      <c r="A836">
        <v>22201004</v>
      </c>
      <c r="B836" t="s">
        <v>18</v>
      </c>
      <c r="C836" t="s">
        <v>19</v>
      </c>
      <c r="D836">
        <v>99</v>
      </c>
      <c r="E836">
        <v>85</v>
      </c>
      <c r="F836">
        <v>14</v>
      </c>
      <c r="G836">
        <v>4</v>
      </c>
      <c r="H836" s="1">
        <v>2.7314814814814814E-3</v>
      </c>
      <c r="I836">
        <v>2022</v>
      </c>
      <c r="J836" t="s">
        <v>83</v>
      </c>
      <c r="K836" s="2" t="str">
        <f>HYPERLINK("https://www.nba.com/stats/events?CFID=&amp;CFPARAMS=&amp;GameEventID=568&amp;GameID=0022201004&amp;Season=2022-23&amp;flag=1&amp;title=Leonard%2013'%20Jump%20Shot%20(34%20PTS)", "13' Jump Shot (34 PTS)")</f>
        <v>13' Jump Shot (34 PTS)</v>
      </c>
      <c r="L836" s="2" t="str">
        <f>HYPERLINK("https://www.nba.com/game/...-vs-...-0022201004/play-by-play?watchFullGame=true", "LAC vs NYK - Q4 03:56.00")</f>
        <v>LAC vs NYK - Q4 03:56.00</v>
      </c>
      <c r="M836">
        <v>13.04</v>
      </c>
      <c r="N836">
        <v>18.97</v>
      </c>
      <c r="O836">
        <v>43.14</v>
      </c>
      <c r="P836">
        <v>34</v>
      </c>
      <c r="Q836">
        <v>126</v>
      </c>
      <c r="R836">
        <v>18</v>
      </c>
      <c r="S836">
        <v>43</v>
      </c>
    </row>
    <row r="837" spans="1:19" hidden="1" x14ac:dyDescent="0.25">
      <c r="A837">
        <v>22300897</v>
      </c>
      <c r="B837" t="s">
        <v>18</v>
      </c>
      <c r="C837" t="s">
        <v>19</v>
      </c>
      <c r="D837">
        <v>80</v>
      </c>
      <c r="E837">
        <v>86</v>
      </c>
      <c r="F837">
        <v>6</v>
      </c>
      <c r="G837">
        <v>3</v>
      </c>
      <c r="H837" s="1">
        <v>6.9444444444444439E-6</v>
      </c>
      <c r="I837">
        <v>2023</v>
      </c>
      <c r="J837" t="s">
        <v>83</v>
      </c>
      <c r="K837" s="2" t="str">
        <f>HYPERLINK("https://www.nba.com/stats/events?CFID=&amp;CFPARAMS=&amp;GameEventID=447&amp;GameID=0022300897&amp;Season=2023-24&amp;flag=1&amp;title=Leonard%2012'%20fadeaway%20Jump%20Shot%20(18%20PTS)", "12' fadeaway Jump Shot (18 PTS)")</f>
        <v>12' fadeaway Jump Shot (18 PTS)</v>
      </c>
      <c r="L837" s="2" t="str">
        <f>HYPERLINK("https://www.nba.com/game/...-vs-...-0022300897/play-by-play?watchFullGame=true", "LAC vs HOU - Q3 00:00.60")</f>
        <v>LAC vs HOU - Q3 00:00.60</v>
      </c>
      <c r="M837">
        <v>12.83</v>
      </c>
      <c r="N837">
        <v>18.350000000000001</v>
      </c>
      <c r="O837">
        <v>59.07</v>
      </c>
      <c r="P837">
        <v>-45</v>
      </c>
      <c r="Q837">
        <v>120</v>
      </c>
      <c r="R837">
        <v>18</v>
      </c>
      <c r="S837">
        <v>59</v>
      </c>
    </row>
    <row r="838" spans="1:19" hidden="1" x14ac:dyDescent="0.25">
      <c r="A838">
        <v>22200639</v>
      </c>
      <c r="B838" t="s">
        <v>18</v>
      </c>
      <c r="C838" t="s">
        <v>19</v>
      </c>
      <c r="D838">
        <v>98</v>
      </c>
      <c r="E838">
        <v>108</v>
      </c>
      <c r="F838">
        <v>10</v>
      </c>
      <c r="G838">
        <v>4</v>
      </c>
      <c r="H838" s="1">
        <v>2.1296296296296298E-3</v>
      </c>
      <c r="I838">
        <v>2022</v>
      </c>
      <c r="J838" t="s">
        <v>83</v>
      </c>
      <c r="K838" s="2" t="str">
        <f>HYPERLINK("https://www.nba.com/stats/events?CFID=&amp;CFPARAMS=&amp;GameEventID=530&amp;GameID=0022200639&amp;Season=2022-23&amp;flag=1&amp;title=Leonard%2012'%20turnaround%20fadeaway%20Jump%20Shot%20(22%20PTS)", "12' turnaround fadeaway Jump Shot (22 PTS)")</f>
        <v>12' turnaround fadeaway Jump Shot (22 PTS)</v>
      </c>
      <c r="L838" s="2" t="str">
        <f>HYPERLINK("https://www.nba.com/game/...-vs-...-0022200639/play-by-play?watchFullGame=true", "LAC vs DEN - Q4 03:04.00")</f>
        <v>LAC vs DEN - Q4 03:04.00</v>
      </c>
      <c r="M838">
        <v>12.77</v>
      </c>
      <c r="N838">
        <v>18.97</v>
      </c>
      <c r="O838">
        <v>54.41</v>
      </c>
      <c r="P838">
        <v>-22</v>
      </c>
      <c r="Q838">
        <v>126</v>
      </c>
      <c r="R838">
        <v>18</v>
      </c>
      <c r="S838">
        <v>54</v>
      </c>
    </row>
    <row r="839" spans="1:19" hidden="1" x14ac:dyDescent="0.25">
      <c r="A839">
        <v>42000176</v>
      </c>
      <c r="B839" t="s">
        <v>18</v>
      </c>
      <c r="C839" t="s">
        <v>19</v>
      </c>
      <c r="D839">
        <v>73</v>
      </c>
      <c r="E839">
        <v>72</v>
      </c>
      <c r="F839">
        <v>1</v>
      </c>
      <c r="G839">
        <v>3</v>
      </c>
      <c r="H839" s="1">
        <v>1.0763888888888889E-3</v>
      </c>
      <c r="I839" t="s">
        <v>91</v>
      </c>
      <c r="J839" t="s">
        <v>83</v>
      </c>
      <c r="K839" s="2" t="str">
        <f>HYPERLINK("https://www.nba.com/stats/events?CFID=&amp;CFPARAMS=&amp;GameEventID=431&amp;GameID=0042000176&amp;Season=2020-21&amp;flag=1&amp;title=Leonard%2012'%20pullup%20Jump%20Shot%20(33%20PTS)", "12' pullup Jump Shot (33 PTS)")</f>
        <v>12' pullup Jump Shot (33 PTS)</v>
      </c>
      <c r="L839" s="2" t="str">
        <f>HYPERLINK("https://www.nba.com/game/...-vs-...-0042000176/play-by-play?watchFullGame=true", "LAC vs DAL - Q3 01:33.00")</f>
        <v>LAC vs DAL - Q3 01:33.00</v>
      </c>
      <c r="M839">
        <v>12.61</v>
      </c>
      <c r="N839">
        <v>18.350000000000001</v>
      </c>
      <c r="O839">
        <v>42.23</v>
      </c>
      <c r="P839">
        <v>18</v>
      </c>
      <c r="Q839">
        <v>42</v>
      </c>
      <c r="R839">
        <v>18</v>
      </c>
      <c r="S839">
        <v>42</v>
      </c>
    </row>
    <row r="840" spans="1:19" hidden="1" x14ac:dyDescent="0.25">
      <c r="A840">
        <v>41900233</v>
      </c>
      <c r="B840" t="s">
        <v>18</v>
      </c>
      <c r="C840" t="s">
        <v>84</v>
      </c>
      <c r="D840">
        <v>40</v>
      </c>
      <c r="E840">
        <v>46</v>
      </c>
      <c r="F840">
        <v>6</v>
      </c>
      <c r="G840">
        <v>2</v>
      </c>
      <c r="H840" s="1">
        <v>5.6134259259259262E-3</v>
      </c>
      <c r="I840" t="s">
        <v>85</v>
      </c>
      <c r="J840" t="s">
        <v>83</v>
      </c>
      <c r="K840" s="2" t="str">
        <f>HYPERLINK("https://www.nba.com/stats/events?CFID=&amp;CFPARAMS=&amp;GameEventID=204&amp;GameID=0041900233&amp;Season=2019-20&amp;flag=1&amp;title=Leonard%2013'%20jumpshot%20(8%20PTS)", "13' jumpshot (8 PTS)")</f>
        <v>13' jumpshot (8 PTS)</v>
      </c>
      <c r="L840" s="2" t="str">
        <f>HYPERLINK("https://www.nba.com/game/...-vs-...-0041900233/play-by-play?watchFullGame=true", "LAC vs DEN - Q2 08:05.00")</f>
        <v>LAC vs DEN - Q2 08:05.00</v>
      </c>
      <c r="M840">
        <v>12.6</v>
      </c>
      <c r="N840">
        <v>18.079999999999998</v>
      </c>
      <c r="O840">
        <v>55.46</v>
      </c>
      <c r="P840">
        <v>-27</v>
      </c>
      <c r="Q840">
        <v>117</v>
      </c>
      <c r="R840">
        <v>18</v>
      </c>
      <c r="S840">
        <v>55</v>
      </c>
    </row>
    <row r="841" spans="1:19" hidden="1" x14ac:dyDescent="0.25">
      <c r="A841">
        <v>42200172</v>
      </c>
      <c r="B841" t="s">
        <v>18</v>
      </c>
      <c r="C841" t="s">
        <v>19</v>
      </c>
      <c r="D841">
        <v>100</v>
      </c>
      <c r="E841">
        <v>108</v>
      </c>
      <c r="F841">
        <v>8</v>
      </c>
      <c r="G841">
        <v>4</v>
      </c>
      <c r="H841" s="1">
        <v>4.2708333333333331E-3</v>
      </c>
      <c r="I841" t="s">
        <v>96</v>
      </c>
      <c r="J841" t="s">
        <v>83</v>
      </c>
      <c r="K841" s="2" t="str">
        <f>HYPERLINK("https://www.nba.com/stats/events?CFID=&amp;CFPARAMS=&amp;GameEventID=545&amp;GameID=0042200172&amp;Season=2022-23&amp;flag=1&amp;title=Leonard%2012'%20step%20back%20Jump%20Shot%20(26%20PTS)%20(R.%20Westbrook%204%20AST)", "12' step back Jump Shot (26 PTS) (R. Westbrook 4 AST)")</f>
        <v>12' step back Jump Shot (26 PTS) (R. Westbrook 4 AST)</v>
      </c>
      <c r="L841" s="2" t="str">
        <f>HYPERLINK("https://www.nba.com/game/...-vs-...-0042200172/play-by-play?watchFullGame=true", "LAC vs PHX - Q4 06:09.00")</f>
        <v>LAC vs PHX - Q4 06:09.00</v>
      </c>
      <c r="M841">
        <v>12.59</v>
      </c>
      <c r="N841">
        <v>18.87</v>
      </c>
      <c r="O841">
        <v>46.81</v>
      </c>
      <c r="P841">
        <v>18</v>
      </c>
      <c r="Q841">
        <v>46</v>
      </c>
      <c r="R841">
        <v>18</v>
      </c>
      <c r="S841">
        <v>46</v>
      </c>
    </row>
    <row r="842" spans="1:19" hidden="1" x14ac:dyDescent="0.25">
      <c r="A842">
        <v>42000174</v>
      </c>
      <c r="B842" t="s">
        <v>18</v>
      </c>
      <c r="C842" t="s">
        <v>19</v>
      </c>
      <c r="D842">
        <v>84</v>
      </c>
      <c r="E842">
        <v>62</v>
      </c>
      <c r="F842">
        <v>22</v>
      </c>
      <c r="G842">
        <v>4</v>
      </c>
      <c r="H842" s="1">
        <v>7.858796296296296E-3</v>
      </c>
      <c r="I842" t="s">
        <v>91</v>
      </c>
      <c r="J842" t="s">
        <v>83</v>
      </c>
      <c r="K842" s="2" t="str">
        <f>HYPERLINK("https://www.nba.com/stats/events?CFID=&amp;CFPARAMS=&amp;GameEventID=508&amp;GameID=0042000174&amp;Season=2020-21&amp;flag=1&amp;title=Leonard%2012'%20pullup%20Jump%20Shot%20(27%20PTS)", "12' pullup Jump Shot (27 PTS)")</f>
        <v>12' pullup Jump Shot (27 PTS)</v>
      </c>
      <c r="L842" s="2" t="str">
        <f>HYPERLINK("https://www.nba.com/game/...-vs-...-0042000174/play-by-play?watchFullGame=true", "LAC vs DAL - Q4 11:19.00")</f>
        <v>LAC vs DAL - Q4 11:19.00</v>
      </c>
      <c r="M842">
        <v>12.47</v>
      </c>
      <c r="N842">
        <v>18.739999999999998</v>
      </c>
      <c r="O842">
        <v>46.88</v>
      </c>
      <c r="P842">
        <v>18</v>
      </c>
      <c r="Q842">
        <v>46</v>
      </c>
      <c r="R842">
        <v>18</v>
      </c>
      <c r="S842">
        <v>46</v>
      </c>
    </row>
    <row r="843" spans="1:19" hidden="1" x14ac:dyDescent="0.25">
      <c r="A843">
        <v>21900589</v>
      </c>
      <c r="B843" t="s">
        <v>18</v>
      </c>
      <c r="C843" t="s">
        <v>84</v>
      </c>
      <c r="D843">
        <v>49</v>
      </c>
      <c r="E843">
        <v>62</v>
      </c>
      <c r="F843">
        <v>13</v>
      </c>
      <c r="G843">
        <v>2</v>
      </c>
      <c r="H843" s="1">
        <v>8.4490740740740739E-4</v>
      </c>
      <c r="I843">
        <v>2019</v>
      </c>
      <c r="J843" t="s">
        <v>83</v>
      </c>
      <c r="K843" s="2" t="str">
        <f>HYPERLINK("https://www.nba.com/stats/events?CFID=&amp;CFPARAMS=&amp;GameEventID=300&amp;GameID=0021900589&amp;Season=2019-20&amp;flag=1&amp;title=Leonard%2012'%20jumpshot%20(15%20PTS)", "12' jumpshot (15 PTS)")</f>
        <v>12' jumpshot (15 PTS)</v>
      </c>
      <c r="L843" s="2" t="str">
        <f>HYPERLINK("https://www.nba.com/game/...-vs-...-0021900589/play-by-play?watchFullGame=true", "LAC vs DEN - Q2 01:13.00")</f>
        <v>LAC vs DEN - Q2 01:13.00</v>
      </c>
      <c r="M843">
        <v>12.43</v>
      </c>
      <c r="N843">
        <v>18.22</v>
      </c>
      <c r="O843">
        <v>49.09</v>
      </c>
      <c r="P843">
        <v>5</v>
      </c>
      <c r="Q843">
        <v>119</v>
      </c>
      <c r="R843">
        <v>18</v>
      </c>
      <c r="S843">
        <v>49</v>
      </c>
    </row>
    <row r="844" spans="1:19" hidden="1" x14ac:dyDescent="0.25">
      <c r="A844">
        <v>22300618</v>
      </c>
      <c r="B844" t="s">
        <v>18</v>
      </c>
      <c r="C844" t="s">
        <v>19</v>
      </c>
      <c r="D844">
        <v>124</v>
      </c>
      <c r="E844">
        <v>114</v>
      </c>
      <c r="F844">
        <v>10</v>
      </c>
      <c r="G844">
        <v>4</v>
      </c>
      <c r="H844" s="1">
        <v>1.7939814814814815E-3</v>
      </c>
      <c r="I844">
        <v>2023</v>
      </c>
      <c r="J844" t="s">
        <v>83</v>
      </c>
      <c r="K844" s="2" t="str">
        <f>HYPERLINK("https://www.nba.com/stats/events?CFID=&amp;CFPARAMS=&amp;GameEventID=597&amp;GameID=0022300618&amp;Season=2023-24&amp;flag=1&amp;title=Leonard%2012'%20turnaround%20Jump%20Shot%20(25%20PTS)", "12' turnaround Jump Shot (25 PTS)")</f>
        <v>12' turnaround Jump Shot (25 PTS)</v>
      </c>
      <c r="L844" s="2" t="str">
        <f>HYPERLINK("https://www.nba.com/game/...-vs-...-0022300618/play-by-play?watchFullGame=true", "LAC vs LAL - Q4 02:35.00")</f>
        <v>LAC vs LAL - Q4 02:35.00</v>
      </c>
      <c r="M844">
        <v>12.32</v>
      </c>
      <c r="N844">
        <v>18.05</v>
      </c>
      <c r="O844">
        <v>57.6</v>
      </c>
      <c r="P844">
        <v>-38</v>
      </c>
      <c r="Q844">
        <v>117</v>
      </c>
      <c r="R844">
        <v>18</v>
      </c>
      <c r="S844">
        <v>57</v>
      </c>
    </row>
    <row r="845" spans="1:19" hidden="1" x14ac:dyDescent="0.25">
      <c r="A845">
        <v>22300526</v>
      </c>
      <c r="B845" t="s">
        <v>18</v>
      </c>
      <c r="C845" t="s">
        <v>19</v>
      </c>
      <c r="D845">
        <v>22</v>
      </c>
      <c r="E845">
        <v>15</v>
      </c>
      <c r="F845">
        <v>7</v>
      </c>
      <c r="G845">
        <v>1</v>
      </c>
      <c r="H845" s="1">
        <v>2.8472222222222223E-3</v>
      </c>
      <c r="I845">
        <v>2023</v>
      </c>
      <c r="J845" t="s">
        <v>83</v>
      </c>
      <c r="K845" s="2" t="str">
        <f>HYPERLINK("https://www.nba.com/stats/events?CFID=&amp;CFPARAMS=&amp;GameEventID=88&amp;GameID=0022300526&amp;Season=2023-24&amp;flag=1&amp;title=Leonard%2012'%20pullup%20Jump%20Shot%20(7%20PTS)", "12' pullup Jump Shot (7 PTS)")</f>
        <v>12' pullup Jump Shot (7 PTS)</v>
      </c>
      <c r="L845" s="2" t="str">
        <f>HYPERLINK("https://www.nba.com/game/...-vs-...-0022300526/play-by-play?watchFullGame=true", "LAC vs TOR - Q1 04:06.00")</f>
        <v>LAC vs TOR - Q1 04:06.00</v>
      </c>
      <c r="M845">
        <v>12.29</v>
      </c>
      <c r="N845">
        <v>18.45</v>
      </c>
      <c r="O845">
        <v>54.41</v>
      </c>
      <c r="P845">
        <v>-22</v>
      </c>
      <c r="Q845">
        <v>121</v>
      </c>
      <c r="R845">
        <v>18</v>
      </c>
      <c r="S845">
        <v>54</v>
      </c>
    </row>
    <row r="846" spans="1:19" hidden="1" x14ac:dyDescent="0.25">
      <c r="A846">
        <v>22200408</v>
      </c>
      <c r="B846" t="s">
        <v>18</v>
      </c>
      <c r="C846" t="s">
        <v>19</v>
      </c>
      <c r="D846">
        <v>104</v>
      </c>
      <c r="E846">
        <v>80</v>
      </c>
      <c r="F846">
        <v>24</v>
      </c>
      <c r="G846">
        <v>4</v>
      </c>
      <c r="H846" s="1">
        <v>4.6759259259259263E-3</v>
      </c>
      <c r="I846">
        <v>2022</v>
      </c>
      <c r="J846" t="s">
        <v>83</v>
      </c>
      <c r="K846" s="2" t="str">
        <f>HYPERLINK("https://www.nba.com/stats/events?CFID=&amp;CFPARAMS=&amp;GameEventID=565&amp;GameID=0022200408&amp;Season=2022-23&amp;flag=1&amp;title=Leonard%2012'%20turnaround%20fadeaway%20Jump%20Shot%20(25%20PTS)", "12' turnaround fadeaway Jump Shot (25 PTS)")</f>
        <v>12' turnaround fadeaway Jump Shot (25 PTS)</v>
      </c>
      <c r="L846" s="2" t="str">
        <f>HYPERLINK("https://www.nba.com/game/...-vs-...-0022200408/play-by-play?watchFullGame=true", "LAC vs BOS - Q4 06:44.00")</f>
        <v>LAC vs BOS - Q4 06:44.00</v>
      </c>
      <c r="M846">
        <v>12.21</v>
      </c>
      <c r="N846">
        <v>18.05</v>
      </c>
      <c r="O846">
        <v>43.14</v>
      </c>
      <c r="P846">
        <v>34</v>
      </c>
      <c r="Q846">
        <v>117</v>
      </c>
      <c r="R846">
        <v>18</v>
      </c>
      <c r="S846">
        <v>43</v>
      </c>
    </row>
    <row r="847" spans="1:19" hidden="1" x14ac:dyDescent="0.25">
      <c r="A847">
        <v>22300618</v>
      </c>
      <c r="B847" t="s">
        <v>18</v>
      </c>
      <c r="C847" t="s">
        <v>19</v>
      </c>
      <c r="D847">
        <v>79</v>
      </c>
      <c r="E847">
        <v>66</v>
      </c>
      <c r="F847">
        <v>13</v>
      </c>
      <c r="G847">
        <v>3</v>
      </c>
      <c r="H847" s="1">
        <v>7.9398148148148145E-3</v>
      </c>
      <c r="I847">
        <v>2023</v>
      </c>
      <c r="J847" t="s">
        <v>83</v>
      </c>
      <c r="K847" s="2" t="str">
        <f>HYPERLINK("https://www.nba.com/stats/events?CFID=&amp;CFPARAMS=&amp;GameEventID=316&amp;GameID=0022300618&amp;Season=2023-24&amp;flag=1&amp;title=Leonard%2012'%20pullup%20Jump%20Shot%20(16%20PTS)", "12' pullup Jump Shot (16 PTS)")</f>
        <v>12' pullup Jump Shot (16 PTS)</v>
      </c>
      <c r="L847" s="2" t="str">
        <f>HYPERLINK("https://www.nba.com/game/...-vs-...-0022300618/play-by-play?watchFullGame=true", "LAC vs LAL - Q3 11:26.00")</f>
        <v>LAC vs LAL - Q3 11:26.00</v>
      </c>
      <c r="M847">
        <v>12.21</v>
      </c>
      <c r="N847">
        <v>18.579999999999998</v>
      </c>
      <c r="O847">
        <v>50</v>
      </c>
      <c r="P847">
        <v>18</v>
      </c>
      <c r="Q847">
        <v>122</v>
      </c>
      <c r="R847">
        <v>18</v>
      </c>
      <c r="S847">
        <v>50</v>
      </c>
    </row>
    <row r="848" spans="1:19" hidden="1" x14ac:dyDescent="0.25">
      <c r="A848">
        <v>22301215</v>
      </c>
      <c r="B848" t="s">
        <v>18</v>
      </c>
      <c r="C848" t="s">
        <v>19</v>
      </c>
      <c r="D848">
        <v>103</v>
      </c>
      <c r="E848">
        <v>97</v>
      </c>
      <c r="F848">
        <v>6</v>
      </c>
      <c r="G848">
        <v>4</v>
      </c>
      <c r="H848" s="1">
        <v>1.25E-3</v>
      </c>
      <c r="I848">
        <v>2023</v>
      </c>
      <c r="J848" t="s">
        <v>83</v>
      </c>
      <c r="K848" s="2" t="str">
        <f>HYPERLINK("https://www.nba.com/stats/events?CFID=&amp;CFPARAMS=&amp;GameEventID=593&amp;GameID=0022301215&amp;Season=2023-24&amp;flag=1&amp;title=Leonard%2012'%20fadeaway%20Jump%20Shot%20(17%20PTS)", "12' fadeaway Jump Shot (17 PTS)")</f>
        <v>12' fadeaway Jump Shot (17 PTS)</v>
      </c>
      <c r="L848" s="2" t="str">
        <f>HYPERLINK("https://www.nba.com/game/...-vs-...-0022301215/play-by-play?watchFullGame=true", "LAC vs DEN - Q4 01:48.00")</f>
        <v>LAC vs DEN - Q4 01:48.00</v>
      </c>
      <c r="M848">
        <v>12.18</v>
      </c>
      <c r="N848">
        <v>18.45</v>
      </c>
      <c r="O848">
        <v>52.94</v>
      </c>
      <c r="P848">
        <v>-15</v>
      </c>
      <c r="Q848">
        <v>121</v>
      </c>
      <c r="R848">
        <v>18</v>
      </c>
      <c r="S848">
        <v>52</v>
      </c>
    </row>
    <row r="849" spans="1:19" hidden="1" x14ac:dyDescent="0.25">
      <c r="A849">
        <v>22201229</v>
      </c>
      <c r="B849" t="s">
        <v>18</v>
      </c>
      <c r="C849" t="s">
        <v>19</v>
      </c>
      <c r="D849">
        <v>55</v>
      </c>
      <c r="E849">
        <v>53</v>
      </c>
      <c r="F849">
        <v>2</v>
      </c>
      <c r="G849">
        <v>3</v>
      </c>
      <c r="H849" s="1">
        <v>7.3611111111111108E-3</v>
      </c>
      <c r="I849">
        <v>2022</v>
      </c>
      <c r="J849" t="s">
        <v>83</v>
      </c>
      <c r="K849" s="2" t="str">
        <f>HYPERLINK("https://www.nba.com/stats/events?CFID=&amp;CFPARAMS=&amp;GameEventID=357&amp;GameID=0022201229&amp;Season=2022-23&amp;flag=1&amp;title=Leonard%2012'%20Jump%20Shot%20(8%20PTS)", "12' Jump Shot (8 PTS)")</f>
        <v>12' Jump Shot (8 PTS)</v>
      </c>
      <c r="L849" s="2" t="str">
        <f>HYPERLINK("https://www.nba.com/game/...-vs-...-0022201229/play-by-play?watchFullGame=true", "LAC vs PHX - Q3 10:36.00")</f>
        <v>LAC vs PHX - Q3 10:36.00</v>
      </c>
      <c r="M849">
        <v>12.14</v>
      </c>
      <c r="N849">
        <v>18.48</v>
      </c>
      <c r="O849">
        <v>48.77</v>
      </c>
      <c r="P849">
        <v>6</v>
      </c>
      <c r="Q849">
        <v>121</v>
      </c>
      <c r="R849">
        <v>18</v>
      </c>
      <c r="S849">
        <v>48</v>
      </c>
    </row>
    <row r="850" spans="1:19" hidden="1" x14ac:dyDescent="0.25">
      <c r="A850">
        <v>22200784</v>
      </c>
      <c r="B850" t="s">
        <v>18</v>
      </c>
      <c r="C850" t="s">
        <v>19</v>
      </c>
      <c r="D850">
        <v>8</v>
      </c>
      <c r="E850">
        <v>2</v>
      </c>
      <c r="F850">
        <v>6</v>
      </c>
      <c r="G850">
        <v>1</v>
      </c>
      <c r="H850" s="1">
        <v>6.1574074074074074E-3</v>
      </c>
      <c r="I850">
        <v>2022</v>
      </c>
      <c r="J850" t="s">
        <v>83</v>
      </c>
      <c r="K850" s="2" t="str">
        <f>HYPERLINK("https://www.nba.com/stats/events?CFID=&amp;CFPARAMS=&amp;GameEventID=31&amp;GameID=0022200784&amp;Season=2022-23&amp;flag=1&amp;title=Leonard%2012'%20fadeaway%20Jump%20Shot%20(4%20PTS)", "12' fadeaway Jump Shot (4 PTS)")</f>
        <v>12' fadeaway Jump Shot (4 PTS)</v>
      </c>
      <c r="L850" s="2" t="str">
        <f>HYPERLINK("https://www.nba.com/game/...-vs-...-0022200784/play-by-play?watchFullGame=true", "LAC vs MIL - Q1 08:52.00")</f>
        <v>LAC vs MIL - Q1 08:52.00</v>
      </c>
      <c r="M850">
        <v>12.03</v>
      </c>
      <c r="N850">
        <v>18.079999999999998</v>
      </c>
      <c r="O850">
        <v>44.85</v>
      </c>
      <c r="P850">
        <v>26</v>
      </c>
      <c r="Q850">
        <v>117</v>
      </c>
      <c r="R850">
        <v>18</v>
      </c>
      <c r="S850">
        <v>44</v>
      </c>
    </row>
    <row r="851" spans="1:19" hidden="1" x14ac:dyDescent="0.25">
      <c r="A851">
        <v>22300473</v>
      </c>
      <c r="B851" t="s">
        <v>18</v>
      </c>
      <c r="C851" t="s">
        <v>19</v>
      </c>
      <c r="D851">
        <v>111</v>
      </c>
      <c r="E851">
        <v>93</v>
      </c>
      <c r="F851">
        <v>18</v>
      </c>
      <c r="G851">
        <v>4</v>
      </c>
      <c r="H851" s="1">
        <v>7.2337962962962963E-3</v>
      </c>
      <c r="I851">
        <v>2023</v>
      </c>
      <c r="J851" t="s">
        <v>83</v>
      </c>
      <c r="K851" s="2" t="str">
        <f>HYPERLINK("https://www.nba.com/stats/events?CFID=&amp;CFPARAMS=&amp;GameEventID=536&amp;GameID=0022300473&amp;Season=2023-24&amp;flag=1&amp;title=Leonard%2011'%20pullup%20Jump%20Shot%20(24%20PTS)", "11' pullup Jump Shot (24 PTS)")</f>
        <v>11' pullup Jump Shot (24 PTS)</v>
      </c>
      <c r="L851" s="2" t="str">
        <f>HYPERLINK("https://www.nba.com/game/...-vs-...-0022300473/play-by-play?watchFullGame=true", "LAC vs PHX - Q4 10:25.00")</f>
        <v>LAC vs PHX - Q4 10:25.00</v>
      </c>
      <c r="M851">
        <v>11.98</v>
      </c>
      <c r="N851">
        <v>18.22</v>
      </c>
      <c r="O851">
        <v>53.19</v>
      </c>
      <c r="P851">
        <v>-16</v>
      </c>
      <c r="Q851">
        <v>119</v>
      </c>
      <c r="R851">
        <v>18</v>
      </c>
      <c r="S851">
        <v>53</v>
      </c>
    </row>
    <row r="852" spans="1:19" hidden="1" x14ac:dyDescent="0.25">
      <c r="A852">
        <v>22200423</v>
      </c>
      <c r="B852" t="s">
        <v>18</v>
      </c>
      <c r="C852" t="s">
        <v>19</v>
      </c>
      <c r="D852">
        <v>78</v>
      </c>
      <c r="E852">
        <v>73</v>
      </c>
      <c r="F852">
        <v>5</v>
      </c>
      <c r="G852">
        <v>4</v>
      </c>
      <c r="H852" s="1">
        <v>5.4282407407407404E-3</v>
      </c>
      <c r="I852">
        <v>2022</v>
      </c>
      <c r="J852" t="s">
        <v>83</v>
      </c>
      <c r="K852" s="2" t="str">
        <f>HYPERLINK("https://www.nba.com/stats/events?CFID=&amp;CFPARAMS=&amp;GameEventID=516&amp;GameID=0022200423&amp;Season=2022-23&amp;flag=1&amp;title=Leonard%2011'%20pullup%20Jump%20Shot%20(15%20PTS)", "11' pullup Jump Shot (15 PTS)")</f>
        <v>11' pullup Jump Shot (15 PTS)</v>
      </c>
      <c r="L852" s="2" t="str">
        <f>HYPERLINK("https://www.nba.com/game/...-vs-...-0022200423/play-by-play?watchFullGame=true", "LAC vs MIN - Q4 07:49.00")</f>
        <v>LAC vs MIN - Q4 07:49.00</v>
      </c>
      <c r="M852">
        <v>11.84</v>
      </c>
      <c r="N852">
        <v>18.18</v>
      </c>
      <c r="O852">
        <v>50.49</v>
      </c>
      <c r="P852">
        <v>-2</v>
      </c>
      <c r="Q852">
        <v>118</v>
      </c>
      <c r="R852">
        <v>18</v>
      </c>
      <c r="S852">
        <v>50</v>
      </c>
    </row>
    <row r="853" spans="1:19" hidden="1" x14ac:dyDescent="0.25">
      <c r="A853">
        <v>22200945</v>
      </c>
      <c r="B853" t="s">
        <v>18</v>
      </c>
      <c r="C853" t="s">
        <v>19</v>
      </c>
      <c r="D853">
        <v>58</v>
      </c>
      <c r="E853">
        <v>47</v>
      </c>
      <c r="F853">
        <v>11</v>
      </c>
      <c r="G853">
        <v>3</v>
      </c>
      <c r="H853" s="1">
        <v>7.4652777777777781E-3</v>
      </c>
      <c r="I853">
        <v>2022</v>
      </c>
      <c r="J853" t="s">
        <v>83</v>
      </c>
      <c r="K853" s="2" t="str">
        <f>HYPERLINK("https://www.nba.com/stats/events?CFID=&amp;CFPARAMS=&amp;GameEventID=366&amp;GameID=0022200945&amp;Season=2022-23&amp;flag=1&amp;title=Leonard%2011'%20pullup%20Jump%20Shot%20(17%20PTS)", "11' pullup Jump Shot (17 PTS)")</f>
        <v>11' pullup Jump Shot (17 PTS)</v>
      </c>
      <c r="L853" s="2" t="str">
        <f>HYPERLINK("https://www.nba.com/game/...-vs-...-0022200945/play-by-play?watchFullGame=true", "LAC vs GSW - Q3 10:45.00")</f>
        <v>LAC vs GSW - Q3 10:45.00</v>
      </c>
      <c r="M853">
        <v>11.83</v>
      </c>
      <c r="N853">
        <v>18.079999999999998</v>
      </c>
      <c r="O853">
        <v>47.3</v>
      </c>
      <c r="P853">
        <v>13</v>
      </c>
      <c r="Q853">
        <v>117</v>
      </c>
      <c r="R853">
        <v>18</v>
      </c>
      <c r="S853">
        <v>47</v>
      </c>
    </row>
    <row r="854" spans="1:19" hidden="1" x14ac:dyDescent="0.25">
      <c r="A854">
        <v>22300343</v>
      </c>
      <c r="B854" t="s">
        <v>26</v>
      </c>
      <c r="C854" t="s">
        <v>19</v>
      </c>
      <c r="D854">
        <v>102</v>
      </c>
      <c r="E854">
        <v>82</v>
      </c>
      <c r="F854">
        <v>20</v>
      </c>
      <c r="G854">
        <v>3</v>
      </c>
      <c r="H854" s="1">
        <v>3.3912037037037036E-3</v>
      </c>
      <c r="I854">
        <v>2023</v>
      </c>
      <c r="J854" t="s">
        <v>83</v>
      </c>
      <c r="K854" s="2" t="str">
        <f>HYPERLINK("https://www.nba.com/stats/events?CFID=&amp;CFPARAMS=&amp;GameEventID=446&amp;GameID=0022300343&amp;Season=2023-24&amp;flag=1&amp;title=Leonard%2026'%203PT%20%20(31%20PTS)%20(P.%20George%206%20AST)", "26' 3PT  (31 PTS) (P. George 6 AST)")</f>
        <v>26' 3PT  (31 PTS) (P. George 6 AST)</v>
      </c>
      <c r="L854" s="2" t="str">
        <f>HYPERLINK("https://www.nba.com/game/...-vs-...-0022300343/play-by-play?watchFullGame=true", "LAC vs NYK - Q3 04:53.00")</f>
        <v>LAC vs NYK - Q3 04:53.00</v>
      </c>
      <c r="M854">
        <v>26.05</v>
      </c>
      <c r="N854">
        <v>19.23</v>
      </c>
      <c r="O854">
        <v>95.34</v>
      </c>
      <c r="P854">
        <v>-227</v>
      </c>
      <c r="Q854">
        <v>128</v>
      </c>
      <c r="R854">
        <v>19</v>
      </c>
      <c r="S854">
        <v>95</v>
      </c>
    </row>
    <row r="855" spans="1:19" hidden="1" x14ac:dyDescent="0.25">
      <c r="A855">
        <v>22200668</v>
      </c>
      <c r="B855" t="s">
        <v>26</v>
      </c>
      <c r="C855" t="s">
        <v>19</v>
      </c>
      <c r="D855">
        <v>63</v>
      </c>
      <c r="E855">
        <v>67</v>
      </c>
      <c r="F855">
        <v>4</v>
      </c>
      <c r="G855">
        <v>3</v>
      </c>
      <c r="H855" s="1">
        <v>6.5624999999999998E-3</v>
      </c>
      <c r="I855">
        <v>2022</v>
      </c>
      <c r="J855" t="s">
        <v>83</v>
      </c>
      <c r="K855" s="2" t="str">
        <f>HYPERLINK("https://www.nba.com/stats/events?CFID=&amp;CFPARAMS=&amp;GameEventID=343&amp;GameID=0022200668&amp;Season=2022-23&amp;flag=1&amp;title=Leonard%2025'%203PT%20%20(19%20PTS)%20(P.%20George%204%20AST)", "25' 3PT  (19 PTS) (P. George 4 AST)")</f>
        <v>25' 3PT  (19 PTS) (P. George 4 AST)</v>
      </c>
      <c r="L855" s="2" t="str">
        <f>HYPERLINK("https://www.nba.com/game/...-vs-...-0022200668/play-by-play?watchFullGame=true", "LAC vs PHI - Q3 09:27.00")</f>
        <v>LAC vs PHI - Q3 09:27.00</v>
      </c>
      <c r="M855">
        <v>25.16</v>
      </c>
      <c r="N855">
        <v>19.37</v>
      </c>
      <c r="O855">
        <v>6.86</v>
      </c>
      <c r="P855">
        <v>216</v>
      </c>
      <c r="Q855">
        <v>130</v>
      </c>
      <c r="R855">
        <v>19</v>
      </c>
      <c r="S855">
        <v>6</v>
      </c>
    </row>
    <row r="856" spans="1:19" hidden="1" x14ac:dyDescent="0.25">
      <c r="A856">
        <v>22300325</v>
      </c>
      <c r="B856" t="s">
        <v>18</v>
      </c>
      <c r="C856" t="s">
        <v>19</v>
      </c>
      <c r="D856">
        <v>13</v>
      </c>
      <c r="E856">
        <v>14</v>
      </c>
      <c r="F856">
        <v>1</v>
      </c>
      <c r="G856">
        <v>1</v>
      </c>
      <c r="H856" s="1">
        <v>3.9120370370370368E-3</v>
      </c>
      <c r="I856">
        <v>2023</v>
      </c>
      <c r="J856" t="s">
        <v>83</v>
      </c>
      <c r="K856" s="2" t="str">
        <f>HYPERLINK("https://www.nba.com/stats/events?CFID=&amp;CFPARAMS=&amp;GameEventID=84&amp;GameID=0022300325&amp;Season=2023-24&amp;flag=1&amp;title=Leonard%2020'%20pullup%20Jump%20Shot%20(5%20PTS)%20(J.%20Harden%204%20AST)", "20' pullup Jump Shot (5 PTS) (J. Harden 4 AST)")</f>
        <v>20' pullup Jump Shot (5 PTS) (J. Harden 4 AST)</v>
      </c>
      <c r="L856" s="2" t="str">
        <f>HYPERLINK("https://www.nba.com/game/...-vs-...-0022300325/play-by-play?watchFullGame=true", "LAC vs GSW - Q1 05:38.00")</f>
        <v>LAC vs GSW - Q1 05:38.00</v>
      </c>
      <c r="M856">
        <v>20.48</v>
      </c>
      <c r="N856">
        <v>19.760000000000002</v>
      </c>
      <c r="O856">
        <v>18.87</v>
      </c>
      <c r="P856">
        <v>156</v>
      </c>
      <c r="Q856">
        <v>133</v>
      </c>
      <c r="R856">
        <v>19</v>
      </c>
      <c r="S856">
        <v>18</v>
      </c>
    </row>
    <row r="857" spans="1:19" hidden="1" x14ac:dyDescent="0.25">
      <c r="A857">
        <v>22201215</v>
      </c>
      <c r="B857" t="s">
        <v>18</v>
      </c>
      <c r="C857" t="s">
        <v>19</v>
      </c>
      <c r="D857">
        <v>102</v>
      </c>
      <c r="E857">
        <v>92</v>
      </c>
      <c r="F857">
        <v>10</v>
      </c>
      <c r="G857">
        <v>3</v>
      </c>
      <c r="H857" s="1">
        <v>1.9212962962962964E-3</v>
      </c>
      <c r="I857">
        <v>2022</v>
      </c>
      <c r="J857" t="s">
        <v>83</v>
      </c>
      <c r="K857" s="2" t="str">
        <f>HYPERLINK("https://www.nba.com/stats/events?CFID=&amp;CFPARAMS=&amp;GameEventID=461&amp;GameID=0022201215&amp;Season=2022-23&amp;flag=1&amp;title=Leonard%2018'%20step%20back%20Jump%20Shot%20(27%20PTS)%20(R.%20Covington%201%20AST)", "18' step back Jump Shot (27 PTS) (R. Covington 1 AST)")</f>
        <v>18' step back Jump Shot (27 PTS) (R. Covington 1 AST)</v>
      </c>
      <c r="L857" s="2" t="str">
        <f>HYPERLINK("https://www.nba.com/game/...-vs-...-0022201215/play-by-play?watchFullGame=true", "LAC vs POR - Q3 02:46.00")</f>
        <v>LAC vs POR - Q3 02:46.00</v>
      </c>
      <c r="M857">
        <v>18.440000000000001</v>
      </c>
      <c r="N857">
        <v>19.63</v>
      </c>
      <c r="O857">
        <v>24.26</v>
      </c>
      <c r="P857">
        <v>129</v>
      </c>
      <c r="Q857">
        <v>132</v>
      </c>
      <c r="R857">
        <v>19</v>
      </c>
      <c r="S857">
        <v>24</v>
      </c>
    </row>
    <row r="858" spans="1:19" hidden="1" x14ac:dyDescent="0.25">
      <c r="A858">
        <v>22200352</v>
      </c>
      <c r="B858" t="s">
        <v>18</v>
      </c>
      <c r="C858" t="s">
        <v>19</v>
      </c>
      <c r="D858">
        <v>119</v>
      </c>
      <c r="E858">
        <v>117</v>
      </c>
      <c r="F858">
        <v>2</v>
      </c>
      <c r="G858">
        <v>4</v>
      </c>
      <c r="H858" s="1">
        <v>1.6203703703703704E-5</v>
      </c>
      <c r="I858">
        <v>2022</v>
      </c>
      <c r="J858" t="s">
        <v>83</v>
      </c>
      <c r="K858" s="2" t="str">
        <f>HYPERLINK("https://www.nba.com/stats/events?CFID=&amp;CFPARAMS=&amp;GameEventID=666&amp;GameID=0022200352&amp;Season=2022-23&amp;flag=1&amp;title=Leonard%2017'%20step%20back%20Jump%20Shot%20(16%20PTS)", "17' step back Jump Shot (16 PTS)")</f>
        <v>17' step back Jump Shot (16 PTS)</v>
      </c>
      <c r="L858" s="2" t="str">
        <f>HYPERLINK("https://www.nba.com/game/...-vs-...-0022200352/play-by-play?watchFullGame=true", "LAC vs CHA - Q4 00:01.40")</f>
        <v>LAC vs CHA - Q4 00:01.40</v>
      </c>
      <c r="M858">
        <v>17.850000000000001</v>
      </c>
      <c r="N858">
        <v>19.14</v>
      </c>
      <c r="O858">
        <v>25</v>
      </c>
      <c r="P858">
        <v>125</v>
      </c>
      <c r="Q858">
        <v>127</v>
      </c>
      <c r="R858">
        <v>19</v>
      </c>
      <c r="S858">
        <v>25</v>
      </c>
    </row>
    <row r="859" spans="1:19" hidden="1" x14ac:dyDescent="0.25">
      <c r="A859">
        <v>22201162</v>
      </c>
      <c r="B859" t="s">
        <v>18</v>
      </c>
      <c r="C859" t="s">
        <v>19</v>
      </c>
      <c r="D859">
        <v>106</v>
      </c>
      <c r="E859">
        <v>111</v>
      </c>
      <c r="F859">
        <v>5</v>
      </c>
      <c r="G859">
        <v>4</v>
      </c>
      <c r="H859" s="1">
        <v>2.5115740740740741E-3</v>
      </c>
      <c r="I859">
        <v>2022</v>
      </c>
      <c r="J859" t="s">
        <v>83</v>
      </c>
      <c r="K859" s="2" t="str">
        <f>HYPERLINK("https://www.nba.com/stats/events?CFID=&amp;CFPARAMS=&amp;GameEventID=585&amp;GameID=0022201162&amp;Season=2022-23&amp;flag=1&amp;title=Leonard%2017'%20pullup%20Jump%20Shot%20(36%20PTS)", "17' pullup Jump Shot (36 PTS)")</f>
        <v>17' pullup Jump Shot (36 PTS)</v>
      </c>
      <c r="L859" s="2" t="str">
        <f>HYPERLINK("https://www.nba.com/game/...-vs-...-0022201162/play-by-play?watchFullGame=true", "LAC vs NOP - Q4 03:37.00")</f>
        <v>LAC vs NOP - Q4 03:37.00</v>
      </c>
      <c r="M859">
        <v>17.100000000000001</v>
      </c>
      <c r="N859">
        <v>19.14</v>
      </c>
      <c r="O859">
        <v>27.21</v>
      </c>
      <c r="P859">
        <v>114</v>
      </c>
      <c r="Q859">
        <v>127</v>
      </c>
      <c r="R859">
        <v>19</v>
      </c>
      <c r="S859">
        <v>27</v>
      </c>
    </row>
    <row r="860" spans="1:19" hidden="1" x14ac:dyDescent="0.25">
      <c r="A860">
        <v>22200745</v>
      </c>
      <c r="B860" t="s">
        <v>18</v>
      </c>
      <c r="C860" t="s">
        <v>19</v>
      </c>
      <c r="D860">
        <v>101</v>
      </c>
      <c r="E860">
        <v>92</v>
      </c>
      <c r="F860">
        <v>9</v>
      </c>
      <c r="G860">
        <v>4</v>
      </c>
      <c r="H860" s="1">
        <v>4.9189814814814816E-3</v>
      </c>
      <c r="I860">
        <v>2022</v>
      </c>
      <c r="J860" t="s">
        <v>83</v>
      </c>
      <c r="K860" s="2" t="str">
        <f>HYPERLINK("https://www.nba.com/stats/events?CFID=&amp;CFPARAMS=&amp;GameEventID=505&amp;GameID=0022200745&amp;Season=2022-23&amp;flag=1&amp;title=Leonard%2016'%20pullup%20Jump%20Shot%20(27%20PTS)", "16' pullup Jump Shot (27 PTS)")</f>
        <v>16' pullup Jump Shot (27 PTS)</v>
      </c>
      <c r="L860" s="2" t="str">
        <f>HYPERLINK("https://www.nba.com/game/...-vs-...-0022200745/play-by-play?watchFullGame=true", "LAC vs ATL - Q4 07:05.00")</f>
        <v>LAC vs ATL - Q4 07:05.00</v>
      </c>
      <c r="M860">
        <v>16.829999999999998</v>
      </c>
      <c r="N860">
        <v>19</v>
      </c>
      <c r="O860">
        <v>27.7</v>
      </c>
      <c r="P860">
        <v>112</v>
      </c>
      <c r="Q860">
        <v>126</v>
      </c>
      <c r="R860">
        <v>19</v>
      </c>
      <c r="S860">
        <v>27</v>
      </c>
    </row>
    <row r="861" spans="1:19" hidden="1" x14ac:dyDescent="0.25">
      <c r="A861">
        <v>22300486</v>
      </c>
      <c r="B861" t="s">
        <v>18</v>
      </c>
      <c r="C861" t="s">
        <v>19</v>
      </c>
      <c r="D861">
        <v>72</v>
      </c>
      <c r="E861">
        <v>52</v>
      </c>
      <c r="F861">
        <v>20</v>
      </c>
      <c r="G861">
        <v>3</v>
      </c>
      <c r="H861" s="1">
        <v>4.5833333333333334E-3</v>
      </c>
      <c r="I861">
        <v>2023</v>
      </c>
      <c r="J861" t="s">
        <v>83</v>
      </c>
      <c r="K861" s="2" t="str">
        <f>HYPERLINK("https://www.nba.com/stats/events?CFID=&amp;CFPARAMS=&amp;GameEventID=397&amp;GameID=0022300486&amp;Season=2023-24&amp;flag=1&amp;title=Leonard%2016'%20fadeaway%20Jump%20Shot%20(15%20PTS)%20(J.%20Harden%2010%20AST)", "16' fadeaway Jump Shot (15 PTS) (J. Harden 10 AST)")</f>
        <v>16' fadeaway Jump Shot (15 PTS) (J. Harden 10 AST)</v>
      </c>
      <c r="L861" s="2" t="str">
        <f>HYPERLINK("https://www.nba.com/game/...-vs-...-0022300486/play-by-play?watchFullGame=true", "LAC vs NOP - Q3 06:36.00")</f>
        <v>LAC vs NOP - Q3 06:36.00</v>
      </c>
      <c r="M861">
        <v>16.79</v>
      </c>
      <c r="N861">
        <v>19.79</v>
      </c>
      <c r="O861">
        <v>29.66</v>
      </c>
      <c r="P861">
        <v>102</v>
      </c>
      <c r="Q861">
        <v>134</v>
      </c>
      <c r="R861">
        <v>19</v>
      </c>
      <c r="S861">
        <v>29</v>
      </c>
    </row>
    <row r="862" spans="1:19" hidden="1" x14ac:dyDescent="0.25">
      <c r="A862">
        <v>22400842</v>
      </c>
      <c r="B862" t="s">
        <v>18</v>
      </c>
      <c r="C862" t="s">
        <v>19</v>
      </c>
      <c r="D862">
        <v>11</v>
      </c>
      <c r="E862">
        <v>7</v>
      </c>
      <c r="F862">
        <v>4</v>
      </c>
      <c r="G862">
        <v>1</v>
      </c>
      <c r="H862" s="1">
        <v>5.5671296296296293E-3</v>
      </c>
      <c r="I862">
        <v>2024</v>
      </c>
      <c r="J862" t="s">
        <v>83</v>
      </c>
      <c r="K862" s="2" t="str">
        <f>HYPERLINK("https://www.nba.com/stats/events?CFID=&amp;CFPARAMS=&amp;GameEventID=41&amp;GameID=0022400842&amp;Season=2024-25&amp;flag=1&amp;title=Leonard%2014'%20running%20pullup%20Jump%20Shot%20(2%20PTS)", "14' running pullup Jump Shot (2 PTS)")</f>
        <v>14' running pullup Jump Shot (2 PTS)</v>
      </c>
      <c r="L862" s="2" t="str">
        <f>HYPERLINK("https://www.nba.com/game/...-vs-...-0022400842/play-by-play?watchFullGame=true", "LAC vs CHI - Q1 08:01.00")</f>
        <v>LAC vs CHI - Q1 08:01.00</v>
      </c>
      <c r="M862">
        <v>14.86</v>
      </c>
      <c r="N862">
        <v>19.579999999999998</v>
      </c>
      <c r="O862">
        <v>63.86</v>
      </c>
      <c r="P862">
        <v>-69</v>
      </c>
      <c r="Q862">
        <v>132</v>
      </c>
      <c r="R862">
        <v>19</v>
      </c>
      <c r="S862">
        <v>63</v>
      </c>
    </row>
    <row r="863" spans="1:19" hidden="1" x14ac:dyDescent="0.25">
      <c r="A863">
        <v>22201069</v>
      </c>
      <c r="B863" t="s">
        <v>18</v>
      </c>
      <c r="C863" t="s">
        <v>19</v>
      </c>
      <c r="D863">
        <v>105</v>
      </c>
      <c r="E863">
        <v>97</v>
      </c>
      <c r="F863">
        <v>8</v>
      </c>
      <c r="G863">
        <v>4</v>
      </c>
      <c r="H863" s="1">
        <v>4.6643518518518518E-3</v>
      </c>
      <c r="I863">
        <v>2022</v>
      </c>
      <c r="J863" t="s">
        <v>83</v>
      </c>
      <c r="K863" s="2" t="str">
        <f>HYPERLINK("https://www.nba.com/stats/events?CFID=&amp;CFPARAMS=&amp;GameEventID=556&amp;GameID=0022201069&amp;Season=2022-23&amp;flag=1&amp;title=Leonard%2014'%20turnaround%20fadeaway%20Jump%20Shot%20(21%20PTS)", "14' turnaround fadeaway Jump Shot (21 PTS)")</f>
        <v>14' turnaround fadeaway Jump Shot (21 PTS)</v>
      </c>
      <c r="L863" s="2" t="str">
        <f>HYPERLINK("https://www.nba.com/game/...-vs-...-0022201069/play-by-play?watchFullGame=true", "LAC vs POR - Q4 06:43.00")</f>
        <v>LAC vs POR - Q4 06:43.00</v>
      </c>
      <c r="M863">
        <v>14.68</v>
      </c>
      <c r="N863">
        <v>19.399999999999999</v>
      </c>
      <c r="O863">
        <v>36.270000000000003</v>
      </c>
      <c r="P863">
        <v>69</v>
      </c>
      <c r="Q863">
        <v>130</v>
      </c>
      <c r="R863">
        <v>19</v>
      </c>
      <c r="S863">
        <v>36</v>
      </c>
    </row>
    <row r="864" spans="1:19" hidden="1" x14ac:dyDescent="0.25">
      <c r="A864">
        <v>22000867</v>
      </c>
      <c r="B864" t="s">
        <v>18</v>
      </c>
      <c r="C864" t="s">
        <v>19</v>
      </c>
      <c r="D864">
        <v>74</v>
      </c>
      <c r="E864">
        <v>53</v>
      </c>
      <c r="F864">
        <v>21</v>
      </c>
      <c r="G864">
        <v>3</v>
      </c>
      <c r="H864" s="1">
        <v>8.0902777777777778E-3</v>
      </c>
      <c r="I864">
        <v>2020</v>
      </c>
      <c r="J864" t="s">
        <v>83</v>
      </c>
      <c r="K864" s="2" t="str">
        <f>HYPERLINK("https://www.nba.com/stats/events?CFID=&amp;CFPARAMS=&amp;GameEventID=345&amp;GameID=0022000867&amp;Season=2020-21&amp;flag=1&amp;title=Leonard%2014'%20pullup%20Jump%20Shot%20(10%20PTS)%20(P.%20George%204%20AST)", "14' pullup Jump Shot (10 PTS) (P. George 4 AST)")</f>
        <v>14' pullup Jump Shot (10 PTS) (P. George 4 AST)</v>
      </c>
      <c r="L864" s="2" t="str">
        <f>HYPERLINK("https://www.nba.com/game/...-vs-...-0022000867/play-by-play?watchFullGame=true", "LAC vs MIN - Q3 11:39.00")</f>
        <v>LAC vs MIN - Q3 11:39.00</v>
      </c>
      <c r="M864">
        <v>14.61</v>
      </c>
      <c r="N864">
        <v>19.399999999999999</v>
      </c>
      <c r="O864">
        <v>36.590000000000003</v>
      </c>
      <c r="P864">
        <v>67</v>
      </c>
      <c r="Q864">
        <v>130</v>
      </c>
      <c r="R864">
        <v>19</v>
      </c>
      <c r="S864">
        <v>36</v>
      </c>
    </row>
    <row r="865" spans="1:19" hidden="1" x14ac:dyDescent="0.25">
      <c r="A865">
        <v>41900156</v>
      </c>
      <c r="B865" t="s">
        <v>18</v>
      </c>
      <c r="C865" t="s">
        <v>84</v>
      </c>
      <c r="D865">
        <v>54</v>
      </c>
      <c r="E865">
        <v>49</v>
      </c>
      <c r="F865">
        <v>5</v>
      </c>
      <c r="G865">
        <v>2</v>
      </c>
      <c r="H865" s="1">
        <v>8.1018518518518516E-4</v>
      </c>
      <c r="I865" t="s">
        <v>86</v>
      </c>
      <c r="J865" t="s">
        <v>83</v>
      </c>
      <c r="K865" s="2" t="str">
        <f>HYPERLINK("https://www.nba.com/stats/events?CFID=&amp;CFPARAMS=&amp;GameEventID=307&amp;GameID=0041900156&amp;Season=2019-20&amp;flag=1&amp;title=Leonard%2015'%20jumpshot%20(11%20PTS)", "15' jumpshot (11 PTS)")</f>
        <v>15' jumpshot (11 PTS)</v>
      </c>
      <c r="L865" s="2" t="str">
        <f>HYPERLINK("https://www.nba.com/game/...-vs-...-0041900156/play-by-play?watchFullGame=true", "LAC vs DAL - Q2 01:10.00")</f>
        <v>LAC vs DAL - Q2 01:10.00</v>
      </c>
      <c r="M865">
        <v>14.51</v>
      </c>
      <c r="N865">
        <v>19.920000000000002</v>
      </c>
      <c r="O865">
        <v>57.42</v>
      </c>
      <c r="P865">
        <v>-37</v>
      </c>
      <c r="Q865">
        <v>135</v>
      </c>
      <c r="R865">
        <v>19</v>
      </c>
      <c r="S865">
        <v>57</v>
      </c>
    </row>
    <row r="866" spans="1:19" hidden="1" x14ac:dyDescent="0.25">
      <c r="A866">
        <v>22200639</v>
      </c>
      <c r="B866" t="s">
        <v>18</v>
      </c>
      <c r="C866" t="s">
        <v>19</v>
      </c>
      <c r="D866">
        <v>64</v>
      </c>
      <c r="E866">
        <v>61</v>
      </c>
      <c r="F866">
        <v>3</v>
      </c>
      <c r="G866">
        <v>3</v>
      </c>
      <c r="H866" s="1">
        <v>7.0023148148148145E-3</v>
      </c>
      <c r="I866">
        <v>2022</v>
      </c>
      <c r="J866" t="s">
        <v>83</v>
      </c>
      <c r="K866" s="2" t="str">
        <f>HYPERLINK("https://www.nba.com/stats/events?CFID=&amp;CFPARAMS=&amp;GameEventID=295&amp;GameID=0022200639&amp;Season=2022-23&amp;flag=1&amp;title=Leonard%2014'%20step%20back%20Jump%20Shot%20(18%20PTS)", "14' step back Jump Shot (18 PTS)")</f>
        <v>14' step back Jump Shot (18 PTS)</v>
      </c>
      <c r="L866" s="2" t="str">
        <f>HYPERLINK("https://www.nba.com/game/...-vs-...-0022200639/play-by-play?watchFullGame=true", "LAC vs DEN - Q3 10:05.00")</f>
        <v>LAC vs DEN - Q3 10:05.00</v>
      </c>
      <c r="M866">
        <v>14.27</v>
      </c>
      <c r="N866">
        <v>19.23</v>
      </c>
      <c r="O866">
        <v>37.5</v>
      </c>
      <c r="P866">
        <v>62</v>
      </c>
      <c r="Q866">
        <v>128</v>
      </c>
      <c r="R866">
        <v>19</v>
      </c>
      <c r="S866">
        <v>37</v>
      </c>
    </row>
    <row r="867" spans="1:19" hidden="1" x14ac:dyDescent="0.25">
      <c r="A867">
        <v>22200970</v>
      </c>
      <c r="B867" t="s">
        <v>18</v>
      </c>
      <c r="C867" t="s">
        <v>19</v>
      </c>
      <c r="D867">
        <v>5</v>
      </c>
      <c r="E867">
        <v>4</v>
      </c>
      <c r="F867">
        <v>1</v>
      </c>
      <c r="G867">
        <v>1</v>
      </c>
      <c r="H867" s="1">
        <v>7.3611111111111108E-3</v>
      </c>
      <c r="I867">
        <v>2022</v>
      </c>
      <c r="J867" t="s">
        <v>83</v>
      </c>
      <c r="K867" s="2" t="str">
        <f>HYPERLINK("https://www.nba.com/stats/events?CFID=&amp;CFPARAMS=&amp;GameEventID=15&amp;GameID=0022200970&amp;Season=2022-23&amp;flag=1&amp;title=Leonard%2014'%20pullup%20Jump%20Shot%20(5%20PTS)%20(P.%20George%201%20AST)", "14' pullup Jump Shot (5 PTS) (P. George 1 AST)")</f>
        <v>14' pullup Jump Shot (5 PTS) (P. George 1 AST)</v>
      </c>
      <c r="L867" s="2" t="str">
        <f>HYPERLINK("https://www.nba.com/game/...-vs-...-0022200970/play-by-play?watchFullGame=true", "LAC vs MEM - Q1 10:36.00")</f>
        <v>LAC vs MEM - Q1 10:36.00</v>
      </c>
      <c r="M867">
        <v>14</v>
      </c>
      <c r="N867">
        <v>19.63</v>
      </c>
      <c r="O867">
        <v>40.69</v>
      </c>
      <c r="P867">
        <v>47</v>
      </c>
      <c r="Q867">
        <v>132</v>
      </c>
      <c r="R867">
        <v>19</v>
      </c>
      <c r="S867">
        <v>40</v>
      </c>
    </row>
    <row r="868" spans="1:19" hidden="1" x14ac:dyDescent="0.25">
      <c r="A868">
        <v>22000002</v>
      </c>
      <c r="B868" t="s">
        <v>18</v>
      </c>
      <c r="C868" t="s">
        <v>19</v>
      </c>
      <c r="D868">
        <v>49</v>
      </c>
      <c r="E868">
        <v>37</v>
      </c>
      <c r="F868">
        <v>12</v>
      </c>
      <c r="G868">
        <v>2</v>
      </c>
      <c r="H868" s="1">
        <v>2.8240740740740739E-3</v>
      </c>
      <c r="I868">
        <v>2020</v>
      </c>
      <c r="J868" t="s">
        <v>83</v>
      </c>
      <c r="K868" s="2" t="str">
        <f>HYPERLINK("https://www.nba.com/stats/events?CFID=&amp;CFPARAMS=&amp;GameEventID=306&amp;GameID=0022000002&amp;Season=2020-21&amp;flag=1&amp;title=Leonard%2013'%20fadeaway%20Jump%20Shot%20(13%20PTS)", "13' fadeaway Jump Shot (13 PTS)")</f>
        <v>13' fadeaway Jump Shot (13 PTS)</v>
      </c>
      <c r="L868" s="2" t="str">
        <f>HYPERLINK("https://www.nba.com/game/...-vs-...-0022000002/play-by-play?watchFullGame=true", "LAC vs LAL - Q2 04:04.00")</f>
        <v>LAC vs LAL - Q2 04:04.00</v>
      </c>
      <c r="M868">
        <v>13.9</v>
      </c>
      <c r="N868">
        <v>19</v>
      </c>
      <c r="O868">
        <v>38.299999999999997</v>
      </c>
      <c r="P868">
        <v>58</v>
      </c>
      <c r="Q868">
        <v>126</v>
      </c>
      <c r="R868">
        <v>19</v>
      </c>
      <c r="S868">
        <v>38</v>
      </c>
    </row>
    <row r="869" spans="1:19" hidden="1" x14ac:dyDescent="0.25">
      <c r="A869">
        <v>21900292</v>
      </c>
      <c r="B869" t="s">
        <v>18</v>
      </c>
      <c r="C869" t="s">
        <v>84</v>
      </c>
      <c r="D869">
        <v>131</v>
      </c>
      <c r="E869">
        <v>107</v>
      </c>
      <c r="F869">
        <v>24</v>
      </c>
      <c r="G869">
        <v>4</v>
      </c>
      <c r="H869" s="1">
        <v>5.1736111111111115E-3</v>
      </c>
      <c r="I869">
        <v>2019</v>
      </c>
      <c r="J869" t="s">
        <v>83</v>
      </c>
      <c r="K869" s="2" t="str">
        <f>HYPERLINK("https://www.nba.com/stats/events?CFID=&amp;CFPARAMS=&amp;GameEventID=633&amp;GameID=0021900292&amp;Season=2019-20&amp;flag=1&amp;title=Leonard%2014'%20jumpshot%20(29%20PTS)", "14' jumpshot (29 PTS)")</f>
        <v>14' jumpshot (29 PTS)</v>
      </c>
      <c r="L869" s="2" t="str">
        <f>HYPERLINK("https://www.nba.com/game/...-vs-...-0021900292/play-by-play?watchFullGame=true", "LAC vs WAS - Q4 07:27.00")</f>
        <v>LAC vs WAS - Q4 07:27.00</v>
      </c>
      <c r="M869">
        <v>13.9</v>
      </c>
      <c r="N869">
        <v>19.760000000000002</v>
      </c>
      <c r="O869">
        <v>48.22</v>
      </c>
      <c r="P869">
        <v>9</v>
      </c>
      <c r="Q869">
        <v>133</v>
      </c>
      <c r="R869">
        <v>19</v>
      </c>
      <c r="S869">
        <v>48</v>
      </c>
    </row>
    <row r="870" spans="1:19" hidden="1" x14ac:dyDescent="0.25">
      <c r="A870">
        <v>22000799</v>
      </c>
      <c r="B870" t="s">
        <v>18</v>
      </c>
      <c r="C870" t="s">
        <v>19</v>
      </c>
      <c r="D870">
        <v>73</v>
      </c>
      <c r="E870">
        <v>61</v>
      </c>
      <c r="F870">
        <v>12</v>
      </c>
      <c r="G870">
        <v>3</v>
      </c>
      <c r="H870" s="1">
        <v>4.6296296296296294E-3</v>
      </c>
      <c r="I870">
        <v>2020</v>
      </c>
      <c r="J870" t="s">
        <v>83</v>
      </c>
      <c r="K870" s="2" t="str">
        <f>HYPERLINK("https://www.nba.com/stats/events?CFID=&amp;CFPARAMS=&amp;GameEventID=411&amp;GameID=0022000799&amp;Season=2020-21&amp;flag=1&amp;title=Leonard%2013'%20fadeaway%20Jump%20Shot%20(17%20PTS)", "13' fadeaway Jump Shot (17 PTS)")</f>
        <v>13' fadeaway Jump Shot (17 PTS)</v>
      </c>
      <c r="L870" s="2" t="str">
        <f>HYPERLINK("https://www.nba.com/game/...-vs-...-0022000799/play-by-play?watchFullGame=true", "LAC vs HOU - Q3 06:40.00")</f>
        <v>LAC vs HOU - Q3 06:40.00</v>
      </c>
      <c r="M870">
        <v>13.84</v>
      </c>
      <c r="N870">
        <v>19.920000000000002</v>
      </c>
      <c r="O870">
        <v>43.7</v>
      </c>
      <c r="P870">
        <v>32</v>
      </c>
      <c r="Q870">
        <v>135</v>
      </c>
      <c r="R870">
        <v>19</v>
      </c>
      <c r="S870">
        <v>43</v>
      </c>
    </row>
    <row r="871" spans="1:19" hidden="1" x14ac:dyDescent="0.25">
      <c r="A871">
        <v>22000400</v>
      </c>
      <c r="B871" t="s">
        <v>18</v>
      </c>
      <c r="C871" t="s">
        <v>19</v>
      </c>
      <c r="D871">
        <v>114</v>
      </c>
      <c r="E871">
        <v>97</v>
      </c>
      <c r="F871">
        <v>17</v>
      </c>
      <c r="G871">
        <v>4</v>
      </c>
      <c r="H871" s="1">
        <v>3.2986111111111111E-3</v>
      </c>
      <c r="I871">
        <v>2020</v>
      </c>
      <c r="J871" t="s">
        <v>83</v>
      </c>
      <c r="K871" s="2" t="str">
        <f>HYPERLINK("https://www.nba.com/stats/events?CFID=&amp;CFPARAMS=&amp;GameEventID=524&amp;GameID=0022000400&amp;Season=2020-21&amp;flag=1&amp;title=Leonard%2013'%20turnaround%20Jump%20Shot%20(30%20PTS)", "13' turnaround Jump Shot (30 PTS)")</f>
        <v>13' turnaround Jump Shot (30 PTS)</v>
      </c>
      <c r="L871" s="2" t="str">
        <f>HYPERLINK("https://www.nba.com/game/...-vs-...-0022000400/play-by-play?watchFullGame=true", "LAC vs CHI - Q4 04:45.00")</f>
        <v>LAC vs CHI - Q4 04:45.00</v>
      </c>
      <c r="M871">
        <v>13.77</v>
      </c>
      <c r="N871">
        <v>19.66</v>
      </c>
      <c r="O871">
        <v>57.67</v>
      </c>
      <c r="P871">
        <v>-38</v>
      </c>
      <c r="Q871">
        <v>132</v>
      </c>
      <c r="R871">
        <v>19</v>
      </c>
      <c r="S871">
        <v>57</v>
      </c>
    </row>
    <row r="872" spans="1:19" hidden="1" x14ac:dyDescent="0.25">
      <c r="A872">
        <v>22300160</v>
      </c>
      <c r="B872" t="s">
        <v>18</v>
      </c>
      <c r="C872" t="s">
        <v>19</v>
      </c>
      <c r="D872">
        <v>52</v>
      </c>
      <c r="E872">
        <v>54</v>
      </c>
      <c r="F872">
        <v>2</v>
      </c>
      <c r="G872">
        <v>3</v>
      </c>
      <c r="H872" s="1">
        <v>5.5787037037037038E-3</v>
      </c>
      <c r="I872">
        <v>2023</v>
      </c>
      <c r="J872" t="s">
        <v>83</v>
      </c>
      <c r="K872" s="2" t="str">
        <f>HYPERLINK("https://www.nba.com/stats/events?CFID=&amp;CFPARAMS=&amp;GameEventID=379&amp;GameID=0022300160&amp;Season=2023-24&amp;flag=1&amp;title=Leonard%2013'%20pullup%20Jump%20Shot%20(8%20PTS)%20(R.%20Westbrook%205%20AST)", "13' pullup Jump Shot (8 PTS) (R. Westbrook 5 AST)")</f>
        <v>13' pullup Jump Shot (8 PTS) (R. Westbrook 5 AST)</v>
      </c>
      <c r="L872" s="2" t="str">
        <f>HYPERLINK("https://www.nba.com/game/...-vs-...-0022300160/play-by-play?watchFullGame=true", "LAC vs BKN - Q3 08:02.00")</f>
        <v>LAC vs BKN - Q3 08:02.00</v>
      </c>
      <c r="M872">
        <v>13.75</v>
      </c>
      <c r="N872">
        <v>19.399999999999999</v>
      </c>
      <c r="O872">
        <v>59.07</v>
      </c>
      <c r="P872">
        <v>-45</v>
      </c>
      <c r="Q872">
        <v>130</v>
      </c>
      <c r="R872">
        <v>19</v>
      </c>
      <c r="S872">
        <v>59</v>
      </c>
    </row>
    <row r="873" spans="1:19" hidden="1" x14ac:dyDescent="0.25">
      <c r="A873">
        <v>41900155</v>
      </c>
      <c r="B873" t="s">
        <v>18</v>
      </c>
      <c r="C873" t="s">
        <v>84</v>
      </c>
      <c r="D873">
        <v>13</v>
      </c>
      <c r="E873">
        <v>16</v>
      </c>
      <c r="F873">
        <v>3</v>
      </c>
      <c r="G873">
        <v>1</v>
      </c>
      <c r="H873" s="1">
        <v>5.3819444444444444E-3</v>
      </c>
      <c r="I873" t="s">
        <v>86</v>
      </c>
      <c r="J873" t="s">
        <v>83</v>
      </c>
      <c r="K873" s="2" t="str">
        <f>HYPERLINK("https://www.nba.com/stats/events?CFID=&amp;CFPARAMS=&amp;GameEventID=43&amp;GameID=0041900155&amp;Season=2019-20&amp;flag=1&amp;title=Leonard%2014'%20jumpshot%20(4%20PTS)", "14' jumpshot (4 PTS)")</f>
        <v>14' jumpshot (4 PTS)</v>
      </c>
      <c r="L873" s="2" t="str">
        <f>HYPERLINK("https://www.nba.com/game/...-vs-...-0041900155/play-by-play?watchFullGame=true", "LAC vs DAL - Q1 07:45.00")</f>
        <v>LAC vs DAL - Q1 07:45.00</v>
      </c>
      <c r="M873">
        <v>13.7</v>
      </c>
      <c r="N873">
        <v>19.53</v>
      </c>
      <c r="O873">
        <v>47.86</v>
      </c>
      <c r="P873">
        <v>11</v>
      </c>
      <c r="Q873">
        <v>131</v>
      </c>
      <c r="R873">
        <v>19</v>
      </c>
      <c r="S873">
        <v>47</v>
      </c>
    </row>
    <row r="874" spans="1:19" hidden="1" x14ac:dyDescent="0.25">
      <c r="A874">
        <v>21900145</v>
      </c>
      <c r="B874" t="s">
        <v>18</v>
      </c>
      <c r="C874" t="s">
        <v>84</v>
      </c>
      <c r="D874">
        <v>89</v>
      </c>
      <c r="E874">
        <v>84</v>
      </c>
      <c r="F874">
        <v>5</v>
      </c>
      <c r="G874">
        <v>4</v>
      </c>
      <c r="H874" s="1">
        <v>4.2476851851851851E-3</v>
      </c>
      <c r="I874">
        <v>2019</v>
      </c>
      <c r="J874" t="s">
        <v>83</v>
      </c>
      <c r="K874" s="2" t="str">
        <f>HYPERLINK("https://www.nba.com/stats/events?CFID=&amp;CFPARAMS=&amp;GameEventID=589&amp;GameID=0021900145&amp;Season=2019-20&amp;flag=1&amp;title=[LAC]%20Leonard%20jumpshot:%20Made%20(9%20PTS)%20assist:%20Green%20(1%20AST)", "[LAC] Leonard jumpshot: Made (9 PTS) assist: Green (1 AST)")</f>
        <v>[LAC] Leonard jumpshot: Made (9 PTS) assist: Green (1 AST)</v>
      </c>
      <c r="L874" s="2" t="str">
        <f>HYPERLINK("https://www.nba.com/game/...-vs-...-0021900145/play-by-play?watchFullGame=true", "LAC vs TOR - Q4 06:07.00")</f>
        <v>LAC vs TOR - Q4 06:07.00</v>
      </c>
      <c r="M874">
        <v>13.59</v>
      </c>
      <c r="N874">
        <v>19.100000000000001</v>
      </c>
      <c r="O874">
        <v>44.05</v>
      </c>
      <c r="P874">
        <v>30</v>
      </c>
      <c r="Q874">
        <v>127</v>
      </c>
      <c r="R874">
        <v>19</v>
      </c>
      <c r="S874">
        <v>44</v>
      </c>
    </row>
    <row r="875" spans="1:19" hidden="1" x14ac:dyDescent="0.25">
      <c r="A875">
        <v>22300770</v>
      </c>
      <c r="B875" t="s">
        <v>18</v>
      </c>
      <c r="C875" t="s">
        <v>19</v>
      </c>
      <c r="D875">
        <v>9</v>
      </c>
      <c r="E875">
        <v>10</v>
      </c>
      <c r="F875">
        <v>1</v>
      </c>
      <c r="G875">
        <v>1</v>
      </c>
      <c r="H875" s="1">
        <v>4.409722222222222E-3</v>
      </c>
      <c r="I875">
        <v>2023</v>
      </c>
      <c r="J875" t="s">
        <v>83</v>
      </c>
      <c r="K875" s="2" t="str">
        <f>HYPERLINK("https://www.nba.com/stats/events?CFID=&amp;CFPARAMS=&amp;GameEventID=61&amp;GameID=0022300770&amp;Season=2023-24&amp;flag=1&amp;title=Leonard%2013'%20Jump%20Shot%20(2%20PTS)%20(P.%20George%201%20AST)", "13' Jump Shot (2 PTS) (P. George 1 AST)")</f>
        <v>13' Jump Shot (2 PTS) (P. George 1 AST)</v>
      </c>
      <c r="L875" s="2" t="str">
        <f>HYPERLINK("https://www.nba.com/game/...-vs-...-0022300770/play-by-play?watchFullGame=true", "LAC vs MIN - Q1 06:21.00")</f>
        <v>LAC vs MIN - Q1 06:21.00</v>
      </c>
      <c r="M875">
        <v>13.58</v>
      </c>
      <c r="N875">
        <v>19.97</v>
      </c>
      <c r="O875">
        <v>52.32</v>
      </c>
      <c r="P875">
        <v>-12</v>
      </c>
      <c r="Q875">
        <v>135</v>
      </c>
      <c r="R875">
        <v>19</v>
      </c>
      <c r="S875">
        <v>52</v>
      </c>
    </row>
    <row r="876" spans="1:19" hidden="1" x14ac:dyDescent="0.25">
      <c r="A876">
        <v>22300618</v>
      </c>
      <c r="B876" t="s">
        <v>18</v>
      </c>
      <c r="C876" t="s">
        <v>19</v>
      </c>
      <c r="D876">
        <v>92</v>
      </c>
      <c r="E876">
        <v>85</v>
      </c>
      <c r="F876">
        <v>7</v>
      </c>
      <c r="G876">
        <v>3</v>
      </c>
      <c r="H876" s="1">
        <v>3.5763888888888889E-3</v>
      </c>
      <c r="I876">
        <v>2023</v>
      </c>
      <c r="J876" t="s">
        <v>83</v>
      </c>
      <c r="K876" s="2" t="str">
        <f>HYPERLINK("https://www.nba.com/stats/events?CFID=&amp;CFPARAMS=&amp;GameEventID=384&amp;GameID=0022300618&amp;Season=2023-24&amp;flag=1&amp;title=Leonard%2013'%20pullup%20Jump%20Shot%20(18%20PTS)", "13' pullup Jump Shot (18 PTS)")</f>
        <v>13' pullup Jump Shot (18 PTS)</v>
      </c>
      <c r="L876" s="2" t="str">
        <f>HYPERLINK("https://www.nba.com/game/...-vs-...-0022300618/play-by-play?watchFullGame=true", "LAC vs LAL - Q3 05:09.00")</f>
        <v>LAC vs LAL - Q3 05:09.00</v>
      </c>
      <c r="M876">
        <v>13.55</v>
      </c>
      <c r="N876">
        <v>19.5</v>
      </c>
      <c r="O876">
        <v>57.11</v>
      </c>
      <c r="P876">
        <v>-36</v>
      </c>
      <c r="Q876">
        <v>131</v>
      </c>
      <c r="R876">
        <v>19</v>
      </c>
      <c r="S876">
        <v>57</v>
      </c>
    </row>
    <row r="877" spans="1:19" hidden="1" x14ac:dyDescent="0.25">
      <c r="A877">
        <v>41900151</v>
      </c>
      <c r="B877" t="s">
        <v>18</v>
      </c>
      <c r="C877" t="s">
        <v>84</v>
      </c>
      <c r="D877">
        <v>103</v>
      </c>
      <c r="E877">
        <v>98</v>
      </c>
      <c r="F877">
        <v>5</v>
      </c>
      <c r="G877">
        <v>4</v>
      </c>
      <c r="H877" s="1">
        <v>3.0902777777777777E-3</v>
      </c>
      <c r="I877" t="s">
        <v>86</v>
      </c>
      <c r="J877" t="s">
        <v>83</v>
      </c>
      <c r="K877" s="2" t="str">
        <f>HYPERLINK("https://www.nba.com/stats/events?CFID=&amp;CFPARAMS=&amp;GameEventID=622&amp;GameID=0041900151&amp;Season=2019-20&amp;flag=1&amp;title=Leonard%2013'%20jumpshot%20(25%20PTS)", "13' jumpshot (25 PTS)")</f>
        <v>13' jumpshot (25 PTS)</v>
      </c>
      <c r="L877" s="2" t="str">
        <f>HYPERLINK("https://www.nba.com/game/...-vs-...-0041900151/play-by-play?watchFullGame=true", "LAC vs DAL - Q4 04:27.00")</f>
        <v>LAC vs DAL - Q4 04:27.00</v>
      </c>
      <c r="M877">
        <v>13.41</v>
      </c>
      <c r="N877">
        <v>19.14</v>
      </c>
      <c r="O877">
        <v>46.39</v>
      </c>
      <c r="P877">
        <v>18</v>
      </c>
      <c r="Q877">
        <v>127</v>
      </c>
      <c r="R877">
        <v>19</v>
      </c>
      <c r="S877">
        <v>46</v>
      </c>
    </row>
    <row r="878" spans="1:19" hidden="1" x14ac:dyDescent="0.25">
      <c r="A878">
        <v>22000756</v>
      </c>
      <c r="B878" t="s">
        <v>18</v>
      </c>
      <c r="C878" t="s">
        <v>19</v>
      </c>
      <c r="D878">
        <v>96</v>
      </c>
      <c r="E878">
        <v>75</v>
      </c>
      <c r="F878">
        <v>21</v>
      </c>
      <c r="G878">
        <v>4</v>
      </c>
      <c r="H878" s="1">
        <v>3.0555555555555557E-3</v>
      </c>
      <c r="I878">
        <v>2020</v>
      </c>
      <c r="J878" t="s">
        <v>83</v>
      </c>
      <c r="K878" s="2" t="str">
        <f>HYPERLINK("https://www.nba.com/stats/events?CFID=&amp;CFPARAMS=&amp;GameEventID=581&amp;GameID=0022000756&amp;Season=2020-21&amp;flag=1&amp;title=Leonard%2012'%20fadeaway%20Jump%20Shot%20(19%20PTS)", "12' fadeaway Jump Shot (19 PTS)")</f>
        <v>12' fadeaway Jump Shot (19 PTS)</v>
      </c>
      <c r="L878" s="2" t="str">
        <f>HYPERLINK("https://www.nba.com/game/...-vs-...-0022000756/play-by-play?watchFullGame=true", "LAC vs LAL - Q4 04:24.00")</f>
        <v>LAC vs LAL - Q4 04:24.00</v>
      </c>
      <c r="M878">
        <v>12.99</v>
      </c>
      <c r="N878">
        <v>19.27</v>
      </c>
      <c r="O878">
        <v>46.39</v>
      </c>
      <c r="P878">
        <v>18</v>
      </c>
      <c r="Q878">
        <v>129</v>
      </c>
      <c r="R878">
        <v>19</v>
      </c>
      <c r="S878">
        <v>46</v>
      </c>
    </row>
    <row r="879" spans="1:19" hidden="1" x14ac:dyDescent="0.25">
      <c r="A879">
        <v>22300304</v>
      </c>
      <c r="B879" t="s">
        <v>18</v>
      </c>
      <c r="C879" t="s">
        <v>19</v>
      </c>
      <c r="D879">
        <v>114</v>
      </c>
      <c r="E879">
        <v>108</v>
      </c>
      <c r="F879">
        <v>6</v>
      </c>
      <c r="G879">
        <v>4</v>
      </c>
      <c r="H879" s="1">
        <v>4.5138888888888885E-3</v>
      </c>
      <c r="I879">
        <v>2023</v>
      </c>
      <c r="J879" t="s">
        <v>83</v>
      </c>
      <c r="K879" s="2" t="str">
        <f>HYPERLINK("https://www.nba.com/stats/events?CFID=&amp;CFPARAMS=&amp;GameEventID=535&amp;GameID=0022300304&amp;Season=2023-24&amp;flag=1&amp;title=Leonard%2012'%20pullup%20Jump%20Shot%20(28%20PTS)%20(I.%20Zubac%201%20AST)", "12' pullup Jump Shot (28 PTS) (I. Zubac 1 AST)")</f>
        <v>12' pullup Jump Shot (28 PTS) (I. Zubac 1 AST)</v>
      </c>
      <c r="L879" s="2" t="str">
        <f>HYPERLINK("https://www.nba.com/game/...-vs-...-0022300304/play-by-play?watchFullGame=true", "LAC vs POR - Q4 06:30.00")</f>
        <v>LAC vs POR - Q4 06:30.00</v>
      </c>
      <c r="M879">
        <v>12.97</v>
      </c>
      <c r="N879">
        <v>19.100000000000001</v>
      </c>
      <c r="O879">
        <v>44.85</v>
      </c>
      <c r="P879">
        <v>26</v>
      </c>
      <c r="Q879">
        <v>127</v>
      </c>
      <c r="R879">
        <v>19</v>
      </c>
      <c r="S879">
        <v>44</v>
      </c>
    </row>
    <row r="880" spans="1:19" hidden="1" x14ac:dyDescent="0.25">
      <c r="A880">
        <v>22000105</v>
      </c>
      <c r="B880" t="s">
        <v>18</v>
      </c>
      <c r="C880" t="s">
        <v>19</v>
      </c>
      <c r="D880">
        <v>9</v>
      </c>
      <c r="E880">
        <v>16</v>
      </c>
      <c r="F880">
        <v>7</v>
      </c>
      <c r="G880">
        <v>1</v>
      </c>
      <c r="H880" s="1">
        <v>4.1435185185185186E-3</v>
      </c>
      <c r="I880">
        <v>2020</v>
      </c>
      <c r="J880" t="s">
        <v>83</v>
      </c>
      <c r="K880" s="2" t="str">
        <f>HYPERLINK("https://www.nba.com/stats/events?CFID=&amp;CFPARAMS=&amp;GameEventID=59&amp;GameID=0022000105&amp;Season=2020-21&amp;flag=1&amp;title=Leonard%2012'%20fadeaway%20Jump%20Shot%20(4%20PTS)", "12' fadeaway Jump Shot (4 PTS)")</f>
        <v>12' fadeaway Jump Shot (4 PTS)</v>
      </c>
      <c r="L880" s="2" t="str">
        <f>HYPERLINK("https://www.nba.com/game/...-vs-...-0022000105/play-by-play?watchFullGame=true", "LAC vs SAS - Q1 05:58.00")</f>
        <v>LAC vs SAS - Q1 05:58.00</v>
      </c>
      <c r="M880">
        <v>12.76</v>
      </c>
      <c r="N880">
        <v>19.14</v>
      </c>
      <c r="O880">
        <v>51.54</v>
      </c>
      <c r="P880">
        <v>-8</v>
      </c>
      <c r="Q880">
        <v>127</v>
      </c>
      <c r="R880">
        <v>19</v>
      </c>
      <c r="S880">
        <v>51</v>
      </c>
    </row>
    <row r="881" spans="1:19" hidden="1" x14ac:dyDescent="0.25">
      <c r="A881">
        <v>21901241</v>
      </c>
      <c r="B881" t="s">
        <v>26</v>
      </c>
      <c r="C881" t="s">
        <v>84</v>
      </c>
      <c r="D881">
        <v>17</v>
      </c>
      <c r="E881">
        <v>6</v>
      </c>
      <c r="F881">
        <v>11</v>
      </c>
      <c r="G881">
        <v>1</v>
      </c>
      <c r="H881" s="1">
        <v>5.9143518518518521E-3</v>
      </c>
      <c r="I881">
        <v>2019</v>
      </c>
      <c r="J881" t="s">
        <v>83</v>
      </c>
      <c r="K881" s="2" t="str">
        <f>HYPERLINK("https://www.nba.com/stats/events?CFID=&amp;CFPARAMS=&amp;GameEventID=38&amp;GameID=0021901241&amp;Season=2019-20&amp;flag=1&amp;title=Leonard%2025'%203PT%20%20(5%20PTS)", "25' 3PT  (5 PTS)")</f>
        <v>25' 3PT  (5 PTS)</v>
      </c>
      <c r="L881" s="2" t="str">
        <f>HYPERLINK("https://www.nba.com/game/...-vs-...-0021901241/play-by-play?watchFullGame=true", "LAC vs NOP - Q1 08:31.00")</f>
        <v>LAC vs NOP - Q1 08:31.00</v>
      </c>
      <c r="M881">
        <v>24.55</v>
      </c>
      <c r="N881">
        <v>20.84</v>
      </c>
      <c r="O881">
        <v>89.04</v>
      </c>
      <c r="P881">
        <v>-195</v>
      </c>
      <c r="Q881">
        <v>143</v>
      </c>
      <c r="R881">
        <v>20</v>
      </c>
      <c r="S881">
        <v>89</v>
      </c>
    </row>
    <row r="882" spans="1:19" hidden="1" x14ac:dyDescent="0.25">
      <c r="A882">
        <v>21900436</v>
      </c>
      <c r="B882" t="s">
        <v>18</v>
      </c>
      <c r="C882" t="s">
        <v>84</v>
      </c>
      <c r="D882">
        <v>2</v>
      </c>
      <c r="E882">
        <v>3</v>
      </c>
      <c r="F882">
        <v>1</v>
      </c>
      <c r="G882">
        <v>1</v>
      </c>
      <c r="H882" s="1">
        <v>7.6736111111111111E-3</v>
      </c>
      <c r="I882">
        <v>2019</v>
      </c>
      <c r="J882" t="s">
        <v>83</v>
      </c>
      <c r="K882" s="2" t="str">
        <f>HYPERLINK("https://www.nba.com/stats/events?CFID=&amp;CFPARAMS=&amp;GameEventID=17&amp;GameID=0021900436&amp;Season=2019-20&amp;flag=1&amp;title=Leonard%2020'%20jumpshot%20(2%20PTS)%20(M.%20Harkless%201%20AST)", "20' jumpshot (2 PTS) (M. Harkless 1 AST)")</f>
        <v>20' jumpshot (2 PTS) (M. Harkless 1 AST)</v>
      </c>
      <c r="L882" s="2" t="str">
        <f>HYPERLINK("https://www.nba.com/game/...-vs-...-0021900436/play-by-play?watchFullGame=true", "LAC vs SAS - Q1 11:03.00")</f>
        <v>LAC vs SAS - Q1 11:03.00</v>
      </c>
      <c r="M882">
        <v>20.05</v>
      </c>
      <c r="N882">
        <v>20.58</v>
      </c>
      <c r="O882">
        <v>22.62</v>
      </c>
      <c r="P882">
        <v>137</v>
      </c>
      <c r="Q882">
        <v>141</v>
      </c>
      <c r="R882">
        <v>20</v>
      </c>
      <c r="S882">
        <v>22</v>
      </c>
    </row>
    <row r="883" spans="1:19" hidden="1" x14ac:dyDescent="0.25">
      <c r="A883">
        <v>22000756</v>
      </c>
      <c r="B883" t="s">
        <v>18</v>
      </c>
      <c r="C883" t="s">
        <v>19</v>
      </c>
      <c r="D883">
        <v>81</v>
      </c>
      <c r="E883">
        <v>59</v>
      </c>
      <c r="F883">
        <v>22</v>
      </c>
      <c r="G883">
        <v>4</v>
      </c>
      <c r="H883" s="1">
        <v>7.4768518518518517E-3</v>
      </c>
      <c r="I883">
        <v>2020</v>
      </c>
      <c r="J883" t="s">
        <v>83</v>
      </c>
      <c r="K883" s="2" t="str">
        <f>HYPERLINK("https://www.nba.com/stats/events?CFID=&amp;CFPARAMS=&amp;GameEventID=508&amp;GameID=0022000756&amp;Season=2020-21&amp;flag=1&amp;title=Leonard%2018'%20pullup%20Jump%20Shot%20(15%20PTS)", "18' pullup Jump Shot (15 PTS)")</f>
        <v>18' pullup Jump Shot (15 PTS)</v>
      </c>
      <c r="L883" s="2" t="str">
        <f>HYPERLINK("https://www.nba.com/game/...-vs-...-0022000756/play-by-play?watchFullGame=true", "LAC vs LAL - Q4 10:46.00")</f>
        <v>LAC vs LAL - Q4 10:46.00</v>
      </c>
      <c r="M883">
        <v>18.79</v>
      </c>
      <c r="N883">
        <v>20.190000000000001</v>
      </c>
      <c r="O883">
        <v>24.33</v>
      </c>
      <c r="P883">
        <v>128</v>
      </c>
      <c r="Q883">
        <v>137</v>
      </c>
      <c r="R883">
        <v>20</v>
      </c>
      <c r="S883">
        <v>24</v>
      </c>
    </row>
    <row r="884" spans="1:19" hidden="1" x14ac:dyDescent="0.25">
      <c r="A884">
        <v>22300956</v>
      </c>
      <c r="B884" t="s">
        <v>18</v>
      </c>
      <c r="C884" t="s">
        <v>19</v>
      </c>
      <c r="D884">
        <v>25</v>
      </c>
      <c r="E884">
        <v>14</v>
      </c>
      <c r="F884">
        <v>11</v>
      </c>
      <c r="G884">
        <v>1</v>
      </c>
      <c r="H884" s="1">
        <v>2.627314814814815E-3</v>
      </c>
      <c r="I884">
        <v>2023</v>
      </c>
      <c r="J884" t="s">
        <v>83</v>
      </c>
      <c r="K884" s="2" t="str">
        <f>HYPERLINK("https://www.nba.com/stats/events?CFID=&amp;CFPARAMS=&amp;GameEventID=87&amp;GameID=0022300956&amp;Season=2023-24&amp;flag=1&amp;title=Leonard%2018'%20step%20back%20Jump%20Shot%20(8%20PTS)", "18' step back Jump Shot (8 PTS)")</f>
        <v>18' step back Jump Shot (8 PTS)</v>
      </c>
      <c r="L884" s="2" t="str">
        <f>HYPERLINK("https://www.nba.com/game/...-vs-...-0022300956/play-by-play?watchFullGame=true", "LAC vs CHI - Q1 03:47.00")</f>
        <v>LAC vs CHI - Q1 03:47.00</v>
      </c>
      <c r="M884">
        <v>18.78</v>
      </c>
      <c r="N884">
        <v>20.84</v>
      </c>
      <c r="O884">
        <v>25.74</v>
      </c>
      <c r="P884">
        <v>121</v>
      </c>
      <c r="Q884">
        <v>143</v>
      </c>
      <c r="R884">
        <v>20</v>
      </c>
      <c r="S884">
        <v>25</v>
      </c>
    </row>
    <row r="885" spans="1:19" hidden="1" x14ac:dyDescent="0.25">
      <c r="A885">
        <v>22200668</v>
      </c>
      <c r="B885" t="s">
        <v>18</v>
      </c>
      <c r="C885" t="s">
        <v>19</v>
      </c>
      <c r="D885">
        <v>60</v>
      </c>
      <c r="E885">
        <v>67</v>
      </c>
      <c r="F885">
        <v>7</v>
      </c>
      <c r="G885">
        <v>3</v>
      </c>
      <c r="H885" s="1">
        <v>6.9560185185185185E-3</v>
      </c>
      <c r="I885">
        <v>2022</v>
      </c>
      <c r="J885" t="s">
        <v>83</v>
      </c>
      <c r="K885" s="2" t="str">
        <f>HYPERLINK("https://www.nba.com/stats/events?CFID=&amp;CFPARAMS=&amp;GameEventID=339&amp;GameID=0022200668&amp;Season=2022-23&amp;flag=1&amp;title=Leonard%2016'%20pullup%20Jump%20Shot%20(16%20PTS)%20(M.%20Morris%20Sr.%201%20AST)", "16' pullup Jump Shot (16 PTS) (M. Morris Sr. 1 AST)")</f>
        <v>16' pullup Jump Shot (16 PTS) (M. Morris Sr. 1 AST)</v>
      </c>
      <c r="L885" s="2" t="str">
        <f>HYPERLINK("https://www.nba.com/game/...-vs-...-0022200668/play-by-play?watchFullGame=true", "LAC vs PHI - Q3 10:01.00")</f>
        <v>LAC vs PHI - Q3 10:01.00</v>
      </c>
      <c r="M885">
        <v>16.260000000000002</v>
      </c>
      <c r="N885">
        <v>20.02</v>
      </c>
      <c r="O885">
        <v>32.11</v>
      </c>
      <c r="P885">
        <v>89</v>
      </c>
      <c r="Q885">
        <v>136</v>
      </c>
      <c r="R885">
        <v>20</v>
      </c>
      <c r="S885">
        <v>32</v>
      </c>
    </row>
    <row r="886" spans="1:19" hidden="1" x14ac:dyDescent="0.25">
      <c r="A886">
        <v>22000736</v>
      </c>
      <c r="B886" t="s">
        <v>18</v>
      </c>
      <c r="C886" t="s">
        <v>19</v>
      </c>
      <c r="D886">
        <v>63</v>
      </c>
      <c r="E886">
        <v>73</v>
      </c>
      <c r="F886">
        <v>10</v>
      </c>
      <c r="G886">
        <v>3</v>
      </c>
      <c r="H886" s="1">
        <v>3.5648148148148149E-3</v>
      </c>
      <c r="I886">
        <v>2020</v>
      </c>
      <c r="J886" t="s">
        <v>83</v>
      </c>
      <c r="K886" s="2" t="str">
        <f>HYPERLINK("https://www.nba.com/stats/events?CFID=&amp;CFPARAMS=&amp;GameEventID=382&amp;GameID=0022000736&amp;Season=2020-21&amp;flag=1&amp;title=Leonard%2016'%20pullup%20Jump%20Shot%20(17%20PTS)", "16' pullup Jump Shot (17 PTS)")</f>
        <v>16' pullup Jump Shot (17 PTS)</v>
      </c>
      <c r="L886" s="2" t="str">
        <f>HYPERLINK("https://www.nba.com/game/...-vs-...-0022000736/play-by-play?watchFullGame=true", "LAC vs DEN - Q3 05:08.00")</f>
        <v>LAC vs DEN - Q3 05:08.00</v>
      </c>
      <c r="M886">
        <v>16.53</v>
      </c>
      <c r="N886">
        <v>20.71</v>
      </c>
      <c r="O886">
        <v>33.159999999999997</v>
      </c>
      <c r="P886">
        <v>84</v>
      </c>
      <c r="Q886">
        <v>142</v>
      </c>
      <c r="R886">
        <v>20</v>
      </c>
      <c r="S886">
        <v>33</v>
      </c>
    </row>
    <row r="887" spans="1:19" hidden="1" x14ac:dyDescent="0.25">
      <c r="A887">
        <v>22300708</v>
      </c>
      <c r="B887" t="s">
        <v>18</v>
      </c>
      <c r="C887" t="s">
        <v>19</v>
      </c>
      <c r="D887">
        <v>43</v>
      </c>
      <c r="E887">
        <v>41</v>
      </c>
      <c r="F887">
        <v>2</v>
      </c>
      <c r="G887">
        <v>2</v>
      </c>
      <c r="H887" s="1">
        <v>8.9120370370370373E-4</v>
      </c>
      <c r="I887">
        <v>2023</v>
      </c>
      <c r="J887" t="s">
        <v>83</v>
      </c>
      <c r="K887" s="2" t="str">
        <f>HYPERLINK("https://www.nba.com/stats/events?CFID=&amp;CFPARAMS=&amp;GameEventID=253&amp;GameID=0022300708&amp;Season=2023-24&amp;flag=1&amp;title=Leonard%2016'%20pullup%20Jump%20Shot%20(11%20PTS)%20(P.%20George%201%20AST)", "16' pullup Jump Shot (11 PTS) (P. George 1 AST)")</f>
        <v>16' pullup Jump Shot (11 PTS) (P. George 1 AST)</v>
      </c>
      <c r="L887" s="2" t="str">
        <f>HYPERLINK("https://www.nba.com/game/...-vs-...-0022300708/play-by-play?watchFullGame=true", "LAC vs MIA - Q2 01:17.00")</f>
        <v>LAC vs MIA - Q2 01:17.00</v>
      </c>
      <c r="M887">
        <v>16.059999999999999</v>
      </c>
      <c r="N887">
        <v>20.190000000000001</v>
      </c>
      <c r="O887">
        <v>33.33</v>
      </c>
      <c r="P887">
        <v>83</v>
      </c>
      <c r="Q887">
        <v>137</v>
      </c>
      <c r="R887">
        <v>20</v>
      </c>
      <c r="S887">
        <v>33</v>
      </c>
    </row>
    <row r="888" spans="1:19" hidden="1" x14ac:dyDescent="0.25">
      <c r="A888">
        <v>22400596</v>
      </c>
      <c r="B888" t="s">
        <v>18</v>
      </c>
      <c r="C888" t="s">
        <v>19</v>
      </c>
      <c r="D888">
        <v>79</v>
      </c>
      <c r="E888">
        <v>60</v>
      </c>
      <c r="F888">
        <v>19</v>
      </c>
      <c r="G888">
        <v>3</v>
      </c>
      <c r="H888" s="1">
        <v>4.7222222222222223E-3</v>
      </c>
      <c r="I888">
        <v>2024</v>
      </c>
      <c r="J888" t="s">
        <v>83</v>
      </c>
      <c r="K888" s="2" t="str">
        <f>HYPERLINK("https://www.nba.com/stats/events?CFID=&amp;CFPARAMS=&amp;GameEventID=346&amp;GameID=0022400596&amp;Season=2024-25&amp;flag=1&amp;title=Leonard%2016'%20Jump%20Shot%20(15%20PTS)%20(J.%20Harden%208%20AST)", "16' Jump Shot (15 PTS) (J. Harden 8 AST)")</f>
        <v>16' Jump Shot (15 PTS) (J. Harden 8 AST)</v>
      </c>
      <c r="L888" s="2" t="str">
        <f>HYPERLINK("https://www.nba.com/game/...-vs-...-0022400596/play-by-play?watchFullGame=true", "LAC vs LAL - Q3 06:48.00")</f>
        <v>LAC vs LAL - Q3 06:48.00</v>
      </c>
      <c r="M888">
        <v>16.079999999999998</v>
      </c>
      <c r="N888">
        <v>20.239999999999998</v>
      </c>
      <c r="O888">
        <v>33.409999999999997</v>
      </c>
      <c r="P888">
        <v>83</v>
      </c>
      <c r="Q888">
        <v>138</v>
      </c>
      <c r="R888">
        <v>20</v>
      </c>
      <c r="S888">
        <v>33</v>
      </c>
    </row>
    <row r="889" spans="1:19" hidden="1" x14ac:dyDescent="0.25">
      <c r="A889">
        <v>22200784</v>
      </c>
      <c r="B889" t="s">
        <v>18</v>
      </c>
      <c r="C889" t="s">
        <v>19</v>
      </c>
      <c r="D889">
        <v>2</v>
      </c>
      <c r="E889">
        <v>0</v>
      </c>
      <c r="F889">
        <v>2</v>
      </c>
      <c r="G889">
        <v>1</v>
      </c>
      <c r="H889" s="1">
        <v>8.1597222222222227E-3</v>
      </c>
      <c r="I889">
        <v>2022</v>
      </c>
      <c r="J889" t="s">
        <v>83</v>
      </c>
      <c r="K889" s="2" t="str">
        <f>HYPERLINK("https://www.nba.com/stats/events?CFID=&amp;CFPARAMS=&amp;GameEventID=7&amp;GameID=0022200784&amp;Season=2022-23&amp;flag=1&amp;title=Leonard%2016'%20pullup%20Jump%20Shot%20(2%20PTS)", "16' pullup Jump Shot (2 PTS)")</f>
        <v>16' pullup Jump Shot (2 PTS)</v>
      </c>
      <c r="L889" s="2" t="str">
        <f>HYPERLINK("https://www.nba.com/game/...-vs-...-0022200784/play-by-play?watchFullGame=true", "LAC vs MIL - Q1 11:45.00")</f>
        <v>LAC vs MIL - Q1 11:45.00</v>
      </c>
      <c r="M889">
        <v>16.46</v>
      </c>
      <c r="N889">
        <v>20.98</v>
      </c>
      <c r="O889">
        <v>34.31</v>
      </c>
      <c r="P889">
        <v>78</v>
      </c>
      <c r="Q889">
        <v>145</v>
      </c>
      <c r="R889">
        <v>20</v>
      </c>
      <c r="S889">
        <v>34</v>
      </c>
    </row>
    <row r="890" spans="1:19" hidden="1" x14ac:dyDescent="0.25">
      <c r="A890">
        <v>21901232</v>
      </c>
      <c r="B890" t="s">
        <v>18</v>
      </c>
      <c r="C890" t="s">
        <v>84</v>
      </c>
      <c r="D890">
        <v>38</v>
      </c>
      <c r="E890">
        <v>41</v>
      </c>
      <c r="F890">
        <v>3</v>
      </c>
      <c r="G890">
        <v>2</v>
      </c>
      <c r="H890" s="1">
        <v>5.3819444444444444E-3</v>
      </c>
      <c r="I890">
        <v>2019</v>
      </c>
      <c r="J890" t="s">
        <v>83</v>
      </c>
      <c r="K890" s="2" t="str">
        <f>HYPERLINK("https://www.nba.com/stats/events?CFID=&amp;CFPARAMS=&amp;GameEventID=265&amp;GameID=0021901232&amp;Season=2019-20&amp;flag=1&amp;title=Leonard%2016'%20jumpshot%20(15%20PTS)", "16' jumpshot (15 PTS)")</f>
        <v>16' jumpshot (15 PTS)</v>
      </c>
      <c r="L890" s="2" t="str">
        <f>HYPERLINK("https://www.nba.com/game/...-vs-...-0021901232/play-by-play?watchFullGame=true", "LAC vs LAL - Q2 07:45.00")</f>
        <v>LAC vs LAL - Q2 07:45.00</v>
      </c>
      <c r="M890">
        <v>15.52</v>
      </c>
      <c r="N890">
        <v>20.84</v>
      </c>
      <c r="O890">
        <v>41.25</v>
      </c>
      <c r="P890">
        <v>44</v>
      </c>
      <c r="Q890">
        <v>143</v>
      </c>
      <c r="R890">
        <v>20</v>
      </c>
      <c r="S890">
        <v>41</v>
      </c>
    </row>
    <row r="891" spans="1:19" hidden="1" x14ac:dyDescent="0.25">
      <c r="A891">
        <v>41900231</v>
      </c>
      <c r="B891" t="s">
        <v>18</v>
      </c>
      <c r="C891" t="s">
        <v>84</v>
      </c>
      <c r="D891">
        <v>83</v>
      </c>
      <c r="E891">
        <v>62</v>
      </c>
      <c r="F891">
        <v>21</v>
      </c>
      <c r="G891">
        <v>3</v>
      </c>
      <c r="H891" s="1">
        <v>4.5601851851851853E-3</v>
      </c>
      <c r="I891" t="s">
        <v>85</v>
      </c>
      <c r="J891" t="s">
        <v>83</v>
      </c>
      <c r="K891" s="2" t="str">
        <f>HYPERLINK("https://www.nba.com/stats/events?CFID=&amp;CFPARAMS=&amp;GameEventID=386&amp;GameID=0041900231&amp;Season=2019-20&amp;flag=1&amp;title=Leonard%2015'%20jumpshot%20(25%20PTS)", "15' jumpshot (25 PTS)")</f>
        <v>15' jumpshot (25 PTS)</v>
      </c>
      <c r="L891" s="2" t="str">
        <f>HYPERLINK("https://www.nba.com/game/...-vs-...-0041900231/play-by-play?watchFullGame=true", "LAC vs DEN - Q3 06:34.00")</f>
        <v>LAC vs DEN - Q3 06:34.00</v>
      </c>
      <c r="M891">
        <v>15.03</v>
      </c>
      <c r="N891">
        <v>20.98</v>
      </c>
      <c r="O891">
        <v>50.8</v>
      </c>
      <c r="P891">
        <v>-4</v>
      </c>
      <c r="Q891">
        <v>145</v>
      </c>
      <c r="R891">
        <v>20</v>
      </c>
      <c r="S891">
        <v>50</v>
      </c>
    </row>
    <row r="892" spans="1:19" hidden="1" x14ac:dyDescent="0.25">
      <c r="A892">
        <v>22201129</v>
      </c>
      <c r="B892" t="s">
        <v>18</v>
      </c>
      <c r="C892" t="s">
        <v>19</v>
      </c>
      <c r="D892">
        <v>47</v>
      </c>
      <c r="E892">
        <v>44</v>
      </c>
      <c r="F892">
        <v>3</v>
      </c>
      <c r="G892">
        <v>2</v>
      </c>
      <c r="H892" s="1">
        <v>3.460648148148148E-3</v>
      </c>
      <c r="I892">
        <v>2022</v>
      </c>
      <c r="J892" t="s">
        <v>83</v>
      </c>
      <c r="K892" s="2" t="str">
        <f>HYPERLINK("https://www.nba.com/stats/events?CFID=&amp;CFPARAMS=&amp;GameEventID=242&amp;GameID=0022201129&amp;Season=2022-23&amp;flag=1&amp;title=Leonard%2016'%20pullup%20Jump%20Shot%20(7%20PTS)%20(E.%20Gordon%202%20AST)", "16' pullup Jump Shot (7 PTS) (E. Gordon 2 AST)")</f>
        <v>16' pullup Jump Shot (7 PTS) (E. Gordon 2 AST)</v>
      </c>
      <c r="L892" s="2" t="str">
        <f>HYPERLINK("https://www.nba.com/game/...-vs-...-0022201129/play-by-play?watchFullGame=true", "LAC vs CHI - Q2 04:59.00")</f>
        <v>LAC vs CHI - Q2 04:59.00</v>
      </c>
      <c r="M892">
        <v>16.04</v>
      </c>
      <c r="N892">
        <v>20.94</v>
      </c>
      <c r="O892">
        <v>63.97</v>
      </c>
      <c r="P892">
        <v>-70</v>
      </c>
      <c r="Q892">
        <v>144</v>
      </c>
      <c r="R892">
        <v>20</v>
      </c>
      <c r="S892">
        <v>63</v>
      </c>
    </row>
    <row r="893" spans="1:19" hidden="1" x14ac:dyDescent="0.25">
      <c r="A893">
        <v>22200795</v>
      </c>
      <c r="B893" t="s">
        <v>18</v>
      </c>
      <c r="C893" t="s">
        <v>19</v>
      </c>
      <c r="D893">
        <v>76</v>
      </c>
      <c r="E893">
        <v>68</v>
      </c>
      <c r="F893">
        <v>8</v>
      </c>
      <c r="G893">
        <v>3</v>
      </c>
      <c r="H893" s="1">
        <v>5.2314814814814811E-3</v>
      </c>
      <c r="I893">
        <v>2022</v>
      </c>
      <c r="J893" t="s">
        <v>83</v>
      </c>
      <c r="K893" s="2" t="str">
        <f>HYPERLINK("https://www.nba.com/stats/events?CFID=&amp;CFPARAMS=&amp;GameEventID=348&amp;GameID=0022200795&amp;Season=2022-23&amp;flag=1&amp;title=Leonard%2016'%20pullup%20Jump%20Shot%20(14%20PTS)", "16' pullup Jump Shot (14 PTS)")</f>
        <v>16' pullup Jump Shot (14 PTS)</v>
      </c>
      <c r="L893" s="2" t="str">
        <f>HYPERLINK("https://www.nba.com/game/...-vs-...-0022200795/play-by-play?watchFullGame=true", "LAC vs NYK - Q3 07:32.00")</f>
        <v>LAC vs NYK - Q3 07:32.00</v>
      </c>
      <c r="M893">
        <v>16.36</v>
      </c>
      <c r="N893">
        <v>20.71</v>
      </c>
      <c r="O893">
        <v>66.180000000000007</v>
      </c>
      <c r="P893">
        <v>-81</v>
      </c>
      <c r="Q893">
        <v>142</v>
      </c>
      <c r="R893">
        <v>20</v>
      </c>
      <c r="S893">
        <v>66</v>
      </c>
    </row>
    <row r="894" spans="1:19" hidden="1" x14ac:dyDescent="0.25">
      <c r="A894">
        <v>22300917</v>
      </c>
      <c r="B894" t="s">
        <v>18</v>
      </c>
      <c r="C894" t="s">
        <v>19</v>
      </c>
      <c r="D894">
        <v>14</v>
      </c>
      <c r="E894">
        <v>23</v>
      </c>
      <c r="F894">
        <v>9</v>
      </c>
      <c r="G894">
        <v>1</v>
      </c>
      <c r="H894" s="1">
        <v>1.724537037037037E-3</v>
      </c>
      <c r="I894">
        <v>2023</v>
      </c>
      <c r="J894" t="s">
        <v>83</v>
      </c>
      <c r="K894" s="2" t="str">
        <f>HYPERLINK("https://www.nba.com/stats/events?CFID=&amp;CFPARAMS=&amp;GameEventID=117&amp;GameID=0022300917&amp;Season=2023-24&amp;flag=1&amp;title=Leonard%2017'%20fadeaway%20Jump%20Shot%20(2%20PTS)", "17' fadeaway Jump Shot (2 PTS)")</f>
        <v>17' fadeaway Jump Shot (2 PTS)</v>
      </c>
      <c r="L894" s="2" t="str">
        <f>HYPERLINK("https://www.nba.com/game/...-vs-...-0022300917/play-by-play?watchFullGame=true", "LAC vs CHI - Q1 02:29.00")</f>
        <v>LAC vs CHI - Q1 02:29.00</v>
      </c>
      <c r="M894">
        <v>17.07</v>
      </c>
      <c r="N894">
        <v>20.81</v>
      </c>
      <c r="O894">
        <v>68.63</v>
      </c>
      <c r="P894">
        <v>-93</v>
      </c>
      <c r="Q894">
        <v>143</v>
      </c>
      <c r="R894">
        <v>20</v>
      </c>
      <c r="S894">
        <v>68</v>
      </c>
    </row>
    <row r="895" spans="1:19" hidden="1" x14ac:dyDescent="0.25">
      <c r="A895">
        <v>22201129</v>
      </c>
      <c r="B895" t="s">
        <v>18</v>
      </c>
      <c r="C895" t="s">
        <v>19</v>
      </c>
      <c r="D895">
        <v>27</v>
      </c>
      <c r="E895">
        <v>30</v>
      </c>
      <c r="F895">
        <v>3</v>
      </c>
      <c r="G895">
        <v>1</v>
      </c>
      <c r="H895" s="1">
        <v>1.4699074074074075E-4</v>
      </c>
      <c r="I895">
        <v>2022</v>
      </c>
      <c r="J895" t="s">
        <v>83</v>
      </c>
      <c r="K895" s="2" t="str">
        <f>HYPERLINK("https://www.nba.com/stats/events?CFID=&amp;CFPARAMS=&amp;GameEventID=131&amp;GameID=0022201129&amp;Season=2022-23&amp;flag=1&amp;title=Leonard%2016'%20Jump%20Shot%20(5%20PTS)%20(M.%20Plumlee%201%20AST)", "16' Jump Shot (5 PTS) (M. Plumlee 1 AST)")</f>
        <v>16' Jump Shot (5 PTS) (M. Plumlee 1 AST)</v>
      </c>
      <c r="L895" s="2" t="str">
        <f>HYPERLINK("https://www.nba.com/game/...-vs-...-0022201129/play-by-play?watchFullGame=true", "LAC vs CHI - Q1 00:12.70")</f>
        <v>LAC vs CHI - Q1 00:12.70</v>
      </c>
      <c r="M895">
        <v>16.89</v>
      </c>
      <c r="N895">
        <v>20.02</v>
      </c>
      <c r="O895">
        <v>70.099999999999994</v>
      </c>
      <c r="P895">
        <v>-100</v>
      </c>
      <c r="Q895">
        <v>136</v>
      </c>
      <c r="R895">
        <v>20</v>
      </c>
      <c r="S895">
        <v>70</v>
      </c>
    </row>
    <row r="896" spans="1:19" hidden="1" x14ac:dyDescent="0.25">
      <c r="A896">
        <v>21900292</v>
      </c>
      <c r="B896" t="s">
        <v>18</v>
      </c>
      <c r="C896" t="s">
        <v>84</v>
      </c>
      <c r="D896">
        <v>89</v>
      </c>
      <c r="E896">
        <v>68</v>
      </c>
      <c r="F896">
        <v>21</v>
      </c>
      <c r="G896">
        <v>3</v>
      </c>
      <c r="H896" s="1">
        <v>6.898148148148148E-3</v>
      </c>
      <c r="I896">
        <v>2019</v>
      </c>
      <c r="J896" t="s">
        <v>83</v>
      </c>
      <c r="K896" s="2" t="str">
        <f>HYPERLINK("https://www.nba.com/stats/events?CFID=&amp;CFPARAMS=&amp;GameEventID=409&amp;GameID=0021900292&amp;Season=2019-20&amp;flag=1&amp;title=Leonard%2018'%20jumpshot%20(21%20PTS)", "18' jumpshot (21 PTS)")</f>
        <v>18' jumpshot (21 PTS)</v>
      </c>
      <c r="L896" s="2" t="str">
        <f>HYPERLINK("https://www.nba.com/game/...-vs-...-0021900292/play-by-play?watchFullGame=true", "LAC vs WAS - Q3 09:56.00")</f>
        <v>LAC vs WAS - Q3 09:56.00</v>
      </c>
      <c r="M896">
        <v>18.12</v>
      </c>
      <c r="N896">
        <v>20.02</v>
      </c>
      <c r="O896">
        <v>72.73</v>
      </c>
      <c r="P896">
        <v>-114</v>
      </c>
      <c r="Q896">
        <v>136</v>
      </c>
      <c r="R896">
        <v>20</v>
      </c>
      <c r="S896">
        <v>72</v>
      </c>
    </row>
    <row r="897" spans="1:19" hidden="1" x14ac:dyDescent="0.25">
      <c r="A897">
        <v>22400500</v>
      </c>
      <c r="B897" t="s">
        <v>26</v>
      </c>
      <c r="C897" t="s">
        <v>19</v>
      </c>
      <c r="D897">
        <v>18</v>
      </c>
      <c r="E897">
        <v>10</v>
      </c>
      <c r="F897">
        <v>8</v>
      </c>
      <c r="G897">
        <v>1</v>
      </c>
      <c r="H897" s="1">
        <v>2.7662037037037039E-3</v>
      </c>
      <c r="I897">
        <v>2024</v>
      </c>
      <c r="J897" t="s">
        <v>83</v>
      </c>
      <c r="K897" s="2" t="str">
        <f>HYPERLINK("https://www.nba.com/stats/events?CFID=&amp;CFPARAMS=&amp;GameEventID=105&amp;GameID=0022400500&amp;Season=2024-25&amp;flag=1&amp;title=Leonard%203PT%20%20(8%20PTS)%20(J.%20Harden%201%20AST)", "3PT  (8 PTS) (J. Harden 1 AST)")</f>
        <v>3PT  (8 PTS) (J. Harden 1 AST)</v>
      </c>
      <c r="L897" s="2" t="str">
        <f>HYPERLINK("https://www.nba.com/game/...-vs-...-0022400500/play-by-play?watchFullGame=true", "LAC vs MIN - Q1 03:59.00")</f>
        <v>LAC vs MIN - Q1 03:59.00</v>
      </c>
      <c r="M897">
        <v>23.98</v>
      </c>
      <c r="N897">
        <v>20.45</v>
      </c>
      <c r="O897">
        <v>88.97</v>
      </c>
      <c r="P897">
        <v>-195</v>
      </c>
      <c r="Q897">
        <v>140</v>
      </c>
      <c r="R897">
        <v>20</v>
      </c>
      <c r="S897">
        <v>88</v>
      </c>
    </row>
    <row r="898" spans="1:19" hidden="1" x14ac:dyDescent="0.25">
      <c r="A898">
        <v>22200525</v>
      </c>
      <c r="B898" t="s">
        <v>18</v>
      </c>
      <c r="C898" t="s">
        <v>19</v>
      </c>
      <c r="D898">
        <v>110</v>
      </c>
      <c r="E898">
        <v>113</v>
      </c>
      <c r="F898">
        <v>3</v>
      </c>
      <c r="G898">
        <v>4</v>
      </c>
      <c r="H898" s="1">
        <v>7.1759259259259259E-4</v>
      </c>
      <c r="I898">
        <v>2022</v>
      </c>
      <c r="J898" t="s">
        <v>83</v>
      </c>
      <c r="K898" s="2" t="str">
        <f>HYPERLINK("https://www.nba.com/stats/events?CFID=&amp;CFPARAMS=&amp;GameEventID=606&amp;GameID=0022200525&amp;Season=2022-23&amp;flag=1&amp;title=Leonard%2014'%20pullup%20Jump%20Shot%20(26%20PTS)", "14' pullup Jump Shot (26 PTS)")</f>
        <v>14' pullup Jump Shot (26 PTS)</v>
      </c>
      <c r="L898" s="2" t="str">
        <f>HYPERLINK("https://www.nba.com/game/...-vs-...-0022200525/play-by-play?watchFullGame=true", "LAC vs BOS - Q4 01:02.00")</f>
        <v>LAC vs BOS - Q4 01:02.00</v>
      </c>
      <c r="M898">
        <v>14.64</v>
      </c>
      <c r="N898">
        <v>20.84</v>
      </c>
      <c r="O898">
        <v>55.88</v>
      </c>
      <c r="P898">
        <v>-29</v>
      </c>
      <c r="Q898">
        <v>143</v>
      </c>
      <c r="R898">
        <v>20</v>
      </c>
      <c r="S898">
        <v>55</v>
      </c>
    </row>
    <row r="899" spans="1:19" hidden="1" x14ac:dyDescent="0.25">
      <c r="A899">
        <v>22300052</v>
      </c>
      <c r="B899" t="s">
        <v>18</v>
      </c>
      <c r="C899" t="s">
        <v>19</v>
      </c>
      <c r="D899">
        <v>47</v>
      </c>
      <c r="E899">
        <v>52</v>
      </c>
      <c r="F899">
        <v>5</v>
      </c>
      <c r="G899">
        <v>2</v>
      </c>
      <c r="H899" s="1">
        <v>2.1412037037037038E-3</v>
      </c>
      <c r="I899">
        <v>2023</v>
      </c>
      <c r="J899" t="s">
        <v>83</v>
      </c>
      <c r="K899" s="2" t="str">
        <f>HYPERLINK("https://www.nba.com/stats/events?CFID=&amp;CFPARAMS=&amp;GameEventID=286&amp;GameID=0022300052&amp;Season=2023-24&amp;flag=1&amp;title=Leonard%2014'%20fadeaway%20Jump%20Shot%20(7%20PTS)", "14' fadeaway Jump Shot (7 PTS)")</f>
        <v>14' fadeaway Jump Shot (7 PTS)</v>
      </c>
      <c r="L899" s="2" t="str">
        <f>HYPERLINK("https://www.nba.com/game/...-vs-...-0022300052/play-by-play?watchFullGame=true", "LAC vs NOP - Q2 03:05.00")</f>
        <v>LAC vs NOP - Q2 03:05.00</v>
      </c>
      <c r="M899">
        <v>14.57</v>
      </c>
      <c r="N899">
        <v>20.94</v>
      </c>
      <c r="O899">
        <v>53.92</v>
      </c>
      <c r="P899">
        <v>-20</v>
      </c>
      <c r="Q899">
        <v>144</v>
      </c>
      <c r="R899">
        <v>20</v>
      </c>
      <c r="S899">
        <v>53</v>
      </c>
    </row>
    <row r="900" spans="1:19" hidden="1" x14ac:dyDescent="0.25">
      <c r="A900">
        <v>22300799</v>
      </c>
      <c r="B900" t="s">
        <v>18</v>
      </c>
      <c r="C900" t="s">
        <v>19</v>
      </c>
      <c r="D900">
        <v>19</v>
      </c>
      <c r="E900">
        <v>16</v>
      </c>
      <c r="F900">
        <v>3</v>
      </c>
      <c r="G900">
        <v>1</v>
      </c>
      <c r="H900" s="1">
        <v>3.9351851851851848E-3</v>
      </c>
      <c r="I900">
        <v>2023</v>
      </c>
      <c r="J900" t="s">
        <v>83</v>
      </c>
      <c r="K900" s="2" t="str">
        <f>HYPERLINK("https://www.nba.com/stats/events?CFID=&amp;CFPARAMS=&amp;GameEventID=68&amp;GameID=0022300799&amp;Season=2023-24&amp;flag=1&amp;title=Leonard%2014'%20pullup%20Jump%20Shot%20(2%20PTS)%20(R.%20Westbrook%202%20AST)", "14' pullup Jump Shot (2 PTS) (R. Westbrook 2 AST)")</f>
        <v>14' pullup Jump Shot (2 PTS) (R. Westbrook 2 AST)</v>
      </c>
      <c r="L900" s="2" t="str">
        <f>HYPERLINK("https://www.nba.com/game/...-vs-...-0022300799/play-by-play?watchFullGame=true", "LAC vs OKC - Q1 05:40.00")</f>
        <v>LAC vs OKC - Q1 05:40.00</v>
      </c>
      <c r="M900">
        <v>14.5</v>
      </c>
      <c r="N900">
        <v>20.32</v>
      </c>
      <c r="O900">
        <v>41.42</v>
      </c>
      <c r="P900">
        <v>43</v>
      </c>
      <c r="Q900">
        <v>138</v>
      </c>
      <c r="R900">
        <v>20</v>
      </c>
      <c r="S900">
        <v>41</v>
      </c>
    </row>
    <row r="901" spans="1:19" hidden="1" x14ac:dyDescent="0.25">
      <c r="A901">
        <v>22000077</v>
      </c>
      <c r="B901" t="s">
        <v>18</v>
      </c>
      <c r="C901" t="s">
        <v>19</v>
      </c>
      <c r="D901">
        <v>35</v>
      </c>
      <c r="E901">
        <v>43</v>
      </c>
      <c r="F901">
        <v>8</v>
      </c>
      <c r="G901">
        <v>2</v>
      </c>
      <c r="H901" s="1">
        <v>2.6041666666666665E-3</v>
      </c>
      <c r="I901">
        <v>2020</v>
      </c>
      <c r="J901" t="s">
        <v>83</v>
      </c>
      <c r="K901" s="2" t="str">
        <f>HYPERLINK("https://www.nba.com/stats/events?CFID=&amp;CFPARAMS=&amp;GameEventID=302&amp;GameID=0022000077&amp;Season=2020-21&amp;flag=1&amp;title=Leonard%2014'%20pullup%20Jump%20Shot%20(9%20PTS)", "14' pullup Jump Shot (9 PTS)")</f>
        <v>14' pullup Jump Shot (9 PTS)</v>
      </c>
      <c r="L901" s="2" t="str">
        <f>HYPERLINK("https://www.nba.com/game/...-vs-...-0022000077/play-by-play?watchFullGame=true", "LAC vs UTA - Q2 03:45.00")</f>
        <v>LAC vs UTA - Q2 03:45.00</v>
      </c>
      <c r="M901">
        <v>14.47</v>
      </c>
      <c r="N901">
        <v>20.98</v>
      </c>
      <c r="O901">
        <v>50.31</v>
      </c>
      <c r="P901">
        <v>-2</v>
      </c>
      <c r="Q901">
        <v>145</v>
      </c>
      <c r="R901">
        <v>20</v>
      </c>
      <c r="S901">
        <v>50</v>
      </c>
    </row>
    <row r="902" spans="1:19" hidden="1" x14ac:dyDescent="0.25">
      <c r="A902">
        <v>22300964</v>
      </c>
      <c r="B902" t="s">
        <v>18</v>
      </c>
      <c r="C902" t="s">
        <v>19</v>
      </c>
      <c r="D902">
        <v>57</v>
      </c>
      <c r="E902">
        <v>65</v>
      </c>
      <c r="F902">
        <v>8</v>
      </c>
      <c r="G902">
        <v>3</v>
      </c>
      <c r="H902" s="1">
        <v>4.5138888888888885E-3</v>
      </c>
      <c r="I902">
        <v>2023</v>
      </c>
      <c r="J902" t="s">
        <v>83</v>
      </c>
      <c r="K902" s="2" t="str">
        <f>HYPERLINK("https://www.nba.com/stats/events?CFID=&amp;CFPARAMS=&amp;GameEventID=380&amp;GameID=0022300964&amp;Season=2023-24&amp;flag=1&amp;title=Leonard%2013'%20step%20back%20Jump%20Shot%20(15%20PTS)%20(P.%20George%202%20AST)", "13' step back Jump Shot (15 PTS) (P. George 2 AST)")</f>
        <v>13' step back Jump Shot (15 PTS) (P. George 2 AST)</v>
      </c>
      <c r="L902" s="2" t="str">
        <f>HYPERLINK("https://www.nba.com/game/...-vs-...-0022300964/play-by-play?watchFullGame=true", "LAC vs NOP - Q3 06:30.00")</f>
        <v>LAC vs NOP - Q3 06:30.00</v>
      </c>
      <c r="M902">
        <v>13.72</v>
      </c>
      <c r="N902">
        <v>20.059999999999999</v>
      </c>
      <c r="O902">
        <v>53.68</v>
      </c>
      <c r="P902">
        <v>-18</v>
      </c>
      <c r="Q902">
        <v>136</v>
      </c>
      <c r="R902">
        <v>20</v>
      </c>
      <c r="S902">
        <v>53</v>
      </c>
    </row>
    <row r="903" spans="1:19" hidden="1" x14ac:dyDescent="0.25">
      <c r="A903">
        <v>41900234</v>
      </c>
      <c r="B903" t="s">
        <v>26</v>
      </c>
      <c r="C903" t="s">
        <v>84</v>
      </c>
      <c r="D903">
        <v>16</v>
      </c>
      <c r="E903">
        <v>7</v>
      </c>
      <c r="F903">
        <v>9</v>
      </c>
      <c r="G903">
        <v>1</v>
      </c>
      <c r="H903" s="1">
        <v>3.5532407407407409E-3</v>
      </c>
      <c r="I903" t="s">
        <v>85</v>
      </c>
      <c r="J903" t="s">
        <v>83</v>
      </c>
      <c r="K903" s="2" t="str">
        <f>HYPERLINK("https://www.nba.com/stats/events?CFID=&amp;CFPARAMS=&amp;GameEventID=83&amp;GameID=0041900234&amp;Season=2019-20&amp;flag=1&amp;title=Leonard%2025'%203PT%20%20(5%20PTS)%20(P.%20George%201%20AST)", "25' 3PT  (5 PTS) (P. George 1 AST)")</f>
        <v>25' 3PT  (5 PTS) (P. George 1 AST)</v>
      </c>
      <c r="L903" s="2" t="str">
        <f>HYPERLINK("https://www.nba.com/game/...-vs-...-0041900234/play-by-play?watchFullGame=true", "LAC vs DEN - Q1 05:07.00")</f>
        <v>LAC vs DEN - Q1 05:07.00</v>
      </c>
      <c r="M903">
        <v>25.39</v>
      </c>
      <c r="N903">
        <v>21.63</v>
      </c>
      <c r="O903">
        <v>90.02</v>
      </c>
      <c r="P903">
        <v>-200</v>
      </c>
      <c r="Q903">
        <v>151</v>
      </c>
      <c r="R903">
        <v>21</v>
      </c>
      <c r="S903">
        <v>90</v>
      </c>
    </row>
    <row r="904" spans="1:19" hidden="1" x14ac:dyDescent="0.25">
      <c r="A904">
        <v>22300944</v>
      </c>
      <c r="B904" t="s">
        <v>26</v>
      </c>
      <c r="C904" t="s">
        <v>19</v>
      </c>
      <c r="D904">
        <v>23</v>
      </c>
      <c r="E904">
        <v>10</v>
      </c>
      <c r="F904">
        <v>13</v>
      </c>
      <c r="G904">
        <v>1</v>
      </c>
      <c r="H904" s="1">
        <v>3.0787037037037037E-3</v>
      </c>
      <c r="I904">
        <v>2023</v>
      </c>
      <c r="J904" t="s">
        <v>83</v>
      </c>
      <c r="K904" s="2" t="str">
        <f>HYPERLINK("https://www.nba.com/stats/events?CFID=&amp;CFPARAMS=&amp;GameEventID=88&amp;GameID=0022300944&amp;Season=2023-24&amp;flag=1&amp;title=Leonard%2024'%203PT%20pullup%20(5%20PTS)", "24' 3PT pullup (5 PTS)")</f>
        <v>24' 3PT pullup (5 PTS)</v>
      </c>
      <c r="L904" s="2" t="str">
        <f>HYPERLINK("https://www.nba.com/game/...-vs-...-0022300944/play-by-play?watchFullGame=true", "LAC vs MIN - Q1 04:26.00")</f>
        <v>LAC vs MIN - Q1 04:26.00</v>
      </c>
      <c r="M904">
        <v>24.85</v>
      </c>
      <c r="N904">
        <v>21.99</v>
      </c>
      <c r="O904">
        <v>88.97</v>
      </c>
      <c r="P904">
        <v>-195</v>
      </c>
      <c r="Q904">
        <v>154</v>
      </c>
      <c r="R904">
        <v>21</v>
      </c>
      <c r="S904">
        <v>88</v>
      </c>
    </row>
    <row r="905" spans="1:19" hidden="1" x14ac:dyDescent="0.25">
      <c r="A905">
        <v>22400751</v>
      </c>
      <c r="B905" t="s">
        <v>18</v>
      </c>
      <c r="C905" t="s">
        <v>19</v>
      </c>
      <c r="D905">
        <v>9</v>
      </c>
      <c r="E905">
        <v>17</v>
      </c>
      <c r="F905">
        <v>8</v>
      </c>
      <c r="G905">
        <v>1</v>
      </c>
      <c r="H905" s="1">
        <v>5.6712962962962967E-3</v>
      </c>
      <c r="I905">
        <v>2024</v>
      </c>
      <c r="J905" t="s">
        <v>83</v>
      </c>
      <c r="K905" s="2" t="str">
        <f>HYPERLINK("https://www.nba.com/stats/events?CFID=&amp;CFPARAMS=&amp;GameEventID=39&amp;GameID=0022400751&amp;Season=2024-25&amp;flag=1&amp;title=Leonard%2019'%20Jump%20Shot%20(2%20PTS)", "19' Jump Shot (2 PTS)")</f>
        <v>19' Jump Shot (2 PTS)</v>
      </c>
      <c r="L905" s="2" t="str">
        <f>HYPERLINK("https://www.nba.com/game/...-vs-...-0022400751/play-by-play?watchFullGame=true", "LAC vs UTA - Q1 08:10.00")</f>
        <v>LAC vs UTA - Q1 08:10.00</v>
      </c>
      <c r="M905">
        <v>19.3</v>
      </c>
      <c r="N905">
        <v>21.24</v>
      </c>
      <c r="O905">
        <v>25</v>
      </c>
      <c r="P905">
        <v>125</v>
      </c>
      <c r="Q905">
        <v>147</v>
      </c>
      <c r="R905">
        <v>21</v>
      </c>
      <c r="S905">
        <v>25</v>
      </c>
    </row>
    <row r="906" spans="1:19" hidden="1" x14ac:dyDescent="0.25">
      <c r="A906">
        <v>22301017</v>
      </c>
      <c r="B906" t="s">
        <v>18</v>
      </c>
      <c r="C906" t="s">
        <v>19</v>
      </c>
      <c r="D906">
        <v>86</v>
      </c>
      <c r="E906">
        <v>62</v>
      </c>
      <c r="F906">
        <v>24</v>
      </c>
      <c r="G906">
        <v>3</v>
      </c>
      <c r="H906" s="1">
        <v>5.4398148148148149E-3</v>
      </c>
      <c r="I906">
        <v>2023</v>
      </c>
      <c r="J906" t="s">
        <v>83</v>
      </c>
      <c r="K906" s="2" t="str">
        <f>HYPERLINK("https://www.nba.com/stats/events?CFID=&amp;CFPARAMS=&amp;GameEventID=384&amp;GameID=0022301017&amp;Season=2023-24&amp;flag=1&amp;title=Leonard%2019'%20pullup%20Jump%20Shot%20(20%20PTS)%20(D.%20Theis%201%20AST)", "19' pullup Jump Shot (20 PTS) (D. Theis 1 AST)")</f>
        <v>19' pullup Jump Shot (20 PTS) (D. Theis 1 AST)</v>
      </c>
      <c r="L906" s="2" t="str">
        <f>HYPERLINK("https://www.nba.com/game/...-vs-...-0022301017/play-by-play?watchFullGame=true", "LAC vs POR - Q3 07:50.00")</f>
        <v>LAC vs POR - Q3 07:50.00</v>
      </c>
      <c r="M906">
        <v>19.399999999999999</v>
      </c>
      <c r="N906">
        <v>21.9</v>
      </c>
      <c r="O906">
        <v>26.23</v>
      </c>
      <c r="P906">
        <v>119</v>
      </c>
      <c r="Q906">
        <v>153</v>
      </c>
      <c r="R906">
        <v>21</v>
      </c>
      <c r="S906">
        <v>26</v>
      </c>
    </row>
    <row r="907" spans="1:19" hidden="1" x14ac:dyDescent="0.25">
      <c r="A907">
        <v>21900224</v>
      </c>
      <c r="B907" t="s">
        <v>18</v>
      </c>
      <c r="C907" t="s">
        <v>84</v>
      </c>
      <c r="D907">
        <v>96</v>
      </c>
      <c r="E907">
        <v>93</v>
      </c>
      <c r="F907">
        <v>3</v>
      </c>
      <c r="G907">
        <v>4</v>
      </c>
      <c r="H907" s="1">
        <v>5.324074074074074E-3</v>
      </c>
      <c r="I907">
        <v>2019</v>
      </c>
      <c r="J907" t="s">
        <v>83</v>
      </c>
      <c r="K907" s="2" t="str">
        <f>HYPERLINK("https://www.nba.com/stats/events?CFID=&amp;CFPARAMS=&amp;GameEventID=579&amp;GameID=0021900224&amp;Season=2019-20&amp;flag=1&amp;title=Leonard%2019'%20jumpshot%20(21%20PTS)", "19' jumpshot (21 PTS)")</f>
        <v>19' jumpshot (21 PTS)</v>
      </c>
      <c r="L907" s="2" t="str">
        <f>HYPERLINK("https://www.nba.com/game/...-vs-...-0021900224/play-by-play?watchFullGame=true", "LAC vs HOU - Q4 07:40.00")</f>
        <v>LAC vs HOU - Q4 07:40.00</v>
      </c>
      <c r="M907">
        <v>19.02</v>
      </c>
      <c r="N907">
        <v>21.99</v>
      </c>
      <c r="O907">
        <v>29.34</v>
      </c>
      <c r="P907">
        <v>103</v>
      </c>
      <c r="Q907">
        <v>154</v>
      </c>
      <c r="R907">
        <v>21</v>
      </c>
      <c r="S907">
        <v>29</v>
      </c>
    </row>
    <row r="908" spans="1:19" hidden="1" x14ac:dyDescent="0.25">
      <c r="A908">
        <v>21900224</v>
      </c>
      <c r="B908" t="s">
        <v>18</v>
      </c>
      <c r="C908" t="s">
        <v>84</v>
      </c>
      <c r="D908">
        <v>82</v>
      </c>
      <c r="E908">
        <v>84</v>
      </c>
      <c r="F908">
        <v>2</v>
      </c>
      <c r="G908">
        <v>4</v>
      </c>
      <c r="H908" s="1">
        <v>8.2060185185185187E-3</v>
      </c>
      <c r="I908">
        <v>2019</v>
      </c>
      <c r="J908" t="s">
        <v>83</v>
      </c>
      <c r="K908" s="2" t="str">
        <f>HYPERLINK("https://www.nba.com/stats/events?CFID=&amp;CFPARAMS=&amp;GameEventID=534&amp;GameID=0021900224&amp;Season=2019-20&amp;flag=1&amp;title=Leonard%2018'%20jumpshot%20(15%20PTS)%20(L.%20Williams%206%20AST)", "18' jumpshot (15 PTS) (L. Williams 6 AST)")</f>
        <v>18' jumpshot (15 PTS) (L. Williams 6 AST)</v>
      </c>
      <c r="L908" s="2" t="str">
        <f>HYPERLINK("https://www.nba.com/game/...-vs-...-0021900224/play-by-play?watchFullGame=true", "LAC vs HOU - Q4 11:49.00")</f>
        <v>LAC vs HOU - Q4 11:49.00</v>
      </c>
      <c r="M908">
        <v>18.34</v>
      </c>
      <c r="N908">
        <v>21.47</v>
      </c>
      <c r="O908">
        <v>30.32</v>
      </c>
      <c r="P908">
        <v>98</v>
      </c>
      <c r="Q908">
        <v>149</v>
      </c>
      <c r="R908">
        <v>21</v>
      </c>
      <c r="S908">
        <v>30</v>
      </c>
    </row>
    <row r="909" spans="1:19" hidden="1" x14ac:dyDescent="0.25">
      <c r="A909">
        <v>22400571</v>
      </c>
      <c r="B909" t="s">
        <v>18</v>
      </c>
      <c r="C909" t="s">
        <v>19</v>
      </c>
      <c r="D909">
        <v>94</v>
      </c>
      <c r="E909">
        <v>43</v>
      </c>
      <c r="F909">
        <v>51</v>
      </c>
      <c r="G909">
        <v>3</v>
      </c>
      <c r="H909" s="1">
        <v>2.1875000000000002E-3</v>
      </c>
      <c r="I909">
        <v>2024</v>
      </c>
      <c r="J909" t="s">
        <v>83</v>
      </c>
      <c r="K909" s="2" t="str">
        <f>HYPERLINK("https://www.nba.com/stats/events?CFID=&amp;CFPARAMS=&amp;GameEventID=458&amp;GameID=0022400571&amp;Season=2024-25&amp;flag=1&amp;title=Leonard%2017'%20pullup%20Jump%20Shot%20(21%20PTS)", "17' pullup Jump Shot (21 PTS)")</f>
        <v>17' pullup Jump Shot (21 PTS)</v>
      </c>
      <c r="L909" s="2" t="str">
        <f>HYPERLINK("https://www.nba.com/game/...-vs-...-0022400571/play-by-play?watchFullGame=true", "LAC vs BKN - Q3 03:09.00")</f>
        <v>LAC vs BKN - Q3 03:09.00</v>
      </c>
      <c r="M909">
        <v>17.920000000000002</v>
      </c>
      <c r="N909">
        <v>21.63</v>
      </c>
      <c r="O909">
        <v>30.64</v>
      </c>
      <c r="P909">
        <v>97</v>
      </c>
      <c r="Q909">
        <v>151</v>
      </c>
      <c r="R909">
        <v>21</v>
      </c>
      <c r="S909">
        <v>30</v>
      </c>
    </row>
    <row r="910" spans="1:19" hidden="1" x14ac:dyDescent="0.25">
      <c r="A910">
        <v>22200438</v>
      </c>
      <c r="B910" t="s">
        <v>18</v>
      </c>
      <c r="C910" t="s">
        <v>19</v>
      </c>
      <c r="D910">
        <v>39</v>
      </c>
      <c r="E910">
        <v>52</v>
      </c>
      <c r="F910">
        <v>13</v>
      </c>
      <c r="G910">
        <v>2</v>
      </c>
      <c r="H910" s="1">
        <v>2.5231481481481481E-3</v>
      </c>
      <c r="I910">
        <v>2022</v>
      </c>
      <c r="J910" t="s">
        <v>83</v>
      </c>
      <c r="K910" s="2" t="str">
        <f>HYPERLINK("https://www.nba.com/stats/events?CFID=&amp;CFPARAMS=&amp;GameEventID=253&amp;GameID=0022200438&amp;Season=2022-23&amp;flag=1&amp;title=Leonard%2017'%20pullup%20Jump%20Shot%20(10%20PTS)", "17' pullup Jump Shot (10 PTS)")</f>
        <v>17' pullup Jump Shot (10 PTS)</v>
      </c>
      <c r="L910" s="2" t="str">
        <f>HYPERLINK("https://www.nba.com/game/...-vs-...-0022200438/play-by-play?watchFullGame=true", "LAC vs WAS - Q2 03:38.00")</f>
        <v>LAC vs WAS - Q2 03:38.00</v>
      </c>
      <c r="M910">
        <v>17.53</v>
      </c>
      <c r="N910">
        <v>21.47</v>
      </c>
      <c r="O910">
        <v>31.62</v>
      </c>
      <c r="P910">
        <v>92</v>
      </c>
      <c r="Q910">
        <v>149</v>
      </c>
      <c r="R910">
        <v>21</v>
      </c>
      <c r="S910">
        <v>31</v>
      </c>
    </row>
    <row r="911" spans="1:19" hidden="1" x14ac:dyDescent="0.25">
      <c r="A911">
        <v>21900224</v>
      </c>
      <c r="B911" t="s">
        <v>18</v>
      </c>
      <c r="C911" t="s">
        <v>84</v>
      </c>
      <c r="D911">
        <v>120</v>
      </c>
      <c r="E911">
        <v>119</v>
      </c>
      <c r="F911">
        <v>1</v>
      </c>
      <c r="G911">
        <v>4</v>
      </c>
      <c r="H911" s="1">
        <v>1.7824074074074075E-4</v>
      </c>
      <c r="I911">
        <v>2019</v>
      </c>
      <c r="J911" t="s">
        <v>83</v>
      </c>
      <c r="K911" s="2" t="str">
        <f>HYPERLINK("https://www.nba.com/stats/events?CFID=&amp;CFPARAMS=&amp;GameEventID=707&amp;GameID=0021900224&amp;Season=2019-20&amp;flag=1&amp;title=Leonard%2018'%20jumpshot%20(24%20PTS)", "18' jumpshot (24 PTS)")</f>
        <v>18' jumpshot (24 PTS)</v>
      </c>
      <c r="L911" s="2" t="str">
        <f>HYPERLINK("https://www.nba.com/game/...-vs-...-0021900224/play-by-play?watchFullGame=true", "LAC vs HOU - Q4 00:15.40")</f>
        <v>LAC vs HOU - Q4 00:15.40</v>
      </c>
      <c r="M911">
        <v>17.96</v>
      </c>
      <c r="N911">
        <v>21.47</v>
      </c>
      <c r="O911">
        <v>31.79</v>
      </c>
      <c r="P911">
        <v>91</v>
      </c>
      <c r="Q911">
        <v>149</v>
      </c>
      <c r="R911">
        <v>21</v>
      </c>
      <c r="S911">
        <v>31</v>
      </c>
    </row>
    <row r="912" spans="1:19" hidden="1" x14ac:dyDescent="0.25">
      <c r="A912">
        <v>22000251</v>
      </c>
      <c r="B912" t="s">
        <v>18</v>
      </c>
      <c r="C912" t="s">
        <v>19</v>
      </c>
      <c r="D912">
        <v>85</v>
      </c>
      <c r="E912">
        <v>73</v>
      </c>
      <c r="F912">
        <v>12</v>
      </c>
      <c r="G912">
        <v>3</v>
      </c>
      <c r="H912" s="1">
        <v>1.0416666666666666E-5</v>
      </c>
      <c r="I912">
        <v>2020</v>
      </c>
      <c r="J912" t="s">
        <v>83</v>
      </c>
      <c r="K912" s="2" t="str">
        <f>HYPERLINK("https://www.nba.com/stats/events?CFID=&amp;CFPARAMS=&amp;GameEventID=450&amp;GameID=0022000251&amp;Season=2020-21&amp;flag=1&amp;title=Leonard%2016'%20pullup%20Jump%20Shot%20(32%20PTS)", "16' pullup Jump Shot (32 PTS)")</f>
        <v>16' pullup Jump Shot (32 PTS)</v>
      </c>
      <c r="L912" s="2" t="str">
        <f>HYPERLINK("https://www.nba.com/game/...-vs-...-0022000251/play-by-play?watchFullGame=true", "LAC vs OKC - Q3 00:00.90")</f>
        <v>LAC vs OKC - Q3 00:00.90</v>
      </c>
      <c r="M912">
        <v>16.88</v>
      </c>
      <c r="N912">
        <v>21.5</v>
      </c>
      <c r="O912">
        <v>34.380000000000003</v>
      </c>
      <c r="P912">
        <v>78</v>
      </c>
      <c r="Q912">
        <v>150</v>
      </c>
      <c r="R912">
        <v>21</v>
      </c>
      <c r="S912">
        <v>34</v>
      </c>
    </row>
    <row r="913" spans="1:19" hidden="1" x14ac:dyDescent="0.25">
      <c r="A913">
        <v>21900419</v>
      </c>
      <c r="B913" t="s">
        <v>18</v>
      </c>
      <c r="C913" t="s">
        <v>84</v>
      </c>
      <c r="D913">
        <v>111</v>
      </c>
      <c r="E913">
        <v>105</v>
      </c>
      <c r="F913">
        <v>6</v>
      </c>
      <c r="G913">
        <v>4</v>
      </c>
      <c r="H913" s="1">
        <v>3.5069444444444445E-3</v>
      </c>
      <c r="I913">
        <v>2019</v>
      </c>
      <c r="J913" t="s">
        <v>83</v>
      </c>
      <c r="K913" s="2" t="str">
        <f>HYPERLINK("https://www.nba.com/stats/events?CFID=&amp;CFPARAMS=&amp;GameEventID=604&amp;GameID=0021900419&amp;Season=2019-20&amp;flag=1&amp;title=Leonard%2018'%20jumpshot%20(23%20PTS)", "18' jumpshot (23 PTS)")</f>
        <v>18' jumpshot (23 PTS)</v>
      </c>
      <c r="L913" s="2" t="str">
        <f>HYPERLINK("https://www.nba.com/game/...-vs-...-0021900419/play-by-play?watchFullGame=true", "LAC vs HOU - Q4 05:03.00")</f>
        <v>LAC vs HOU - Q4 05:03.00</v>
      </c>
      <c r="M913">
        <v>17.600000000000001</v>
      </c>
      <c r="N913">
        <v>21.99</v>
      </c>
      <c r="O913">
        <v>35.229999999999997</v>
      </c>
      <c r="P913">
        <v>74</v>
      </c>
      <c r="Q913">
        <v>154</v>
      </c>
      <c r="R913">
        <v>21</v>
      </c>
      <c r="S913">
        <v>35</v>
      </c>
    </row>
    <row r="914" spans="1:19" hidden="1" x14ac:dyDescent="0.25">
      <c r="A914">
        <v>22000091</v>
      </c>
      <c r="B914" t="s">
        <v>18</v>
      </c>
      <c r="C914" t="s">
        <v>19</v>
      </c>
      <c r="D914">
        <v>20</v>
      </c>
      <c r="E914">
        <v>11</v>
      </c>
      <c r="F914">
        <v>9</v>
      </c>
      <c r="G914">
        <v>1</v>
      </c>
      <c r="H914" s="1">
        <v>3.7499999999999999E-3</v>
      </c>
      <c r="I914">
        <v>2020</v>
      </c>
      <c r="J914" t="s">
        <v>83</v>
      </c>
      <c r="K914" s="2" t="str">
        <f>HYPERLINK("https://www.nba.com/stats/events?CFID=&amp;CFPARAMS=&amp;GameEventID=65&amp;GameID=0022000091&amp;Season=2020-21&amp;flag=1&amp;title=Leonard%2016'%20Jump%20Shot%20(2%20PTS)", "16' Jump Shot (2 PTS)")</f>
        <v>16' Jump Shot (2 PTS)</v>
      </c>
      <c r="L914" s="2" t="str">
        <f>HYPERLINK("https://www.nba.com/game/...-vs-...-0022000091/play-by-play?watchFullGame=true", "LAC vs PHX - Q1 05:24.00")</f>
        <v>LAC vs PHX - Q1 05:24.00</v>
      </c>
      <c r="M914">
        <v>16.989999999999998</v>
      </c>
      <c r="N914">
        <v>21.9</v>
      </c>
      <c r="O914">
        <v>35.36</v>
      </c>
      <c r="P914">
        <v>73</v>
      </c>
      <c r="Q914">
        <v>153</v>
      </c>
      <c r="R914">
        <v>21</v>
      </c>
      <c r="S914">
        <v>35</v>
      </c>
    </row>
    <row r="915" spans="1:19" hidden="1" x14ac:dyDescent="0.25">
      <c r="A915">
        <v>21900523</v>
      </c>
      <c r="B915" t="s">
        <v>18</v>
      </c>
      <c r="C915" t="s">
        <v>84</v>
      </c>
      <c r="D915">
        <v>57</v>
      </c>
      <c r="E915">
        <v>65</v>
      </c>
      <c r="F915">
        <v>8</v>
      </c>
      <c r="G915">
        <v>2</v>
      </c>
      <c r="H915" s="1">
        <v>1.3657407407407409E-4</v>
      </c>
      <c r="I915">
        <v>2019</v>
      </c>
      <c r="J915" t="s">
        <v>83</v>
      </c>
      <c r="K915" s="2" t="str">
        <f>HYPERLINK("https://www.nba.com/stats/events?CFID=&amp;CFPARAMS=&amp;GameEventID=349&amp;GameID=0021900523&amp;Season=2019-20&amp;flag=1&amp;title=Leonard%2017'%20jumpshot%20(18%20PTS)", "17' jumpshot (18 PTS)")</f>
        <v>17' jumpshot (18 PTS)</v>
      </c>
      <c r="L915" s="2" t="str">
        <f>HYPERLINK("https://www.nba.com/game/...-vs-...-0021900523/play-by-play?watchFullGame=true", "LAC vs MEM - Q2 00:11.80")</f>
        <v>LAC vs MEM - Q2 00:11.80</v>
      </c>
      <c r="M915">
        <v>16.73</v>
      </c>
      <c r="N915">
        <v>21.6</v>
      </c>
      <c r="O915">
        <v>37.92</v>
      </c>
      <c r="P915">
        <v>60</v>
      </c>
      <c r="Q915">
        <v>151</v>
      </c>
      <c r="R915">
        <v>21</v>
      </c>
      <c r="S915">
        <v>37</v>
      </c>
    </row>
    <row r="916" spans="1:19" hidden="1" x14ac:dyDescent="0.25">
      <c r="A916">
        <v>21900406</v>
      </c>
      <c r="B916" t="s">
        <v>18</v>
      </c>
      <c r="C916" t="s">
        <v>84</v>
      </c>
      <c r="D916">
        <v>10</v>
      </c>
      <c r="E916">
        <v>10</v>
      </c>
      <c r="F916">
        <v>0</v>
      </c>
      <c r="G916">
        <v>1</v>
      </c>
      <c r="H916" s="1">
        <v>5.7870370370370367E-3</v>
      </c>
      <c r="I916">
        <v>2019</v>
      </c>
      <c r="J916" t="s">
        <v>83</v>
      </c>
      <c r="K916" s="2" t="str">
        <f>HYPERLINK("https://www.nba.com/stats/events?CFID=&amp;CFPARAMS=&amp;GameEventID=35&amp;GameID=0021900406&amp;Season=2019-20&amp;flag=1&amp;title=Leonard%2017'%20jumpshot%20(2%20PTS)", "17' jumpshot (2 PTS)")</f>
        <v>17' jumpshot (2 PTS)</v>
      </c>
      <c r="L916" s="2" t="str">
        <f>HYPERLINK("https://www.nba.com/game/...-vs-...-0021900406/play-by-play?watchFullGame=true", "LAC vs PHX - Q1 08:20.00")</f>
        <v>LAC vs PHX - Q1 08:20.00</v>
      </c>
      <c r="M916">
        <v>16.87</v>
      </c>
      <c r="N916">
        <v>21.99</v>
      </c>
      <c r="O916">
        <v>39.15</v>
      </c>
      <c r="P916">
        <v>54</v>
      </c>
      <c r="Q916">
        <v>154</v>
      </c>
      <c r="R916">
        <v>21</v>
      </c>
      <c r="S916">
        <v>39</v>
      </c>
    </row>
    <row r="917" spans="1:19" hidden="1" x14ac:dyDescent="0.25">
      <c r="A917">
        <v>22300280</v>
      </c>
      <c r="B917" t="s">
        <v>18</v>
      </c>
      <c r="C917" t="s">
        <v>19</v>
      </c>
      <c r="D917">
        <v>38</v>
      </c>
      <c r="E917">
        <v>53</v>
      </c>
      <c r="F917">
        <v>15</v>
      </c>
      <c r="G917">
        <v>2</v>
      </c>
      <c r="H917" s="1">
        <v>3.6226851851851854E-3</v>
      </c>
      <c r="I917">
        <v>2023</v>
      </c>
      <c r="J917" t="s">
        <v>83</v>
      </c>
      <c r="K917" s="2" t="str">
        <f>HYPERLINK("https://www.nba.com/stats/events?CFID=&amp;CFPARAMS=&amp;GameEventID=241&amp;GameID=0022300280&amp;Season=2023-24&amp;flag=1&amp;title=Leonard%2016'%20pullup%20Jump%20Shot%20(7%20PTS)", "16' pullup Jump Shot (7 PTS)")</f>
        <v>16' pullup Jump Shot (7 PTS)</v>
      </c>
      <c r="L917" s="2" t="str">
        <f>HYPERLINK("https://www.nba.com/game/...-vs-...-0022300280/play-by-play?watchFullGame=true", "LAC vs GSW - Q2 05:13.00")</f>
        <v>LAC vs GSW - Q2 05:13.00</v>
      </c>
      <c r="M917">
        <v>16.07</v>
      </c>
      <c r="N917">
        <v>21.73</v>
      </c>
      <c r="O917">
        <v>39.46</v>
      </c>
      <c r="P917">
        <v>53</v>
      </c>
      <c r="Q917">
        <v>152</v>
      </c>
      <c r="R917">
        <v>21</v>
      </c>
      <c r="S917">
        <v>39</v>
      </c>
    </row>
    <row r="918" spans="1:19" hidden="1" x14ac:dyDescent="0.25">
      <c r="A918">
        <v>22300568</v>
      </c>
      <c r="B918" t="s">
        <v>18</v>
      </c>
      <c r="C918" t="s">
        <v>19</v>
      </c>
      <c r="D918">
        <v>79</v>
      </c>
      <c r="E918">
        <v>68</v>
      </c>
      <c r="F918">
        <v>11</v>
      </c>
      <c r="G918">
        <v>3</v>
      </c>
      <c r="H918" s="1">
        <v>5.347222222222222E-3</v>
      </c>
      <c r="I918">
        <v>2023</v>
      </c>
      <c r="J918" t="s">
        <v>83</v>
      </c>
      <c r="K918" s="2" t="str">
        <f>HYPERLINK("https://www.nba.com/stats/events?CFID=&amp;CFPARAMS=&amp;GameEventID=371&amp;GameID=0022300568&amp;Season=2023-24&amp;flag=1&amp;title=Leonard%2015'%20pullup%20Jump%20Shot%20(15%20PTS)%20(M.%20Plumlee%201%20AST)", "15' pullup Jump Shot (15 PTS) (M. Plumlee 1 AST)")</f>
        <v>15' pullup Jump Shot (15 PTS) (M. Plumlee 1 AST)</v>
      </c>
      <c r="L918" s="2" t="str">
        <f>HYPERLINK("https://www.nba.com/game/...-vs-...-0022300568/play-by-play?watchFullGame=true", "LAC vs OKC - Q3 07:42.00")</f>
        <v>LAC vs OKC - Q3 07:42.00</v>
      </c>
      <c r="M918">
        <v>15.21</v>
      </c>
      <c r="N918">
        <v>21.07</v>
      </c>
      <c r="O918">
        <v>41.18</v>
      </c>
      <c r="P918">
        <v>44</v>
      </c>
      <c r="Q918">
        <v>146</v>
      </c>
      <c r="R918">
        <v>21</v>
      </c>
      <c r="S918">
        <v>41</v>
      </c>
    </row>
    <row r="919" spans="1:19" hidden="1" x14ac:dyDescent="0.25">
      <c r="A919">
        <v>22301064</v>
      </c>
      <c r="B919" t="s">
        <v>18</v>
      </c>
      <c r="C919" t="s">
        <v>19</v>
      </c>
      <c r="D919">
        <v>14</v>
      </c>
      <c r="E919">
        <v>8</v>
      </c>
      <c r="F919">
        <v>6</v>
      </c>
      <c r="G919">
        <v>1</v>
      </c>
      <c r="H919" s="1">
        <v>3.6458333333333334E-3</v>
      </c>
      <c r="I919">
        <v>2023</v>
      </c>
      <c r="J919" t="s">
        <v>83</v>
      </c>
      <c r="K919" s="2" t="str">
        <f>HYPERLINK("https://www.nba.com/stats/events?CFID=&amp;CFPARAMS=&amp;GameEventID=70&amp;GameID=0022301064&amp;Season=2023-24&amp;flag=1&amp;title=Leonard%2015'%20pullup%20Jump%20Shot%20(2%20PTS)", "15' pullup Jump Shot (2 PTS)")</f>
        <v>15' pullup Jump Shot (2 PTS)</v>
      </c>
      <c r="L919" s="2" t="str">
        <f>HYPERLINK("https://www.nba.com/game/...-vs-...-0022301064/play-by-play?watchFullGame=true", "LAC vs ORL - Q1 05:15.00")</f>
        <v>LAC vs ORL - Q1 05:15.00</v>
      </c>
      <c r="M919">
        <v>15.36</v>
      </c>
      <c r="N919">
        <v>21.63</v>
      </c>
      <c r="O919">
        <v>44.12</v>
      </c>
      <c r="P919">
        <v>29</v>
      </c>
      <c r="Q919">
        <v>151</v>
      </c>
      <c r="R919">
        <v>21</v>
      </c>
      <c r="S919">
        <v>44</v>
      </c>
    </row>
    <row r="920" spans="1:19" hidden="1" x14ac:dyDescent="0.25">
      <c r="A920">
        <v>22300052</v>
      </c>
      <c r="B920" t="s">
        <v>18</v>
      </c>
      <c r="C920" t="s">
        <v>19</v>
      </c>
      <c r="D920">
        <v>10</v>
      </c>
      <c r="E920">
        <v>13</v>
      </c>
      <c r="F920">
        <v>3</v>
      </c>
      <c r="G920">
        <v>1</v>
      </c>
      <c r="H920" s="1">
        <v>5.8217592592592592E-3</v>
      </c>
      <c r="I920">
        <v>2023</v>
      </c>
      <c r="J920" t="s">
        <v>83</v>
      </c>
      <c r="K920" s="2" t="str">
        <f>HYPERLINK("https://www.nba.com/stats/events?CFID=&amp;CFPARAMS=&amp;GameEventID=33&amp;GameID=0022300052&amp;Season=2023-24&amp;flag=1&amp;title=Leonard%2015'%20Jump%20Shot%20(4%20PTS)%20(P.%20George%201%20AST)", "15' Jump Shot (4 PTS) (P. George 1 AST)")</f>
        <v>15' Jump Shot (4 PTS) (P. George 1 AST)</v>
      </c>
      <c r="L920" s="2" t="str">
        <f>HYPERLINK("https://www.nba.com/game/...-vs-...-0022300052/play-by-play?watchFullGame=true", "LAC vs NOP - Q1 08:23.00")</f>
        <v>LAC vs NOP - Q1 08:23.00</v>
      </c>
      <c r="M920">
        <v>15.42</v>
      </c>
      <c r="N920">
        <v>21.99</v>
      </c>
      <c r="O920">
        <v>50.49</v>
      </c>
      <c r="P920">
        <v>-2</v>
      </c>
      <c r="Q920">
        <v>154</v>
      </c>
      <c r="R920">
        <v>21</v>
      </c>
      <c r="S920">
        <v>50</v>
      </c>
    </row>
    <row r="921" spans="1:19" hidden="1" x14ac:dyDescent="0.25">
      <c r="A921">
        <v>22400659</v>
      </c>
      <c r="B921" t="s">
        <v>18</v>
      </c>
      <c r="C921" t="s">
        <v>19</v>
      </c>
      <c r="D921">
        <v>80</v>
      </c>
      <c r="E921">
        <v>83</v>
      </c>
      <c r="F921">
        <v>3</v>
      </c>
      <c r="G921">
        <v>4</v>
      </c>
      <c r="H921" s="1">
        <v>8.1250000000000003E-3</v>
      </c>
      <c r="I921">
        <v>2024</v>
      </c>
      <c r="J921" t="s">
        <v>83</v>
      </c>
      <c r="K921" s="2" t="str">
        <f>HYPERLINK("https://www.nba.com/stats/events?CFID=&amp;CFPARAMS=&amp;GameEventID=454&amp;GameID=0022400659&amp;Season=2024-25&amp;flag=1&amp;title=Leonard%2015'%20step%20back%20Jump%20Shot%20(13%20PTS)", "15' step back Jump Shot (13 PTS)")</f>
        <v>15' step back Jump Shot (13 PTS)</v>
      </c>
      <c r="L921" s="2" t="str">
        <f>HYPERLINK("https://www.nba.com/game/...-vs-...-0022400659/play-by-play?watchFullGame=true", "LAC vs PHX - Q4 11:42.00")</f>
        <v>LAC vs PHX - Q4 11:42.00</v>
      </c>
      <c r="M921">
        <v>15.25</v>
      </c>
      <c r="N921">
        <v>21.76</v>
      </c>
      <c r="O921">
        <v>52.21</v>
      </c>
      <c r="P921">
        <v>-11</v>
      </c>
      <c r="Q921">
        <v>152</v>
      </c>
      <c r="R921">
        <v>21</v>
      </c>
      <c r="S921">
        <v>52</v>
      </c>
    </row>
    <row r="922" spans="1:19" hidden="1" x14ac:dyDescent="0.25">
      <c r="A922">
        <v>22300127</v>
      </c>
      <c r="B922" t="s">
        <v>18</v>
      </c>
      <c r="C922" t="s">
        <v>19</v>
      </c>
      <c r="D922">
        <v>119</v>
      </c>
      <c r="E922">
        <v>117</v>
      </c>
      <c r="F922">
        <v>2</v>
      </c>
      <c r="G922">
        <v>5</v>
      </c>
      <c r="H922" s="1">
        <v>3.2638888888888891E-3</v>
      </c>
      <c r="I922">
        <v>2023</v>
      </c>
      <c r="J922" t="s">
        <v>83</v>
      </c>
      <c r="K922" s="2" t="str">
        <f>HYPERLINK("https://www.nba.com/stats/events?CFID=&amp;CFPARAMS=&amp;GameEventID=693&amp;GameID=0022300127&amp;Season=2023-24&amp;flag=1&amp;title=Leonard%2015'%20Jump%20Shot%20(32%20PTS)%20(R.%20Westbrook%206%20AST)", "15' Jump Shot (32 PTS) (R. Westbrook 6 AST)")</f>
        <v>15' Jump Shot (32 PTS) (R. Westbrook 6 AST)</v>
      </c>
      <c r="L922" s="2" t="str">
        <f>HYPERLINK("https://www.nba.com/game/...-vs-...-0022300127/play-by-play?watchFullGame=true", "LAC vs LAL - Q5 04:42.00")</f>
        <v>LAC vs LAL - Q5 04:42.00</v>
      </c>
      <c r="M922">
        <v>15.1</v>
      </c>
      <c r="N922">
        <v>21.6</v>
      </c>
      <c r="O922">
        <v>52.45</v>
      </c>
      <c r="P922">
        <v>-12</v>
      </c>
      <c r="Q922">
        <v>151</v>
      </c>
      <c r="R922">
        <v>21</v>
      </c>
      <c r="S922">
        <v>52</v>
      </c>
    </row>
    <row r="923" spans="1:19" hidden="1" x14ac:dyDescent="0.25">
      <c r="A923">
        <v>22300526</v>
      </c>
      <c r="B923" t="s">
        <v>18</v>
      </c>
      <c r="C923" t="s">
        <v>19</v>
      </c>
      <c r="D923">
        <v>51</v>
      </c>
      <c r="E923">
        <v>50</v>
      </c>
      <c r="F923">
        <v>1</v>
      </c>
      <c r="G923">
        <v>2</v>
      </c>
      <c r="H923" s="1">
        <v>2.1064814814814813E-3</v>
      </c>
      <c r="I923">
        <v>2023</v>
      </c>
      <c r="J923" t="s">
        <v>83</v>
      </c>
      <c r="K923" s="2" t="str">
        <f>HYPERLINK("https://www.nba.com/stats/events?CFID=&amp;CFPARAMS=&amp;GameEventID=249&amp;GameID=0022300526&amp;Season=2023-24&amp;flag=1&amp;title=Leonard%2015'%20pullup%20Jump%20Shot%20(16%20PTS)", "15' pullup Jump Shot (16 PTS)")</f>
        <v>15' pullup Jump Shot (16 PTS)</v>
      </c>
      <c r="L923" s="2" t="str">
        <f>HYPERLINK("https://www.nba.com/game/...-vs-...-0022300526/play-by-play?watchFullGame=true", "LAC vs TOR - Q2 03:02.00")</f>
        <v>LAC vs TOR - Q2 03:02.00</v>
      </c>
      <c r="M923">
        <v>15.11</v>
      </c>
      <c r="N923">
        <v>21.47</v>
      </c>
      <c r="O923">
        <v>54.66</v>
      </c>
      <c r="P923">
        <v>-23</v>
      </c>
      <c r="Q923">
        <v>149</v>
      </c>
      <c r="R923">
        <v>21</v>
      </c>
      <c r="S923">
        <v>54</v>
      </c>
    </row>
    <row r="924" spans="1:19" hidden="1" x14ac:dyDescent="0.25">
      <c r="A924">
        <v>42000224</v>
      </c>
      <c r="B924" t="s">
        <v>18</v>
      </c>
      <c r="C924" t="s">
        <v>19</v>
      </c>
      <c r="D924">
        <v>53</v>
      </c>
      <c r="E924">
        <v>26</v>
      </c>
      <c r="F924">
        <v>27</v>
      </c>
      <c r="G924">
        <v>2</v>
      </c>
      <c r="H924" s="1">
        <v>3.1365740740740742E-3</v>
      </c>
      <c r="I924" t="s">
        <v>94</v>
      </c>
      <c r="J924" t="s">
        <v>83</v>
      </c>
      <c r="K924" s="2" t="str">
        <f>HYPERLINK("https://www.nba.com/stats/events?CFID=&amp;CFPARAMS=&amp;GameEventID=261&amp;GameID=0042000224&amp;Season=2020-21&amp;flag=1&amp;title=Leonard%2015'%20pullup%20Jump%20Shot%20(14%20PTS)", "15' pullup Jump Shot (14 PTS)")</f>
        <v>15' pullup Jump Shot (14 PTS)</v>
      </c>
      <c r="L924" s="2" t="str">
        <f>HYPERLINK("https://www.nba.com/game/...-vs-...-0042000224/play-by-play?watchFullGame=true", "LAC vs UTA - Q2 04:31.00")</f>
        <v>LAC vs UTA - Q2 04:31.00</v>
      </c>
      <c r="M924">
        <v>15.26</v>
      </c>
      <c r="N924">
        <v>21.6</v>
      </c>
      <c r="O924">
        <v>55.08</v>
      </c>
      <c r="P924">
        <v>21</v>
      </c>
      <c r="Q924">
        <v>55</v>
      </c>
      <c r="R924">
        <v>21</v>
      </c>
      <c r="S924">
        <v>55</v>
      </c>
    </row>
    <row r="925" spans="1:19" hidden="1" x14ac:dyDescent="0.25">
      <c r="A925">
        <v>22200932</v>
      </c>
      <c r="B925" t="s">
        <v>18</v>
      </c>
      <c r="C925" t="s">
        <v>19</v>
      </c>
      <c r="D925">
        <v>69</v>
      </c>
      <c r="E925">
        <v>76</v>
      </c>
      <c r="F925">
        <v>7</v>
      </c>
      <c r="G925">
        <v>3</v>
      </c>
      <c r="H925" s="1">
        <v>3.3796296296296296E-3</v>
      </c>
      <c r="I925">
        <v>2022</v>
      </c>
      <c r="J925" t="s">
        <v>83</v>
      </c>
      <c r="K925" s="2" t="str">
        <f>HYPERLINK("https://www.nba.com/stats/events?CFID=&amp;CFPARAMS=&amp;GameEventID=447&amp;GameID=0022200932&amp;Season=2022-23&amp;flag=1&amp;title=Leonard%2015'%20Jump%20Shot%20(14%20PTS)%20(P.%20George%203%20AST)", "15' Jump Shot (14 PTS) (P. George 3 AST)")</f>
        <v>15' Jump Shot (14 PTS) (P. George 3 AST)</v>
      </c>
      <c r="L925" s="2" t="str">
        <f>HYPERLINK("https://www.nba.com/game/...-vs-...-0022200932/play-by-play?watchFullGame=true", "LAC vs MIN - Q3 04:52.00")</f>
        <v>LAC vs MIN - Q3 04:52.00</v>
      </c>
      <c r="M925">
        <v>15.63</v>
      </c>
      <c r="N925">
        <v>21.99</v>
      </c>
      <c r="O925">
        <v>55.15</v>
      </c>
      <c r="P925">
        <v>-26</v>
      </c>
      <c r="Q925">
        <v>154</v>
      </c>
      <c r="R925">
        <v>21</v>
      </c>
      <c r="S925">
        <v>55</v>
      </c>
    </row>
    <row r="926" spans="1:19" hidden="1" x14ac:dyDescent="0.25">
      <c r="A926">
        <v>22400671</v>
      </c>
      <c r="B926" t="s">
        <v>18</v>
      </c>
      <c r="C926" t="s">
        <v>19</v>
      </c>
      <c r="D926">
        <v>85</v>
      </c>
      <c r="E926">
        <v>70</v>
      </c>
      <c r="F926">
        <v>15</v>
      </c>
      <c r="G926">
        <v>3</v>
      </c>
      <c r="H926" s="1">
        <v>4.6412037037037038E-3</v>
      </c>
      <c r="I926">
        <v>2024</v>
      </c>
      <c r="J926" t="s">
        <v>83</v>
      </c>
      <c r="K926" s="2" t="str">
        <f>HYPERLINK("https://www.nba.com/stats/events?CFID=&amp;CFPARAMS=&amp;GameEventID=403&amp;GameID=0022400671&amp;Season=2024-25&amp;flag=1&amp;title=Leonard%2015'%20fadeaway%20Jump%20Shot%20(21%20PTS)%20(J.%20Harden%209%20AST)", "15' fadeaway Jump Shot (21 PTS) (J. Harden 9 AST)")</f>
        <v>15' fadeaway Jump Shot (21 PTS) (J. Harden 9 AST)</v>
      </c>
      <c r="L926" s="2" t="str">
        <f>HYPERLINK("https://www.nba.com/game/...-vs-...-0022400671/play-by-play?watchFullGame=true", "LAC vs SAS - Q3 06:41.00")</f>
        <v>LAC vs SAS - Q3 06:41.00</v>
      </c>
      <c r="M926">
        <v>15.17</v>
      </c>
      <c r="N926">
        <v>21.11</v>
      </c>
      <c r="O926">
        <v>58.33</v>
      </c>
      <c r="P926">
        <v>-42</v>
      </c>
      <c r="Q926">
        <v>146</v>
      </c>
      <c r="R926">
        <v>21</v>
      </c>
      <c r="S926">
        <v>58</v>
      </c>
    </row>
    <row r="927" spans="1:19" hidden="1" x14ac:dyDescent="0.25">
      <c r="A927">
        <v>22200829</v>
      </c>
      <c r="B927" t="s">
        <v>18</v>
      </c>
      <c r="C927" t="s">
        <v>19</v>
      </c>
      <c r="D927">
        <v>67</v>
      </c>
      <c r="E927">
        <v>72</v>
      </c>
      <c r="F927">
        <v>5</v>
      </c>
      <c r="G927">
        <v>3</v>
      </c>
      <c r="H927" s="1">
        <v>4.0277777777777777E-3</v>
      </c>
      <c r="I927">
        <v>2022</v>
      </c>
      <c r="J927" t="s">
        <v>83</v>
      </c>
      <c r="K927" s="2" t="str">
        <f>HYPERLINK("https://www.nba.com/stats/events?CFID=&amp;CFPARAMS=&amp;GameEventID=383&amp;GameID=0022200829&amp;Season=2022-23&amp;flag=1&amp;title=Leonard%2016'%20fadeaway%20Jump%20Shot%20(6%20PTS)%20(M.%20Morris%20Sr.%204%20AST)", "16' fadeaway Jump Shot (6 PTS) (M. Morris Sr. 4 AST)")</f>
        <v>16' fadeaway Jump Shot (6 PTS) (M. Morris Sr. 4 AST)</v>
      </c>
      <c r="L927" s="2" t="str">
        <f>HYPERLINK("https://www.nba.com/game/...-vs-...-0022200829/play-by-play?watchFullGame=true", "LAC vs DAL - Q3 05:48.00")</f>
        <v>LAC vs DAL - Q3 05:48.00</v>
      </c>
      <c r="M927">
        <v>16.14</v>
      </c>
      <c r="N927">
        <v>21.86</v>
      </c>
      <c r="O927">
        <v>60.29</v>
      </c>
      <c r="P927">
        <v>-51</v>
      </c>
      <c r="Q927">
        <v>153</v>
      </c>
      <c r="R927">
        <v>21</v>
      </c>
      <c r="S927">
        <v>60</v>
      </c>
    </row>
    <row r="928" spans="1:19" hidden="1" x14ac:dyDescent="0.25">
      <c r="A928">
        <v>22400783</v>
      </c>
      <c r="B928" t="s">
        <v>18</v>
      </c>
      <c r="C928" t="s">
        <v>19</v>
      </c>
      <c r="D928">
        <v>30</v>
      </c>
      <c r="E928">
        <v>39</v>
      </c>
      <c r="F928">
        <v>9</v>
      </c>
      <c r="G928">
        <v>2</v>
      </c>
      <c r="H928" s="1">
        <v>8.1365740740740738E-3</v>
      </c>
      <c r="I928">
        <v>2024</v>
      </c>
      <c r="J928" t="s">
        <v>83</v>
      </c>
      <c r="K928" s="2" t="str">
        <f>HYPERLINK("https://www.nba.com/stats/events?CFID=&amp;CFPARAMS=&amp;GameEventID=167&amp;GameID=0022400783&amp;Season=2024-25&amp;flag=1&amp;title=Leonard%2016'%20Jump%20Shot%20(9%20PTS)", "16' Jump Shot (9 PTS)")</f>
        <v>16' Jump Shot (9 PTS)</v>
      </c>
      <c r="L928" s="2" t="str">
        <f>HYPERLINK("https://www.nba.com/game/...-vs-...-0022400783/play-by-play?watchFullGame=true", "LAC vs MEM - Q2 11:43.00")</f>
        <v>LAC vs MEM - Q2 11:43.00</v>
      </c>
      <c r="M928">
        <v>16.8</v>
      </c>
      <c r="N928">
        <v>21.42</v>
      </c>
      <c r="O928">
        <v>65.61</v>
      </c>
      <c r="P928">
        <v>-78</v>
      </c>
      <c r="Q928">
        <v>149</v>
      </c>
      <c r="R928">
        <v>21</v>
      </c>
      <c r="S928">
        <v>65</v>
      </c>
    </row>
    <row r="929" spans="1:19" hidden="1" x14ac:dyDescent="0.25">
      <c r="A929">
        <v>41900153</v>
      </c>
      <c r="B929" t="s">
        <v>18</v>
      </c>
      <c r="C929" t="s">
        <v>84</v>
      </c>
      <c r="D929">
        <v>19</v>
      </c>
      <c r="E929">
        <v>15</v>
      </c>
      <c r="F929">
        <v>4</v>
      </c>
      <c r="G929">
        <v>1</v>
      </c>
      <c r="H929" s="1">
        <v>2.9050925925925928E-3</v>
      </c>
      <c r="I929" t="s">
        <v>86</v>
      </c>
      <c r="J929" t="s">
        <v>83</v>
      </c>
      <c r="K929" s="2" t="str">
        <f>HYPERLINK("https://www.nba.com/stats/events?CFID=&amp;CFPARAMS=&amp;GameEventID=97&amp;GameID=0041900153&amp;Season=2019-20&amp;flag=1&amp;title=Leonard%2019'%20jumpshot%20(8%20PTS)", "19' jumpshot (8 PTS)")</f>
        <v>19' jumpshot (8 PTS)</v>
      </c>
      <c r="L929" s="2" t="str">
        <f>HYPERLINK("https://www.nba.com/game/...-vs-...-0041900153/play-by-play?watchFullGame=true", "LAC vs DAL - Q1 04:11.00")</f>
        <v>LAC vs DAL - Q1 04:11.00</v>
      </c>
      <c r="M929">
        <v>19.05</v>
      </c>
      <c r="N929">
        <v>21.76</v>
      </c>
      <c r="O929">
        <v>71.39</v>
      </c>
      <c r="P929">
        <v>-107</v>
      </c>
      <c r="Q929">
        <v>152</v>
      </c>
      <c r="R929">
        <v>21</v>
      </c>
      <c r="S929">
        <v>71</v>
      </c>
    </row>
    <row r="930" spans="1:19" hidden="1" x14ac:dyDescent="0.25">
      <c r="A930">
        <v>22200363</v>
      </c>
      <c r="B930" t="s">
        <v>18</v>
      </c>
      <c r="C930" t="s">
        <v>19</v>
      </c>
      <c r="D930">
        <v>2</v>
      </c>
      <c r="E930">
        <v>0</v>
      </c>
      <c r="F930">
        <v>2</v>
      </c>
      <c r="G930">
        <v>1</v>
      </c>
      <c r="H930" s="1">
        <v>8.1712962962962963E-3</v>
      </c>
      <c r="I930">
        <v>2022</v>
      </c>
      <c r="J930" t="s">
        <v>83</v>
      </c>
      <c r="K930" s="2" t="str">
        <f>HYPERLINK("https://www.nba.com/stats/events?CFID=&amp;CFPARAMS=&amp;GameEventID=7&amp;GameID=0022200363&amp;Season=2022-23&amp;flag=1&amp;title=Leonard%2014'%20Jump%20Shot%20(2%20PTS)%20(P.%20George%201%20AST)", "14' Jump Shot (2 PTS) (P. George 1 AST)")</f>
        <v>14' Jump Shot (2 PTS) (P. George 1 AST)</v>
      </c>
      <c r="L930" s="2" t="str">
        <f>HYPERLINK("https://www.nba.com/game/...-vs-...-0022200363/play-by-play?watchFullGame=true", "LAC vs ORL - Q1 11:46.00")</f>
        <v>LAC vs ORL - Q1 11:46.00</v>
      </c>
      <c r="M930">
        <v>14.91</v>
      </c>
      <c r="N930">
        <v>21.24</v>
      </c>
      <c r="O930">
        <v>45.1</v>
      </c>
      <c r="P930">
        <v>25</v>
      </c>
      <c r="Q930">
        <v>147</v>
      </c>
      <c r="R930">
        <v>21</v>
      </c>
      <c r="S930">
        <v>45</v>
      </c>
    </row>
    <row r="931" spans="1:19" hidden="1" x14ac:dyDescent="0.25">
      <c r="A931">
        <v>22201112</v>
      </c>
      <c r="B931" t="s">
        <v>18</v>
      </c>
      <c r="C931" t="s">
        <v>19</v>
      </c>
      <c r="D931">
        <v>26</v>
      </c>
      <c r="E931">
        <v>37</v>
      </c>
      <c r="F931">
        <v>11</v>
      </c>
      <c r="G931">
        <v>1</v>
      </c>
      <c r="H931" s="1">
        <v>3.1597222222222221E-4</v>
      </c>
      <c r="I931">
        <v>2022</v>
      </c>
      <c r="J931" t="s">
        <v>83</v>
      </c>
      <c r="K931" s="2" t="str">
        <f>HYPERLINK("https://www.nba.com/stats/events?CFID=&amp;CFPARAMS=&amp;GameEventID=146&amp;GameID=0022201112&amp;Season=2022-23&amp;flag=1&amp;title=Leonard%2014'%20Jump%20Shot%20(5%20PTS)", "14' Jump Shot (5 PTS)")</f>
        <v>14' Jump Shot (5 PTS)</v>
      </c>
      <c r="L931" s="2" t="str">
        <f>HYPERLINK("https://www.nba.com/game/...-vs-...-0022201112/play-by-play?watchFullGame=true", "LAC vs NOP - Q1 00:27.30")</f>
        <v>LAC vs NOP - Q1 00:27.30</v>
      </c>
      <c r="M931">
        <v>14.82</v>
      </c>
      <c r="N931">
        <v>21.34</v>
      </c>
      <c r="O931">
        <v>51.23</v>
      </c>
      <c r="P931">
        <v>-6</v>
      </c>
      <c r="Q931">
        <v>148</v>
      </c>
      <c r="R931">
        <v>21</v>
      </c>
      <c r="S931">
        <v>51</v>
      </c>
    </row>
    <row r="932" spans="1:19" hidden="1" x14ac:dyDescent="0.25">
      <c r="A932">
        <v>22200352</v>
      </c>
      <c r="B932" t="s">
        <v>18</v>
      </c>
      <c r="C932" t="s">
        <v>19</v>
      </c>
      <c r="D932">
        <v>65</v>
      </c>
      <c r="E932">
        <v>56</v>
      </c>
      <c r="F932">
        <v>9</v>
      </c>
      <c r="G932">
        <v>3</v>
      </c>
      <c r="H932" s="1">
        <v>7.6620370370370366E-3</v>
      </c>
      <c r="I932">
        <v>2022</v>
      </c>
      <c r="J932" t="s">
        <v>83</v>
      </c>
      <c r="K932" s="2" t="str">
        <f>HYPERLINK("https://www.nba.com/stats/events?CFID=&amp;CFPARAMS=&amp;GameEventID=357&amp;GameID=0022200352&amp;Season=2022-23&amp;flag=1&amp;title=Leonard%2014'%20fadeaway%20Jump%20Shot%20(8%20PTS)%20(M.%20Morris%20Sr.%202%20AST)", "14' fadeaway Jump Shot (8 PTS) (M. Morris Sr. 2 AST)")</f>
        <v>14' fadeaway Jump Shot (8 PTS) (M. Morris Sr. 2 AST)</v>
      </c>
      <c r="L932" s="2" t="str">
        <f>HYPERLINK("https://www.nba.com/game/...-vs-...-0022200352/play-by-play?watchFullGame=true", "LAC vs CHA - Q3 11:02.00")</f>
        <v>LAC vs CHA - Q3 11:02.00</v>
      </c>
      <c r="M932">
        <v>14.81</v>
      </c>
      <c r="N932">
        <v>21.24</v>
      </c>
      <c r="O932">
        <v>53.43</v>
      </c>
      <c r="P932">
        <v>-17</v>
      </c>
      <c r="Q932">
        <v>147</v>
      </c>
      <c r="R932">
        <v>21</v>
      </c>
      <c r="S932">
        <v>53</v>
      </c>
    </row>
    <row r="933" spans="1:19" hidden="1" x14ac:dyDescent="0.25">
      <c r="A933">
        <v>22200902</v>
      </c>
      <c r="B933" t="s">
        <v>18</v>
      </c>
      <c r="C933" t="s">
        <v>19</v>
      </c>
      <c r="D933">
        <v>102</v>
      </c>
      <c r="E933">
        <v>96</v>
      </c>
      <c r="F933">
        <v>6</v>
      </c>
      <c r="G933">
        <v>3</v>
      </c>
      <c r="H933" s="1">
        <v>3.0439814814814813E-3</v>
      </c>
      <c r="I933">
        <v>2022</v>
      </c>
      <c r="J933" t="s">
        <v>83</v>
      </c>
      <c r="K933" s="2" t="str">
        <f>HYPERLINK("https://www.nba.com/stats/events?CFID=&amp;CFPARAMS=&amp;GameEventID=434&amp;GameID=0022200902&amp;Season=2022-23&amp;flag=1&amp;title=Leonard%2014'%20fadeaway%20Jump%20Shot%20(31%20PTS)", "14' fadeaway Jump Shot (31 PTS)")</f>
        <v>14' fadeaway Jump Shot (31 PTS)</v>
      </c>
      <c r="L933" s="2" t="str">
        <f>HYPERLINK("https://www.nba.com/game/...-vs-...-0022200902/play-by-play?watchFullGame=true", "LAC vs SAC - Q3 04:23.00")</f>
        <v>LAC vs SAC - Q3 04:23.00</v>
      </c>
      <c r="M933">
        <v>14.68</v>
      </c>
      <c r="N933">
        <v>21.21</v>
      </c>
      <c r="O933">
        <v>50.25</v>
      </c>
      <c r="P933">
        <v>-1</v>
      </c>
      <c r="Q933">
        <v>147</v>
      </c>
      <c r="R933">
        <v>21</v>
      </c>
      <c r="S933">
        <v>50</v>
      </c>
    </row>
    <row r="934" spans="1:19" hidden="1" x14ac:dyDescent="0.25">
      <c r="A934">
        <v>22000966</v>
      </c>
      <c r="B934" t="s">
        <v>26</v>
      </c>
      <c r="C934" t="s">
        <v>19</v>
      </c>
      <c r="D934">
        <v>54</v>
      </c>
      <c r="E934">
        <v>56</v>
      </c>
      <c r="F934">
        <v>2</v>
      </c>
      <c r="G934">
        <v>3</v>
      </c>
      <c r="H934" s="1">
        <v>6.9212962962962961E-3</v>
      </c>
      <c r="I934">
        <v>2020</v>
      </c>
      <c r="J934" t="s">
        <v>83</v>
      </c>
      <c r="K934" s="2" t="str">
        <f>HYPERLINK("https://www.nba.com/stats/events?CFID=&amp;CFPARAMS=&amp;GameEventID=343&amp;GameID=0022000966&amp;Season=2020-21&amp;flag=1&amp;title=Leonard%2026'%203PT%20step%20back%20(12%20PTS)%20(R.%20Jackson%201%20AST)", "26' 3PT step back (12 PTS) (R. Jackson 1 AST)")</f>
        <v>26' 3PT step back (12 PTS) (R. Jackson 1 AST)</v>
      </c>
      <c r="L934" s="2" t="str">
        <f>HYPERLINK("https://www.nba.com/game/...-vs-...-0022000966/play-by-play?watchFullGame=true", "LAC vs DEN - Q3 09:58.00")</f>
        <v>LAC vs DEN - Q3 09:58.00</v>
      </c>
      <c r="M934">
        <v>26.18</v>
      </c>
      <c r="N934">
        <v>22.16</v>
      </c>
      <c r="O934">
        <v>7.91</v>
      </c>
      <c r="P934">
        <v>210</v>
      </c>
      <c r="Q934">
        <v>156</v>
      </c>
      <c r="R934">
        <v>22</v>
      </c>
      <c r="S934">
        <v>7</v>
      </c>
    </row>
    <row r="935" spans="1:19" hidden="1" x14ac:dyDescent="0.25">
      <c r="A935">
        <v>21900377</v>
      </c>
      <c r="B935" t="s">
        <v>26</v>
      </c>
      <c r="C935" t="s">
        <v>84</v>
      </c>
      <c r="D935">
        <v>110</v>
      </c>
      <c r="E935">
        <v>95</v>
      </c>
      <c r="F935">
        <v>15</v>
      </c>
      <c r="G935">
        <v>4</v>
      </c>
      <c r="H935" s="1">
        <v>5.0462962962962961E-3</v>
      </c>
      <c r="I935">
        <v>2019</v>
      </c>
      <c r="J935" t="s">
        <v>83</v>
      </c>
      <c r="K935" s="2" t="str">
        <f>HYPERLINK("https://www.nba.com/stats/events?CFID=&amp;CFPARAMS=&amp;GameEventID=589&amp;GameID=0021900377&amp;Season=2019-20&amp;flag=1&amp;title=Leonard%2025'%203PT%20%20(40%20PTS)%20(P.%20Patterson%201%20AST)", "25' 3PT  (40 PTS) (P. Patterson 1 AST)")</f>
        <v>25' 3PT  (40 PTS) (P. Patterson 1 AST)</v>
      </c>
      <c r="L935" s="2" t="str">
        <f>HYPERLINK("https://www.nba.com/game/...-vs-...-0021900377/play-by-play?watchFullGame=true", "LAC vs MIN - Q4 07:16.00")</f>
        <v>LAC vs MIN - Q4 07:16.00</v>
      </c>
      <c r="M935">
        <v>25.23</v>
      </c>
      <c r="N935">
        <v>22.16</v>
      </c>
      <c r="O935">
        <v>88.79</v>
      </c>
      <c r="P935">
        <v>-194</v>
      </c>
      <c r="Q935">
        <v>156</v>
      </c>
      <c r="R935">
        <v>22</v>
      </c>
      <c r="S935">
        <v>88</v>
      </c>
    </row>
    <row r="936" spans="1:19" hidden="1" x14ac:dyDescent="0.25">
      <c r="A936">
        <v>22300473</v>
      </c>
      <c r="B936" t="s">
        <v>26</v>
      </c>
      <c r="C936" t="s">
        <v>19</v>
      </c>
      <c r="D936">
        <v>76</v>
      </c>
      <c r="E936">
        <v>57</v>
      </c>
      <c r="F936">
        <v>19</v>
      </c>
      <c r="G936">
        <v>3</v>
      </c>
      <c r="H936" s="1">
        <v>7.3148148148148148E-3</v>
      </c>
      <c r="I936">
        <v>2023</v>
      </c>
      <c r="J936" t="s">
        <v>83</v>
      </c>
      <c r="K936" s="2" t="str">
        <f>HYPERLINK("https://www.nba.com/stats/events?CFID=&amp;CFPARAMS=&amp;GameEventID=343&amp;GameID=0022300473&amp;Season=2023-24&amp;flag=1&amp;title=Leonard%2024'%203PT%20%20(15%20PTS)%20(J.%20Harden%207%20AST)", "24' 3PT  (15 PTS) (J. Harden 7 AST)")</f>
        <v>24' 3PT  (15 PTS) (J. Harden 7 AST)</v>
      </c>
      <c r="L936" s="2" t="str">
        <f>HYPERLINK("https://www.nba.com/game/...-vs-...-0022300473/play-by-play?watchFullGame=true", "LAC vs PHX - Q3 10:32.00")</f>
        <v>LAC vs PHX - Q3 10:32.00</v>
      </c>
      <c r="M936">
        <v>24.98</v>
      </c>
      <c r="N936">
        <v>22.68</v>
      </c>
      <c r="O936">
        <v>11.76</v>
      </c>
      <c r="P936">
        <v>191</v>
      </c>
      <c r="Q936">
        <v>161</v>
      </c>
      <c r="R936">
        <v>22</v>
      </c>
      <c r="S936">
        <v>11</v>
      </c>
    </row>
    <row r="937" spans="1:19" hidden="1" x14ac:dyDescent="0.25">
      <c r="A937">
        <v>22200617</v>
      </c>
      <c r="B937" t="s">
        <v>26</v>
      </c>
      <c r="C937" t="s">
        <v>19</v>
      </c>
      <c r="D937">
        <v>77</v>
      </c>
      <c r="E937">
        <v>55</v>
      </c>
      <c r="F937">
        <v>22</v>
      </c>
      <c r="G937">
        <v>3</v>
      </c>
      <c r="H937" s="1">
        <v>5.6249999999999998E-3</v>
      </c>
      <c r="I937">
        <v>2022</v>
      </c>
      <c r="J937" t="s">
        <v>83</v>
      </c>
      <c r="K937" s="2" t="str">
        <f>HYPERLINK("https://www.nba.com/stats/events?CFID=&amp;CFPARAMS=&amp;GameEventID=382&amp;GameID=0022200617&amp;Season=2022-23&amp;flag=1&amp;title=Leonard%2024'%203PT%20%20(22%20PTS)%20(I.%20Zubac%201%20AST)", "24' 3PT  (22 PTS) (I. Zubac 1 AST)")</f>
        <v>24' 3PT  (22 PTS) (I. Zubac 1 AST)</v>
      </c>
      <c r="L937" s="2" t="str">
        <f>HYPERLINK("https://www.nba.com/game/...-vs-...-0022200617/play-by-play?watchFullGame=true", "LAC vs DAL - Q3 08:06.00")</f>
        <v>LAC vs DAL - Q3 08:06.00</v>
      </c>
      <c r="M937">
        <v>24.8</v>
      </c>
      <c r="N937">
        <v>22.39</v>
      </c>
      <c r="O937">
        <v>11.76</v>
      </c>
      <c r="P937">
        <v>191</v>
      </c>
      <c r="Q937">
        <v>158</v>
      </c>
      <c r="R937">
        <v>22</v>
      </c>
      <c r="S937">
        <v>11</v>
      </c>
    </row>
    <row r="938" spans="1:19" hidden="1" x14ac:dyDescent="0.25">
      <c r="A938">
        <v>21901307</v>
      </c>
      <c r="B938" t="s">
        <v>18</v>
      </c>
      <c r="C938" t="s">
        <v>84</v>
      </c>
      <c r="D938">
        <v>2</v>
      </c>
      <c r="E938">
        <v>3</v>
      </c>
      <c r="F938">
        <v>1</v>
      </c>
      <c r="G938">
        <v>1</v>
      </c>
      <c r="H938" s="1">
        <v>6.9097222222222225E-3</v>
      </c>
      <c r="I938">
        <v>2019</v>
      </c>
      <c r="J938" t="s">
        <v>83</v>
      </c>
      <c r="K938" s="2" t="str">
        <f>HYPERLINK("https://www.nba.com/stats/events?CFID=&amp;CFPARAMS=&amp;GameEventID=22&amp;GameID=0021901307&amp;Season=2019-20&amp;flag=1&amp;title=Leonard%2021'%20jumpshot%20(2%20PTS)", "21' jumpshot (2 PTS)")</f>
        <v>21' jumpshot (2 PTS)</v>
      </c>
      <c r="L938" s="2" t="str">
        <f>HYPERLINK("https://www.nba.com/game/...-vs-...-0021901307/play-by-play?watchFullGame=true", "LAC vs DEN - Q1 09:57.00")</f>
        <v>LAC vs DEN - Q1 09:57.00</v>
      </c>
      <c r="M938">
        <v>21.03</v>
      </c>
      <c r="N938">
        <v>22.82</v>
      </c>
      <c r="O938">
        <v>24.58</v>
      </c>
      <c r="P938">
        <v>127</v>
      </c>
      <c r="Q938">
        <v>162</v>
      </c>
      <c r="R938">
        <v>22</v>
      </c>
      <c r="S938">
        <v>24</v>
      </c>
    </row>
    <row r="939" spans="1:19" hidden="1" x14ac:dyDescent="0.25">
      <c r="A939">
        <v>22200255</v>
      </c>
      <c r="B939" t="s">
        <v>18</v>
      </c>
      <c r="C939" t="s">
        <v>19</v>
      </c>
      <c r="D939">
        <v>13</v>
      </c>
      <c r="E939">
        <v>11</v>
      </c>
      <c r="F939">
        <v>2</v>
      </c>
      <c r="G939">
        <v>1</v>
      </c>
      <c r="H939" s="1">
        <v>4.8495370370370368E-3</v>
      </c>
      <c r="I939">
        <v>2022</v>
      </c>
      <c r="J939" t="s">
        <v>83</v>
      </c>
      <c r="K939" s="2" t="str">
        <f>HYPERLINK("https://www.nba.com/stats/events?CFID=&amp;CFPARAMS=&amp;GameEventID=54&amp;GameID=0022200255&amp;Season=2022-23&amp;flag=1&amp;title=Leonard%2019'%20pullup%20Jump%20Shot%20(2%20PTS)", "19' pullup Jump Shot (2 PTS)")</f>
        <v>19' pullup Jump Shot (2 PTS)</v>
      </c>
      <c r="L939" s="2" t="str">
        <f>HYPERLINK("https://www.nba.com/game/...-vs-...-0022200255/play-by-play?watchFullGame=true", "LAC vs UTA - Q1 06:59.00")</f>
        <v>LAC vs UTA - Q1 06:59.00</v>
      </c>
      <c r="M939">
        <v>19.059999999999999</v>
      </c>
      <c r="N939">
        <v>22.39</v>
      </c>
      <c r="O939">
        <v>28.68</v>
      </c>
      <c r="P939">
        <v>107</v>
      </c>
      <c r="Q939">
        <v>158</v>
      </c>
      <c r="R939">
        <v>22</v>
      </c>
      <c r="S939">
        <v>28</v>
      </c>
    </row>
    <row r="940" spans="1:19" hidden="1" x14ac:dyDescent="0.25">
      <c r="A940">
        <v>22200480</v>
      </c>
      <c r="B940" t="s">
        <v>18</v>
      </c>
      <c r="C940" t="s">
        <v>19</v>
      </c>
      <c r="D940">
        <v>74</v>
      </c>
      <c r="E940">
        <v>61</v>
      </c>
      <c r="F940">
        <v>13</v>
      </c>
      <c r="G940">
        <v>3</v>
      </c>
      <c r="H940" s="1">
        <v>5.138888888888889E-3</v>
      </c>
      <c r="I940">
        <v>2022</v>
      </c>
      <c r="J940" t="s">
        <v>83</v>
      </c>
      <c r="K940" s="2" t="str">
        <f>HYPERLINK("https://www.nba.com/stats/events?CFID=&amp;CFPARAMS=&amp;GameEventID=335&amp;GameID=0022200480&amp;Season=2022-23&amp;flag=1&amp;title=Leonard%2018'%20fadeaway%20Jump%20Shot%20(19%20PTS)", "18' fadeaway Jump Shot (19 PTS)")</f>
        <v>18' fadeaway Jump Shot (19 PTS)</v>
      </c>
      <c r="L940" s="2" t="str">
        <f>HYPERLINK("https://www.nba.com/game/...-vs-...-0022200480/play-by-play?watchFullGame=true", "LAC vs PHI - Q3 07:24.00")</f>
        <v>LAC vs PHI - Q3 07:24.00</v>
      </c>
      <c r="M940">
        <v>18.32</v>
      </c>
      <c r="N940">
        <v>22.13</v>
      </c>
      <c r="O940">
        <v>30.64</v>
      </c>
      <c r="P940">
        <v>97</v>
      </c>
      <c r="Q940">
        <v>155</v>
      </c>
      <c r="R940">
        <v>22</v>
      </c>
      <c r="S940">
        <v>30</v>
      </c>
    </row>
    <row r="941" spans="1:19" hidden="1" x14ac:dyDescent="0.25">
      <c r="A941">
        <v>22400671</v>
      </c>
      <c r="B941" t="s">
        <v>18</v>
      </c>
      <c r="C941" t="s">
        <v>19</v>
      </c>
      <c r="D941">
        <v>67</v>
      </c>
      <c r="E941">
        <v>60</v>
      </c>
      <c r="F941">
        <v>7</v>
      </c>
      <c r="G941">
        <v>3</v>
      </c>
      <c r="H941" s="1">
        <v>8.1944444444444452E-3</v>
      </c>
      <c r="I941">
        <v>2024</v>
      </c>
      <c r="J941" t="s">
        <v>83</v>
      </c>
      <c r="K941" s="2" t="str">
        <f>HYPERLINK("https://www.nba.com/stats/events?CFID=&amp;CFPARAMS=&amp;GameEventID=346&amp;GameID=0022400671&amp;Season=2024-25&amp;flag=1&amp;title=Leonard%2018'%20pullup%20Jump%20Shot%20(14%20PTS)", "18' pullup Jump Shot (14 PTS)")</f>
        <v>18' pullup Jump Shot (14 PTS)</v>
      </c>
      <c r="L941" s="2" t="str">
        <f>HYPERLINK("https://www.nba.com/game/...-vs-...-0022400671/play-by-play?watchFullGame=true", "LAC vs SAS - Q3 11:48.00")</f>
        <v>LAC vs SAS - Q3 11:48.00</v>
      </c>
      <c r="M941">
        <v>18.05</v>
      </c>
      <c r="N941">
        <v>22.03</v>
      </c>
      <c r="O941">
        <v>31.37</v>
      </c>
      <c r="P941">
        <v>93</v>
      </c>
      <c r="Q941">
        <v>155</v>
      </c>
      <c r="R941">
        <v>22</v>
      </c>
      <c r="S941">
        <v>31</v>
      </c>
    </row>
    <row r="942" spans="1:19" hidden="1" x14ac:dyDescent="0.25">
      <c r="A942">
        <v>41900231</v>
      </c>
      <c r="B942" t="s">
        <v>18</v>
      </c>
      <c r="C942" t="s">
        <v>84</v>
      </c>
      <c r="D942">
        <v>76</v>
      </c>
      <c r="E942">
        <v>60</v>
      </c>
      <c r="F942">
        <v>16</v>
      </c>
      <c r="G942">
        <v>3</v>
      </c>
      <c r="H942" s="1">
        <v>6.2152777777777779E-3</v>
      </c>
      <c r="I942" t="s">
        <v>85</v>
      </c>
      <c r="J942" t="s">
        <v>83</v>
      </c>
      <c r="K942" s="2" t="str">
        <f>HYPERLINK("https://www.nba.com/stats/events?CFID=&amp;CFPARAMS=&amp;GameEventID=364&amp;GameID=0041900231&amp;Season=2019-20&amp;flag=1&amp;title=Leonard%2018'%20jumpshot%20(21%20PTS)", "18' jumpshot (21 PTS)")</f>
        <v>18' jumpshot (21 PTS)</v>
      </c>
      <c r="L942" s="2" t="str">
        <f>HYPERLINK("https://www.nba.com/game/...-vs-...-0041900231/play-by-play?watchFullGame=true", "LAC vs DEN - Q3 08:57.00")</f>
        <v>LAC vs DEN - Q3 08:57.00</v>
      </c>
      <c r="M942">
        <v>18.489999999999998</v>
      </c>
      <c r="N942">
        <v>22.16</v>
      </c>
      <c r="O942">
        <v>31.93</v>
      </c>
      <c r="P942">
        <v>90</v>
      </c>
      <c r="Q942">
        <v>156</v>
      </c>
      <c r="R942">
        <v>22</v>
      </c>
      <c r="S942">
        <v>31</v>
      </c>
    </row>
    <row r="943" spans="1:19" hidden="1" x14ac:dyDescent="0.25">
      <c r="A943">
        <v>22000717</v>
      </c>
      <c r="B943" t="s">
        <v>18</v>
      </c>
      <c r="C943" t="s">
        <v>19</v>
      </c>
      <c r="D943">
        <v>4</v>
      </c>
      <c r="E943">
        <v>4</v>
      </c>
      <c r="F943">
        <v>0</v>
      </c>
      <c r="G943">
        <v>1</v>
      </c>
      <c r="H943" s="1">
        <v>7.6388888888888886E-3</v>
      </c>
      <c r="I943">
        <v>2020</v>
      </c>
      <c r="J943" t="s">
        <v>83</v>
      </c>
      <c r="K943" s="2" t="str">
        <f>HYPERLINK("https://www.nba.com/stats/events?CFID=&amp;CFPARAMS=&amp;GameEventID=11&amp;GameID=0022000717&amp;Season=2020-21&amp;flag=1&amp;title=Leonard%2017'%20pullup%20Jump%20Shot%20(2%20PTS)%20(R.%20Jackson%201%20AST)", "17' pullup Jump Shot (2 PTS) (R. Jackson 1 AST)")</f>
        <v>17' pullup Jump Shot (2 PTS) (R. Jackson 1 AST)</v>
      </c>
      <c r="L943" s="2" t="str">
        <f>HYPERLINK("https://www.nba.com/game/...-vs-...-0022000717/play-by-play?watchFullGame=true", "LAC vs MIL - Q1 11:00.00")</f>
        <v>LAC vs MIL - Q1 11:00.00</v>
      </c>
      <c r="M943">
        <v>17.89</v>
      </c>
      <c r="N943">
        <v>22.16</v>
      </c>
      <c r="O943">
        <v>32.42</v>
      </c>
      <c r="P943">
        <v>88</v>
      </c>
      <c r="Q943">
        <v>156</v>
      </c>
      <c r="R943">
        <v>22</v>
      </c>
      <c r="S943">
        <v>32</v>
      </c>
    </row>
    <row r="944" spans="1:19" hidden="1" x14ac:dyDescent="0.25">
      <c r="A944">
        <v>22400783</v>
      </c>
      <c r="B944" t="s">
        <v>18</v>
      </c>
      <c r="C944" t="s">
        <v>19</v>
      </c>
      <c r="D944">
        <v>16</v>
      </c>
      <c r="E944">
        <v>17</v>
      </c>
      <c r="F944">
        <v>1</v>
      </c>
      <c r="G944">
        <v>1</v>
      </c>
      <c r="H944" s="1">
        <v>3.7268518518518519E-3</v>
      </c>
      <c r="I944">
        <v>2024</v>
      </c>
      <c r="J944" t="s">
        <v>83</v>
      </c>
      <c r="K944" s="2" t="str">
        <f>HYPERLINK("https://www.nba.com/stats/events?CFID=&amp;CFPARAMS=&amp;GameEventID=83&amp;GameID=0022400783&amp;Season=2024-25&amp;flag=1&amp;title=Leonard%2017'%20pullup%20Jump%20Shot%20(7%20PTS)%20(I.%20Zubac%201%20AST)", "17' pullup Jump Shot (7 PTS) (I. Zubac 1 AST)")</f>
        <v>17' pullup Jump Shot (7 PTS) (I. Zubac 1 AST)</v>
      </c>
      <c r="L944" s="2" t="str">
        <f>HYPERLINK("https://www.nba.com/game/...-vs-...-0022400783/play-by-play?watchFullGame=true", "LAC vs MEM - Q1 05:22.00")</f>
        <v>LAC vs MEM - Q1 05:22.00</v>
      </c>
      <c r="M944">
        <v>17.43</v>
      </c>
      <c r="N944">
        <v>22.73</v>
      </c>
      <c r="O944">
        <v>36.74</v>
      </c>
      <c r="P944">
        <v>66</v>
      </c>
      <c r="Q944">
        <v>161</v>
      </c>
      <c r="R944">
        <v>22</v>
      </c>
      <c r="S944">
        <v>36</v>
      </c>
    </row>
    <row r="945" spans="1:19" hidden="1" x14ac:dyDescent="0.25">
      <c r="A945">
        <v>22400874</v>
      </c>
      <c r="B945" t="s">
        <v>18</v>
      </c>
      <c r="C945" t="s">
        <v>19</v>
      </c>
      <c r="D945">
        <v>47</v>
      </c>
      <c r="E945">
        <v>56</v>
      </c>
      <c r="F945">
        <v>9</v>
      </c>
      <c r="G945">
        <v>3</v>
      </c>
      <c r="H945" s="1">
        <v>7.3379629629629628E-3</v>
      </c>
      <c r="I945">
        <v>2024</v>
      </c>
      <c r="J945" t="s">
        <v>83</v>
      </c>
      <c r="K945" s="2" t="str">
        <f>HYPERLINK("https://www.nba.com/stats/events?CFID=&amp;CFPARAMS=&amp;GameEventID=322&amp;GameID=0022400874&amp;Season=2024-25&amp;flag=1&amp;title=Leonard%2017'%20Jump%20Shot%20(19%20PTS)", "17' Jump Shot (19 PTS)")</f>
        <v>17' Jump Shot (19 PTS)</v>
      </c>
      <c r="L945" s="2" t="str">
        <f>HYPERLINK("https://www.nba.com/game/...-vs-...-0022400874/play-by-play?watchFullGame=true", "LAC vs LAL - Q3 10:34.00")</f>
        <v>LAC vs LAL - Q3 10:34.00</v>
      </c>
      <c r="M945">
        <v>17.079999999999998</v>
      </c>
      <c r="N945">
        <v>22.39</v>
      </c>
      <c r="O945">
        <v>37.01</v>
      </c>
      <c r="P945">
        <v>65</v>
      </c>
      <c r="Q945">
        <v>158</v>
      </c>
      <c r="R945">
        <v>22</v>
      </c>
      <c r="S945">
        <v>37</v>
      </c>
    </row>
    <row r="946" spans="1:19" hidden="1" x14ac:dyDescent="0.25">
      <c r="A946">
        <v>22300799</v>
      </c>
      <c r="B946" t="s">
        <v>18</v>
      </c>
      <c r="C946" t="s">
        <v>19</v>
      </c>
      <c r="D946">
        <v>23</v>
      </c>
      <c r="E946">
        <v>16</v>
      </c>
      <c r="F946">
        <v>7</v>
      </c>
      <c r="G946">
        <v>1</v>
      </c>
      <c r="H946" s="1">
        <v>3.3680555555555556E-3</v>
      </c>
      <c r="I946">
        <v>2023</v>
      </c>
      <c r="J946" t="s">
        <v>83</v>
      </c>
      <c r="K946" s="2" t="str">
        <f>HYPERLINK("https://www.nba.com/stats/events?CFID=&amp;CFPARAMS=&amp;GameEventID=76&amp;GameID=0022300799&amp;Season=2023-24&amp;flag=1&amp;title=Leonard%2016'%20turnaround%20fadeaway%20Jump%20Shot%20(4%20PTS)", "16' turnaround fadeaway Jump Shot (4 PTS)")</f>
        <v>16' turnaround fadeaway Jump Shot (4 PTS)</v>
      </c>
      <c r="L946" s="2" t="str">
        <f>HYPERLINK("https://www.nba.com/game/...-vs-...-0022300799/play-by-play?watchFullGame=true", "LAC vs OKC - Q1 04:51.00")</f>
        <v>LAC vs OKC - Q1 04:51.00</v>
      </c>
      <c r="M946">
        <v>16.72</v>
      </c>
      <c r="N946">
        <v>22.42</v>
      </c>
      <c r="O946">
        <v>39.22</v>
      </c>
      <c r="P946">
        <v>54</v>
      </c>
      <c r="Q946">
        <v>158</v>
      </c>
      <c r="R946">
        <v>22</v>
      </c>
      <c r="S946">
        <v>39</v>
      </c>
    </row>
    <row r="947" spans="1:19" hidden="1" x14ac:dyDescent="0.25">
      <c r="A947">
        <v>22300257</v>
      </c>
      <c r="B947" t="s">
        <v>18</v>
      </c>
      <c r="C947" t="s">
        <v>19</v>
      </c>
      <c r="D947">
        <v>61</v>
      </c>
      <c r="E947">
        <v>58</v>
      </c>
      <c r="F947">
        <v>3</v>
      </c>
      <c r="G947">
        <v>3</v>
      </c>
      <c r="H947" s="1">
        <v>7.1527777777777779E-3</v>
      </c>
      <c r="I947">
        <v>2023</v>
      </c>
      <c r="J947" t="s">
        <v>83</v>
      </c>
      <c r="K947" s="2" t="str">
        <f>HYPERLINK("https://www.nba.com/stats/events?CFID=&amp;CFPARAMS=&amp;GameEventID=378&amp;GameID=0022300257&amp;Season=2023-24&amp;flag=1&amp;title=Leonard%2016'%20pullup%20Jump%20Shot%20(22%20PTS)", "16' pullup Jump Shot (22 PTS)")</f>
        <v>16' pullup Jump Shot (22 PTS)</v>
      </c>
      <c r="L947" s="2" t="str">
        <f>HYPERLINK("https://www.nba.com/game/...-vs-...-0022300257/play-by-play?watchFullGame=true", "LAC vs DEN - Q3 10:18.00")</f>
        <v>LAC vs DEN - Q3 10:18.00</v>
      </c>
      <c r="M947">
        <v>16.47</v>
      </c>
      <c r="N947">
        <v>22.39</v>
      </c>
      <c r="O947">
        <v>40.69</v>
      </c>
      <c r="P947">
        <v>47</v>
      </c>
      <c r="Q947">
        <v>158</v>
      </c>
      <c r="R947">
        <v>22</v>
      </c>
      <c r="S947">
        <v>40</v>
      </c>
    </row>
    <row r="948" spans="1:19" hidden="1" x14ac:dyDescent="0.25">
      <c r="A948">
        <v>21900523</v>
      </c>
      <c r="B948" t="s">
        <v>18</v>
      </c>
      <c r="C948" t="s">
        <v>84</v>
      </c>
      <c r="D948">
        <v>16</v>
      </c>
      <c r="E948">
        <v>32</v>
      </c>
      <c r="F948">
        <v>16</v>
      </c>
      <c r="G948">
        <v>1</v>
      </c>
      <c r="H948" s="1">
        <v>2.7430555555555554E-3</v>
      </c>
      <c r="I948">
        <v>2019</v>
      </c>
      <c r="J948" t="s">
        <v>83</v>
      </c>
      <c r="K948" s="2" t="str">
        <f>HYPERLINK("https://www.nba.com/stats/events?CFID=&amp;CFPARAMS=&amp;GameEventID=101&amp;GameID=0021900523&amp;Season=2019-20&amp;flag=1&amp;title=Leonard%2016'%20jumpshot%20(6%20PTS)%20(L.%20Williams%201%20AST)", "16' jumpshot (6 PTS) (L. Williams 1 AST)")</f>
        <v>16' jumpshot (6 PTS) (L. Williams 1 AST)</v>
      </c>
      <c r="L948" s="2" t="str">
        <f>HYPERLINK("https://www.nba.com/game/...-vs-...-0021900523/play-by-play?watchFullGame=true", "LAC vs MEM - Q1 03:57.00")</f>
        <v>LAC vs MEM - Q1 03:57.00</v>
      </c>
      <c r="M948">
        <v>16.239999999999998</v>
      </c>
      <c r="N948">
        <v>22.13</v>
      </c>
      <c r="O948">
        <v>45.76</v>
      </c>
      <c r="P948">
        <v>21</v>
      </c>
      <c r="Q948">
        <v>155</v>
      </c>
      <c r="R948">
        <v>22</v>
      </c>
      <c r="S948">
        <v>45</v>
      </c>
    </row>
    <row r="949" spans="1:19" hidden="1" x14ac:dyDescent="0.25">
      <c r="A949">
        <v>22000130</v>
      </c>
      <c r="B949" t="s">
        <v>18</v>
      </c>
      <c r="C949" t="s">
        <v>19</v>
      </c>
      <c r="D949">
        <v>11</v>
      </c>
      <c r="E949">
        <v>5</v>
      </c>
      <c r="F949">
        <v>6</v>
      </c>
      <c r="G949">
        <v>1</v>
      </c>
      <c r="H949" s="1">
        <v>6.2615740740740739E-3</v>
      </c>
      <c r="I949">
        <v>2020</v>
      </c>
      <c r="J949" t="s">
        <v>83</v>
      </c>
      <c r="K949" s="2" t="str">
        <f>HYPERLINK("https://www.nba.com/stats/events?CFID=&amp;CFPARAMS=&amp;GameEventID=40&amp;GameID=0022000130&amp;Season=2020-21&amp;flag=1&amp;title=Leonard%2015'%20Jump%20Shot%20(2%20PTS)%20(N.%20Batum%202%20AST)", "15' Jump Shot (2 PTS) (N. Batum 2 AST)")</f>
        <v>15' Jump Shot (2 PTS) (N. Batum 2 AST)</v>
      </c>
      <c r="L949" s="2" t="str">
        <f>HYPERLINK("https://www.nba.com/game/...-vs-...-0022000130/play-by-play?watchFullGame=true", "LAC vs GSW - Q1 09:01.00")</f>
        <v>LAC vs GSW - Q1 09:01.00</v>
      </c>
      <c r="M949">
        <v>15.99</v>
      </c>
      <c r="N949">
        <v>22.55</v>
      </c>
      <c r="O949">
        <v>47.86</v>
      </c>
      <c r="P949">
        <v>11</v>
      </c>
      <c r="Q949">
        <v>159</v>
      </c>
      <c r="R949">
        <v>22</v>
      </c>
      <c r="S949">
        <v>47</v>
      </c>
    </row>
    <row r="950" spans="1:19" hidden="1" x14ac:dyDescent="0.25">
      <c r="A950">
        <v>22300637</v>
      </c>
      <c r="B950" t="s">
        <v>18</v>
      </c>
      <c r="C950" t="s">
        <v>19</v>
      </c>
      <c r="D950">
        <v>83</v>
      </c>
      <c r="E950">
        <v>65</v>
      </c>
      <c r="F950">
        <v>18</v>
      </c>
      <c r="G950">
        <v>3</v>
      </c>
      <c r="H950" s="1">
        <v>4.2824074074074075E-3</v>
      </c>
      <c r="I950">
        <v>2023</v>
      </c>
      <c r="J950" t="s">
        <v>83</v>
      </c>
      <c r="K950" s="2" t="str">
        <f>HYPERLINK("https://www.nba.com/stats/events?CFID=&amp;CFPARAMS=&amp;GameEventID=391&amp;GameID=0022300637&amp;Season=2023-24&amp;flag=1&amp;title=Leonard%2015'%20pullup%20Jump%20Shot%20(13%20PTS)", "15' pullup Jump Shot (13 PTS)")</f>
        <v>15' pullup Jump Shot (13 PTS)</v>
      </c>
      <c r="L950" s="2" t="str">
        <f>HYPERLINK("https://www.nba.com/game/...-vs-...-0022300637/play-by-play?watchFullGame=true", "LAC vs TOR - Q3 06:10.00")</f>
        <v>LAC vs TOR - Q3 06:10.00</v>
      </c>
      <c r="M950">
        <v>15.48</v>
      </c>
      <c r="N950">
        <v>22.03</v>
      </c>
      <c r="O950">
        <v>48.28</v>
      </c>
      <c r="P950">
        <v>9</v>
      </c>
      <c r="Q950">
        <v>155</v>
      </c>
      <c r="R950">
        <v>22</v>
      </c>
      <c r="S950">
        <v>48</v>
      </c>
    </row>
    <row r="951" spans="1:19" hidden="1" x14ac:dyDescent="0.25">
      <c r="A951">
        <v>22200829</v>
      </c>
      <c r="B951" t="s">
        <v>18</v>
      </c>
      <c r="C951" t="s">
        <v>19</v>
      </c>
      <c r="D951">
        <v>76</v>
      </c>
      <c r="E951">
        <v>77</v>
      </c>
      <c r="F951">
        <v>1</v>
      </c>
      <c r="G951">
        <v>3</v>
      </c>
      <c r="H951" s="1">
        <v>2.2453703703703702E-3</v>
      </c>
      <c r="I951">
        <v>2022</v>
      </c>
      <c r="J951" t="s">
        <v>83</v>
      </c>
      <c r="K951" s="2" t="str">
        <f>HYPERLINK("https://www.nba.com/stats/events?CFID=&amp;CFPARAMS=&amp;GameEventID=406&amp;GameID=0022200829&amp;Season=2022-23&amp;flag=1&amp;title=Leonard%2016'%20fadeaway%20Jump%20Shot%20(15%20PTS)", "16' fadeaway Jump Shot (15 PTS)")</f>
        <v>16' fadeaway Jump Shot (15 PTS)</v>
      </c>
      <c r="L951" s="2" t="str">
        <f>HYPERLINK("https://www.nba.com/game/...-vs-...-0022200829/play-by-play?watchFullGame=true", "LAC vs DAL - Q3 03:14.00")</f>
        <v>LAC vs DAL - Q3 03:14.00</v>
      </c>
      <c r="M951">
        <v>16.010000000000002</v>
      </c>
      <c r="N951">
        <v>22.6</v>
      </c>
      <c r="O951">
        <v>50.87</v>
      </c>
      <c r="P951">
        <v>-4</v>
      </c>
      <c r="Q951">
        <v>160</v>
      </c>
      <c r="R951">
        <v>22</v>
      </c>
      <c r="S951">
        <v>50</v>
      </c>
    </row>
    <row r="952" spans="1:19" hidden="1" x14ac:dyDescent="0.25">
      <c r="A952">
        <v>42000176</v>
      </c>
      <c r="B952" t="s">
        <v>18</v>
      </c>
      <c r="C952" t="s">
        <v>19</v>
      </c>
      <c r="D952">
        <v>62</v>
      </c>
      <c r="E952">
        <v>67</v>
      </c>
      <c r="F952">
        <v>5</v>
      </c>
      <c r="G952">
        <v>3</v>
      </c>
      <c r="H952" s="1">
        <v>4.0162037037037041E-3</v>
      </c>
      <c r="I952" t="s">
        <v>91</v>
      </c>
      <c r="J952" t="s">
        <v>83</v>
      </c>
      <c r="K952" s="2" t="str">
        <f>HYPERLINK("https://www.nba.com/stats/events?CFID=&amp;CFPARAMS=&amp;GameEventID=390&amp;GameID=0042000176&amp;Season=2020-21&amp;flag=1&amp;title=Leonard%2015'%20Jump%20Shot%20(22%20PTS)", "15' Jump Shot (22 PTS)")</f>
        <v>15' Jump Shot (22 PTS)</v>
      </c>
      <c r="L952" s="2" t="str">
        <f>HYPERLINK("https://www.nba.com/game/...-vs-...-0042000176/play-by-play?watchFullGame=true", "LAC vs DAL - Q3 05:47.00")</f>
        <v>LAC vs DAL - Q3 05:47.00</v>
      </c>
      <c r="M952">
        <v>15.76</v>
      </c>
      <c r="N952">
        <v>22.29</v>
      </c>
      <c r="O952">
        <v>52.77</v>
      </c>
      <c r="P952">
        <v>22</v>
      </c>
      <c r="Q952">
        <v>52</v>
      </c>
      <c r="R952">
        <v>22</v>
      </c>
      <c r="S952">
        <v>52</v>
      </c>
    </row>
    <row r="953" spans="1:19" hidden="1" x14ac:dyDescent="0.25">
      <c r="A953">
        <v>22300114</v>
      </c>
      <c r="B953" t="s">
        <v>18</v>
      </c>
      <c r="C953" t="s">
        <v>19</v>
      </c>
      <c r="D953">
        <v>71</v>
      </c>
      <c r="E953">
        <v>60</v>
      </c>
      <c r="F953">
        <v>11</v>
      </c>
      <c r="G953">
        <v>3</v>
      </c>
      <c r="H953" s="1">
        <v>3.3564814814814816E-3</v>
      </c>
      <c r="I953">
        <v>2023</v>
      </c>
      <c r="J953" t="s">
        <v>83</v>
      </c>
      <c r="K953" s="2" t="str">
        <f>HYPERLINK("https://www.nba.com/stats/events?CFID=&amp;CFPARAMS=&amp;GameEventID=432&amp;GameID=0022300114&amp;Season=2023-24&amp;flag=1&amp;title=Leonard%2015'%20Jump%20Shot%20(4%20PTS)%20(R.%20Westbrook%206%20AST)", "15' Jump Shot (4 PTS) (R. Westbrook 6 AST)")</f>
        <v>15' Jump Shot (4 PTS) (R. Westbrook 6 AST)</v>
      </c>
      <c r="L953" s="2" t="str">
        <f>HYPERLINK("https://www.nba.com/game/...-vs-...-0022300114/play-by-play?watchFullGame=true", "LAC vs ORL - Q3 04:50.00")</f>
        <v>LAC vs ORL - Q3 04:50.00</v>
      </c>
      <c r="M953">
        <v>15.78</v>
      </c>
      <c r="N953">
        <v>22.26</v>
      </c>
      <c r="O953">
        <v>53.68</v>
      </c>
      <c r="P953">
        <v>-18</v>
      </c>
      <c r="Q953">
        <v>157</v>
      </c>
      <c r="R953">
        <v>22</v>
      </c>
      <c r="S953">
        <v>53</v>
      </c>
    </row>
    <row r="954" spans="1:19" hidden="1" x14ac:dyDescent="0.25">
      <c r="A954">
        <v>22000308</v>
      </c>
      <c r="B954" t="s">
        <v>18</v>
      </c>
      <c r="C954" t="s">
        <v>19</v>
      </c>
      <c r="D954">
        <v>27</v>
      </c>
      <c r="E954">
        <v>29</v>
      </c>
      <c r="F954">
        <v>2</v>
      </c>
      <c r="G954">
        <v>1</v>
      </c>
      <c r="H954" s="1">
        <v>1.0069444444444444E-3</v>
      </c>
      <c r="I954">
        <v>2020</v>
      </c>
      <c r="J954" t="s">
        <v>83</v>
      </c>
      <c r="K954" s="2" t="str">
        <f>HYPERLINK("https://www.nba.com/stats/events?CFID=&amp;CFPARAMS=&amp;GameEventID=125&amp;GameID=0022000308&amp;Season=2020-21&amp;flag=1&amp;title=Leonard%2016'%20pullup%20Jump%20Shot%20(7%20PTS)", "16' pullup Jump Shot (7 PTS)")</f>
        <v>16' pullup Jump Shot (7 PTS)</v>
      </c>
      <c r="L954" s="2" t="str">
        <f>HYPERLINK("https://www.nba.com/game/...-vs-...-0022000308/play-by-play?watchFullGame=true", "LAC vs NYK - Q1 01:27.00")</f>
        <v>LAC vs NYK - Q1 01:27.00</v>
      </c>
      <c r="M954">
        <v>16.73</v>
      </c>
      <c r="N954">
        <v>22.29</v>
      </c>
      <c r="O954">
        <v>61.59</v>
      </c>
      <c r="P954">
        <v>-58</v>
      </c>
      <c r="Q954">
        <v>157</v>
      </c>
      <c r="R954">
        <v>22</v>
      </c>
      <c r="S954">
        <v>61</v>
      </c>
    </row>
    <row r="955" spans="1:19" hidden="1" x14ac:dyDescent="0.25">
      <c r="A955">
        <v>42000223</v>
      </c>
      <c r="B955" t="s">
        <v>18</v>
      </c>
      <c r="C955" t="s">
        <v>19</v>
      </c>
      <c r="D955">
        <v>51</v>
      </c>
      <c r="E955">
        <v>41</v>
      </c>
      <c r="F955">
        <v>10</v>
      </c>
      <c r="G955">
        <v>2</v>
      </c>
      <c r="H955" s="1">
        <v>2.8703703703703703E-3</v>
      </c>
      <c r="I955" t="s">
        <v>94</v>
      </c>
      <c r="J955" t="s">
        <v>83</v>
      </c>
      <c r="K955" s="2" t="str">
        <f>HYPERLINK("https://www.nba.com/stats/events?CFID=&amp;CFPARAMS=&amp;GameEventID=238&amp;GameID=0042000223&amp;Season=2020-21&amp;flag=1&amp;title=Leonard%2018'%20pullup%20Jump%20Shot%20(10%20PTS)", "18' pullup Jump Shot (10 PTS)")</f>
        <v>18' pullup Jump Shot (10 PTS)</v>
      </c>
      <c r="L955" s="2" t="str">
        <f>HYPERLINK("https://www.nba.com/game/...-vs-...-0042000223/play-by-play?watchFullGame=true", "LAC vs UTA - Q2 04:08.00")</f>
        <v>LAC vs UTA - Q2 04:08.00</v>
      </c>
      <c r="M955">
        <v>18.63</v>
      </c>
      <c r="N955">
        <v>22.91</v>
      </c>
      <c r="O955">
        <v>68.069999999999993</v>
      </c>
      <c r="P955">
        <v>22</v>
      </c>
      <c r="Q955">
        <v>68</v>
      </c>
      <c r="R955">
        <v>22</v>
      </c>
      <c r="S955">
        <v>68</v>
      </c>
    </row>
    <row r="956" spans="1:19" hidden="1" x14ac:dyDescent="0.25">
      <c r="A956">
        <v>21900576</v>
      </c>
      <c r="B956" t="s">
        <v>18</v>
      </c>
      <c r="C956" t="s">
        <v>84</v>
      </c>
      <c r="D956">
        <v>96</v>
      </c>
      <c r="E956">
        <v>91</v>
      </c>
      <c r="F956">
        <v>5</v>
      </c>
      <c r="G956">
        <v>4</v>
      </c>
      <c r="H956" s="1">
        <v>3.5185185185185185E-3</v>
      </c>
      <c r="I956">
        <v>2019</v>
      </c>
      <c r="J956" t="s">
        <v>83</v>
      </c>
      <c r="K956" s="2" t="str">
        <f>HYPERLINK("https://www.nba.com/stats/events?CFID=&amp;CFPARAMS=&amp;GameEventID=642&amp;GameID=0021900576&amp;Season=2019-20&amp;flag=1&amp;title=Leonard%2020'%20jumpshot%20(32%20PTS)", "20' jumpshot (32 PTS)")</f>
        <v>20' jumpshot (32 PTS)</v>
      </c>
      <c r="L956" s="2" t="str">
        <f>HYPERLINK("https://www.nba.com/game/...-vs-...-0021900576/play-by-play?watchFullGame=true", "LAC vs GSW - Q4 05:04.00")</f>
        <v>LAC vs GSW - Q4 05:04.00</v>
      </c>
      <c r="M956">
        <v>20.04</v>
      </c>
      <c r="N956">
        <v>22.65</v>
      </c>
      <c r="O956">
        <v>72.48</v>
      </c>
      <c r="P956">
        <v>-112</v>
      </c>
      <c r="Q956">
        <v>160</v>
      </c>
      <c r="R956">
        <v>22</v>
      </c>
      <c r="S956">
        <v>72</v>
      </c>
    </row>
    <row r="957" spans="1:19" hidden="1" x14ac:dyDescent="0.25">
      <c r="A957">
        <v>22200480</v>
      </c>
      <c r="B957" t="s">
        <v>18</v>
      </c>
      <c r="C957" t="s">
        <v>19</v>
      </c>
      <c r="D957">
        <v>99</v>
      </c>
      <c r="E957">
        <v>101</v>
      </c>
      <c r="F957">
        <v>2</v>
      </c>
      <c r="G957">
        <v>4</v>
      </c>
      <c r="H957" s="1">
        <v>4.5370370370370373E-3</v>
      </c>
      <c r="I957">
        <v>2022</v>
      </c>
      <c r="J957" t="s">
        <v>83</v>
      </c>
      <c r="K957" s="2" t="str">
        <f>HYPERLINK("https://www.nba.com/stats/events?CFID=&amp;CFPARAMS=&amp;GameEventID=517&amp;GameID=0022200480&amp;Season=2022-23&amp;flag=1&amp;title=Leonard%2019'%20running%20pullup%20Jump%20Shot%20(23%20PTS)", "19' running pullup Jump Shot (23 PTS)")</f>
        <v>19' running pullup Jump Shot (23 PTS)</v>
      </c>
      <c r="L957" s="2" t="str">
        <f>HYPERLINK("https://www.nba.com/game/...-vs-...-0022200480/play-by-play?watchFullGame=true", "LAC vs PHI - Q4 06:32.00")</f>
        <v>LAC vs PHI - Q4 06:32.00</v>
      </c>
      <c r="M957">
        <v>19.89</v>
      </c>
      <c r="N957">
        <v>22.65</v>
      </c>
      <c r="O957">
        <v>73.53</v>
      </c>
      <c r="P957">
        <v>-118</v>
      </c>
      <c r="Q957">
        <v>160</v>
      </c>
      <c r="R957">
        <v>22</v>
      </c>
      <c r="S957">
        <v>73</v>
      </c>
    </row>
    <row r="958" spans="1:19" hidden="1" x14ac:dyDescent="0.25">
      <c r="A958">
        <v>21900339</v>
      </c>
      <c r="B958" t="s">
        <v>18</v>
      </c>
      <c r="C958" t="s">
        <v>84</v>
      </c>
      <c r="D958">
        <v>67</v>
      </c>
      <c r="E958">
        <v>64</v>
      </c>
      <c r="F958">
        <v>3</v>
      </c>
      <c r="G958">
        <v>3</v>
      </c>
      <c r="H958" s="1">
        <v>8.1828703703703699E-3</v>
      </c>
      <c r="I958">
        <v>2019</v>
      </c>
      <c r="J958" t="s">
        <v>83</v>
      </c>
      <c r="K958" s="2" t="str">
        <f>HYPERLINK("https://www.nba.com/stats/events?CFID=&amp;CFPARAMS=&amp;GameEventID=381&amp;GameID=0021900339&amp;Season=2019-20&amp;flag=1&amp;title=Leonard%2020'%20jumpshot%20(17%20PTS)", "20' jumpshot (17 PTS)")</f>
        <v>20' jumpshot (17 PTS)</v>
      </c>
      <c r="L958" s="2" t="str">
        <f>HYPERLINK("https://www.nba.com/game/...-vs-...-0021900339/play-by-play?watchFullGame=true", "LAC vs WAS - Q3 11:47.00")</f>
        <v>LAC vs WAS - Q3 11:47.00</v>
      </c>
      <c r="M958">
        <v>20.239999999999998</v>
      </c>
      <c r="N958">
        <v>22.26</v>
      </c>
      <c r="O958">
        <v>74.2</v>
      </c>
      <c r="P958">
        <v>-121</v>
      </c>
      <c r="Q958">
        <v>157</v>
      </c>
      <c r="R958">
        <v>22</v>
      </c>
      <c r="S958">
        <v>74</v>
      </c>
    </row>
    <row r="959" spans="1:19" hidden="1" x14ac:dyDescent="0.25">
      <c r="A959">
        <v>21900292</v>
      </c>
      <c r="B959" t="s">
        <v>26</v>
      </c>
      <c r="C959" t="s">
        <v>84</v>
      </c>
      <c r="D959">
        <v>138</v>
      </c>
      <c r="E959">
        <v>107</v>
      </c>
      <c r="F959">
        <v>31</v>
      </c>
      <c r="G959">
        <v>4</v>
      </c>
      <c r="H959" s="1">
        <v>4.43287037037037E-3</v>
      </c>
      <c r="I959">
        <v>2019</v>
      </c>
      <c r="J959" t="s">
        <v>83</v>
      </c>
      <c r="K959" s="2" t="str">
        <f>HYPERLINK("https://www.nba.com/stats/events?CFID=&amp;CFPARAMS=&amp;GameEventID=650&amp;GameID=0021900292&amp;Season=2019-20&amp;flag=1&amp;title=Leonard%2026'%203PT%20%20(34%20PTS)", "26' 3PT  (34 PTS)")</f>
        <v>26' 3PT  (34 PTS)</v>
      </c>
      <c r="L959" s="2" t="str">
        <f>HYPERLINK("https://www.nba.com/game/...-vs-...-0021900292/play-by-play?watchFullGame=true", "LAC vs WAS - Q4 06:23.00")</f>
        <v>LAC vs WAS - Q4 06:23.00</v>
      </c>
      <c r="M959">
        <v>26.18</v>
      </c>
      <c r="N959">
        <v>23.05</v>
      </c>
      <c r="O959">
        <v>89.88</v>
      </c>
      <c r="P959">
        <v>-199</v>
      </c>
      <c r="Q959">
        <v>164</v>
      </c>
      <c r="R959">
        <v>23</v>
      </c>
      <c r="S959">
        <v>89</v>
      </c>
    </row>
    <row r="960" spans="1:19" hidden="1" x14ac:dyDescent="0.25">
      <c r="A960">
        <v>22300280</v>
      </c>
      <c r="B960" t="s">
        <v>26</v>
      </c>
      <c r="C960" t="s">
        <v>19</v>
      </c>
      <c r="D960">
        <v>20</v>
      </c>
      <c r="E960">
        <v>30</v>
      </c>
      <c r="F960">
        <v>10</v>
      </c>
      <c r="G960">
        <v>1</v>
      </c>
      <c r="H960" s="1">
        <v>1.261574074074074E-3</v>
      </c>
      <c r="I960">
        <v>2023</v>
      </c>
      <c r="J960" t="s">
        <v>83</v>
      </c>
      <c r="K960" s="2" t="str">
        <f>HYPERLINK("https://www.nba.com/stats/events?CFID=&amp;CFPARAMS=&amp;GameEventID=119&amp;GameID=0022300280&amp;Season=2023-24&amp;flag=1&amp;title=Leonard%2025'%203PT%20%20(5%20PTS)%20(P.%20George%202%20AST)", "25' 3PT  (5 PTS) (P. George 2 AST)")</f>
        <v>25' 3PT  (5 PTS) (P. George 2 AST)</v>
      </c>
      <c r="L960" s="2" t="str">
        <f>HYPERLINK("https://www.nba.com/game/...-vs-...-0022300280/play-by-play?watchFullGame=true", "LAC vs GSW - Q1 01:49.00")</f>
        <v>LAC vs GSW - Q1 01:49.00</v>
      </c>
      <c r="M960">
        <v>25.95</v>
      </c>
      <c r="N960">
        <v>23.97</v>
      </c>
      <c r="O960">
        <v>88.73</v>
      </c>
      <c r="P960">
        <v>-194</v>
      </c>
      <c r="Q960">
        <v>173</v>
      </c>
      <c r="R960">
        <v>23</v>
      </c>
      <c r="S960">
        <v>88</v>
      </c>
    </row>
    <row r="961" spans="1:19" hidden="1" x14ac:dyDescent="0.25">
      <c r="A961">
        <v>22300343</v>
      </c>
      <c r="B961" t="s">
        <v>26</v>
      </c>
      <c r="C961" t="s">
        <v>19</v>
      </c>
      <c r="D961">
        <v>105</v>
      </c>
      <c r="E961">
        <v>85</v>
      </c>
      <c r="F961">
        <v>20</v>
      </c>
      <c r="G961">
        <v>3</v>
      </c>
      <c r="H961" s="1">
        <v>2.7546296296296294E-3</v>
      </c>
      <c r="I961">
        <v>2023</v>
      </c>
      <c r="J961" t="s">
        <v>83</v>
      </c>
      <c r="K961" s="2" t="str">
        <f>HYPERLINK("https://www.nba.com/stats/events?CFID=&amp;CFPARAMS=&amp;GameEventID=458&amp;GameID=0022300343&amp;Season=2023-24&amp;flag=1&amp;title=Leonard%2025'%203PT%20%20(34%20PTS)%20(T.%20Mann%204%20AST)", "25' 3PT  (34 PTS) (T. Mann 4 AST)")</f>
        <v>25' 3PT  (34 PTS) (T. Mann 4 AST)</v>
      </c>
      <c r="L961" s="2" t="str">
        <f>HYPERLINK("https://www.nba.com/game/...-vs-...-0022300343/play-by-play?watchFullGame=true", "LAC vs NYK - Q3 03:58.00")</f>
        <v>LAC vs NYK - Q3 03:58.00</v>
      </c>
      <c r="M961">
        <v>25.41</v>
      </c>
      <c r="N961">
        <v>23.83</v>
      </c>
      <c r="O961">
        <v>87.5</v>
      </c>
      <c r="P961">
        <v>-188</v>
      </c>
      <c r="Q961">
        <v>172</v>
      </c>
      <c r="R961">
        <v>23</v>
      </c>
      <c r="S961">
        <v>87</v>
      </c>
    </row>
    <row r="962" spans="1:19" hidden="1" x14ac:dyDescent="0.25">
      <c r="A962">
        <v>22400793</v>
      </c>
      <c r="B962" t="s">
        <v>26</v>
      </c>
      <c r="C962" t="s">
        <v>19</v>
      </c>
      <c r="D962">
        <v>9</v>
      </c>
      <c r="E962">
        <v>3</v>
      </c>
      <c r="F962">
        <v>6</v>
      </c>
      <c r="G962">
        <v>1</v>
      </c>
      <c r="H962" s="1">
        <v>5.4513888888888893E-3</v>
      </c>
      <c r="I962">
        <v>2024</v>
      </c>
      <c r="J962" t="s">
        <v>83</v>
      </c>
      <c r="K962" s="2" t="str">
        <f>HYPERLINK("https://www.nba.com/stats/events?CFID=&amp;CFPARAMS=&amp;GameEventID=46&amp;GameID=0022400793&amp;Season=2024-25&amp;flag=1&amp;title=Leonard%2024'%203PT%20%20(3%20PTS)%20(J.%20Harden%201%20AST)", "24' 3PT  (3 PTS) (J. Harden 1 AST)")</f>
        <v>24' 3PT  (3 PTS) (J. Harden 1 AST)</v>
      </c>
      <c r="L962" s="2" t="str">
        <f>HYPERLINK("https://www.nba.com/game/...-vs-...-0022400793/play-by-play?watchFullGame=true", "LAC vs MIL - Q1 07:51.00")</f>
        <v>LAC vs MIL - Q1 07:51.00</v>
      </c>
      <c r="M962">
        <v>24.07</v>
      </c>
      <c r="N962">
        <v>23.13</v>
      </c>
      <c r="O962">
        <v>85.07</v>
      </c>
      <c r="P962">
        <v>-175</v>
      </c>
      <c r="Q962">
        <v>165</v>
      </c>
      <c r="R962">
        <v>23</v>
      </c>
      <c r="S962">
        <v>85</v>
      </c>
    </row>
    <row r="963" spans="1:19" hidden="1" x14ac:dyDescent="0.25">
      <c r="A963">
        <v>22200810</v>
      </c>
      <c r="B963" t="s">
        <v>18</v>
      </c>
      <c r="C963" t="s">
        <v>19</v>
      </c>
      <c r="D963">
        <v>101</v>
      </c>
      <c r="E963">
        <v>107</v>
      </c>
      <c r="F963">
        <v>6</v>
      </c>
      <c r="G963">
        <v>4</v>
      </c>
      <c r="H963" s="1">
        <v>4.1087962962962962E-3</v>
      </c>
      <c r="I963">
        <v>2022</v>
      </c>
      <c r="J963" t="s">
        <v>83</v>
      </c>
      <c r="K963" s="2" t="str">
        <f>HYPERLINK("https://www.nba.com/stats/events?CFID=&amp;CFPARAMS=&amp;GameEventID=573&amp;GameID=0022200810&amp;Season=2022-23&amp;flag=1&amp;title=Leonard%2019'%20pullup%20Jump%20Shot%20(17%20PTS)", "19' pullup Jump Shot (17 PTS)")</f>
        <v>19' pullup Jump Shot (17 PTS)</v>
      </c>
      <c r="L963" s="2" t="str">
        <f>HYPERLINK("https://www.nba.com/game/...-vs-...-0022200810/play-by-play?watchFullGame=true", "LAC vs BKN - Q4 05:55.00")</f>
        <v>LAC vs BKN - Q4 05:55.00</v>
      </c>
      <c r="M963">
        <v>19.28</v>
      </c>
      <c r="N963">
        <v>23.47</v>
      </c>
      <c r="O963">
        <v>31.13</v>
      </c>
      <c r="P963">
        <v>94</v>
      </c>
      <c r="Q963">
        <v>168</v>
      </c>
      <c r="R963">
        <v>23</v>
      </c>
      <c r="S963">
        <v>31</v>
      </c>
    </row>
    <row r="964" spans="1:19" hidden="1" x14ac:dyDescent="0.25">
      <c r="A964">
        <v>22000554</v>
      </c>
      <c r="B964" t="s">
        <v>18</v>
      </c>
      <c r="C964" t="s">
        <v>19</v>
      </c>
      <c r="D964">
        <v>2</v>
      </c>
      <c r="E964">
        <v>0</v>
      </c>
      <c r="F964">
        <v>2</v>
      </c>
      <c r="G964">
        <v>1</v>
      </c>
      <c r="H964" s="1">
        <v>7.9398148148148145E-3</v>
      </c>
      <c r="I964">
        <v>2020</v>
      </c>
      <c r="J964" t="s">
        <v>83</v>
      </c>
      <c r="K964" s="2" t="str">
        <f>HYPERLINK("https://www.nba.com/stats/events?CFID=&amp;CFPARAMS=&amp;GameEventID=11&amp;GameID=0022000554&amp;Season=2020-21&amp;flag=1&amp;title=Leonard%2019'%20pullup%20Jump%20Shot%20(2%20PTS)%20(P.%20Beverley%201%20AST)", "19' pullup Jump Shot (2 PTS) (P. Beverley 1 AST)")</f>
        <v>19' pullup Jump Shot (2 PTS) (P. Beverley 1 AST)</v>
      </c>
      <c r="L964" s="2" t="str">
        <f>HYPERLINK("https://www.nba.com/game/...-vs-...-0022000554/play-by-play?watchFullGame=true", "LAC vs WAS - Q1 11:26.00")</f>
        <v>LAC vs WAS - Q1 11:26.00</v>
      </c>
      <c r="M964">
        <v>19.03</v>
      </c>
      <c r="N964">
        <v>23.87</v>
      </c>
      <c r="O964">
        <v>33.65</v>
      </c>
      <c r="P964">
        <v>82</v>
      </c>
      <c r="Q964">
        <v>172</v>
      </c>
      <c r="R964">
        <v>23</v>
      </c>
      <c r="S964">
        <v>33</v>
      </c>
    </row>
    <row r="965" spans="1:19" hidden="1" x14ac:dyDescent="0.25">
      <c r="A965">
        <v>22000350</v>
      </c>
      <c r="B965" t="s">
        <v>18</v>
      </c>
      <c r="C965" t="s">
        <v>19</v>
      </c>
      <c r="D965">
        <v>58</v>
      </c>
      <c r="E965">
        <v>42</v>
      </c>
      <c r="F965">
        <v>16</v>
      </c>
      <c r="G965">
        <v>2</v>
      </c>
      <c r="H965" s="1">
        <v>1.8865740740740742E-3</v>
      </c>
      <c r="I965">
        <v>2020</v>
      </c>
      <c r="J965" t="s">
        <v>83</v>
      </c>
      <c r="K965" s="2" t="str">
        <f>HYPERLINK("https://www.nba.com/stats/events?CFID=&amp;CFPARAMS=&amp;GameEventID=275&amp;GameID=0022000350&amp;Season=2020-21&amp;flag=1&amp;title=Leonard%2018'%20Jump%20Shot%20(12%20PTS)", "18' Jump Shot (12 PTS)")</f>
        <v>18' Jump Shot (12 PTS)</v>
      </c>
      <c r="L965" s="2" t="str">
        <f>HYPERLINK("https://www.nba.com/game/...-vs-...-0022000350/play-by-play?watchFullGame=true", "LAC vs BOS - Q2 02:43.00")</f>
        <v>LAC vs BOS - Q2 02:43.00</v>
      </c>
      <c r="M965">
        <v>18.37</v>
      </c>
      <c r="N965">
        <v>23.21</v>
      </c>
      <c r="O965">
        <v>34.14</v>
      </c>
      <c r="P965">
        <v>79</v>
      </c>
      <c r="Q965">
        <v>166</v>
      </c>
      <c r="R965">
        <v>23</v>
      </c>
      <c r="S965">
        <v>34</v>
      </c>
    </row>
    <row r="966" spans="1:19" hidden="1" x14ac:dyDescent="0.25">
      <c r="A966">
        <v>22000324</v>
      </c>
      <c r="B966" t="s">
        <v>18</v>
      </c>
      <c r="C966" t="s">
        <v>19</v>
      </c>
      <c r="D966">
        <v>16</v>
      </c>
      <c r="E966">
        <v>6</v>
      </c>
      <c r="F966">
        <v>10</v>
      </c>
      <c r="G966">
        <v>1</v>
      </c>
      <c r="H966" s="1">
        <v>4.9537037037037041E-3</v>
      </c>
      <c r="I966">
        <v>2020</v>
      </c>
      <c r="J966" t="s">
        <v>83</v>
      </c>
      <c r="K966" s="2" t="str">
        <f>HYPERLINK("https://www.nba.com/stats/events?CFID=&amp;CFPARAMS=&amp;GameEventID=49&amp;GameID=0022000324&amp;Season=2020-21&amp;flag=1&amp;title=Leonard%2018'%20Jump%20Shot%20(6%20PTS)", "18' Jump Shot (6 PTS)")</f>
        <v>18' Jump Shot (6 PTS)</v>
      </c>
      <c r="L966" s="2" t="str">
        <f>HYPERLINK("https://www.nba.com/game/...-vs-...-0022000324/play-by-play?watchFullGame=true", "LAC vs BKN - Q1 07:08.00")</f>
        <v>LAC vs BKN - Q1 07:08.00</v>
      </c>
      <c r="M966">
        <v>18.489999999999998</v>
      </c>
      <c r="N966">
        <v>23.47</v>
      </c>
      <c r="O966">
        <v>34.630000000000003</v>
      </c>
      <c r="P966">
        <v>77</v>
      </c>
      <c r="Q966">
        <v>168</v>
      </c>
      <c r="R966">
        <v>23</v>
      </c>
      <c r="S966">
        <v>34</v>
      </c>
    </row>
    <row r="967" spans="1:19" hidden="1" x14ac:dyDescent="0.25">
      <c r="A967">
        <v>22300897</v>
      </c>
      <c r="B967" t="s">
        <v>18</v>
      </c>
      <c r="C967" t="s">
        <v>19</v>
      </c>
      <c r="D967">
        <v>113</v>
      </c>
      <c r="E967">
        <v>109</v>
      </c>
      <c r="F967">
        <v>4</v>
      </c>
      <c r="G967">
        <v>4</v>
      </c>
      <c r="H967" s="1">
        <v>1.4583333333333334E-3</v>
      </c>
      <c r="I967">
        <v>2023</v>
      </c>
      <c r="J967" t="s">
        <v>83</v>
      </c>
      <c r="K967" s="2" t="str">
        <f>HYPERLINK("https://www.nba.com/stats/events?CFID=&amp;CFPARAMS=&amp;GameEventID=574&amp;GameID=0022300897&amp;Season=2023-24&amp;flag=1&amp;title=Leonard%2017'%20pullup%20Jump%20Shot%20(27%20PTS)", "17' pullup Jump Shot (27 PTS)")</f>
        <v>17' pullup Jump Shot (27 PTS)</v>
      </c>
      <c r="L967" s="2" t="str">
        <f>HYPERLINK("https://www.nba.com/game/...-vs-...-0022300897/play-by-play?watchFullGame=true", "LAC vs HOU - Q4 02:06.00")</f>
        <v>LAC vs HOU - Q4 02:06.00</v>
      </c>
      <c r="M967">
        <v>17.29</v>
      </c>
      <c r="N967">
        <v>23.34</v>
      </c>
      <c r="O967">
        <v>40.93</v>
      </c>
      <c r="P967">
        <v>45</v>
      </c>
      <c r="Q967">
        <v>167</v>
      </c>
      <c r="R967">
        <v>23</v>
      </c>
      <c r="S967">
        <v>40</v>
      </c>
    </row>
    <row r="968" spans="1:19" hidden="1" x14ac:dyDescent="0.25">
      <c r="A968">
        <v>41900234</v>
      </c>
      <c r="B968" t="s">
        <v>18</v>
      </c>
      <c r="C968" t="s">
        <v>84</v>
      </c>
      <c r="D968">
        <v>43</v>
      </c>
      <c r="E968">
        <v>30</v>
      </c>
      <c r="F968">
        <v>13</v>
      </c>
      <c r="G968">
        <v>2</v>
      </c>
      <c r="H968" s="1">
        <v>3.8773148148148148E-3</v>
      </c>
      <c r="I968" t="s">
        <v>85</v>
      </c>
      <c r="J968" t="s">
        <v>83</v>
      </c>
      <c r="K968" s="2" t="str">
        <f>HYPERLINK("https://www.nba.com/stats/events?CFID=&amp;CFPARAMS=&amp;GameEventID=268&amp;GameID=0041900234&amp;Season=2019-20&amp;flag=1&amp;title=Leonard%2018'%20jumpshot%20(15%20PTS)", "18' jumpshot (15 PTS)")</f>
        <v>18' jumpshot (15 PTS)</v>
      </c>
      <c r="L968" s="2" t="str">
        <f>HYPERLINK("https://www.nba.com/game/...-vs-...-0041900234/play-by-play?watchFullGame=true", "LAC vs DEN - Q2 05:35.00")</f>
        <v>LAC vs DEN - Q2 05:35.00</v>
      </c>
      <c r="M968">
        <v>17.93</v>
      </c>
      <c r="N968">
        <v>23.47</v>
      </c>
      <c r="O968">
        <v>41</v>
      </c>
      <c r="P968">
        <v>45</v>
      </c>
      <c r="Q968">
        <v>168</v>
      </c>
      <c r="R968">
        <v>23</v>
      </c>
      <c r="S968">
        <v>41</v>
      </c>
    </row>
    <row r="969" spans="1:19" hidden="1" x14ac:dyDescent="0.25">
      <c r="A969">
        <v>22201096</v>
      </c>
      <c r="B969" t="s">
        <v>18</v>
      </c>
      <c r="C969" t="s">
        <v>19</v>
      </c>
      <c r="D969">
        <v>70</v>
      </c>
      <c r="E969">
        <v>68</v>
      </c>
      <c r="F969">
        <v>2</v>
      </c>
      <c r="G969">
        <v>3</v>
      </c>
      <c r="H969" s="1">
        <v>4.6180555555555558E-3</v>
      </c>
      <c r="I969">
        <v>2022</v>
      </c>
      <c r="J969" t="s">
        <v>83</v>
      </c>
      <c r="K969" s="2" t="str">
        <f>HYPERLINK("https://www.nba.com/stats/events?CFID=&amp;CFPARAMS=&amp;GameEventID=399&amp;GameID=0022201096&amp;Season=2022-23&amp;flag=1&amp;title=Leonard%2016'%20pullup%20Jump%20Shot%20(21%20PTS)", "16' pullup Jump Shot (21 PTS)")</f>
        <v>16' pullup Jump Shot (21 PTS)</v>
      </c>
      <c r="L969" s="2" t="str">
        <f>HYPERLINK("https://www.nba.com/game/...-vs-...-0022201096/play-by-play?watchFullGame=true", "LAC vs OKC - Q3 06:39.00")</f>
        <v>LAC vs OKC - Q3 06:39.00</v>
      </c>
      <c r="M969">
        <v>16.68</v>
      </c>
      <c r="N969">
        <v>23.31</v>
      </c>
      <c r="O969">
        <v>51.47</v>
      </c>
      <c r="P969">
        <v>-7</v>
      </c>
      <c r="Q969">
        <v>167</v>
      </c>
      <c r="R969">
        <v>23</v>
      </c>
      <c r="S969">
        <v>51</v>
      </c>
    </row>
    <row r="970" spans="1:19" hidden="1" x14ac:dyDescent="0.25">
      <c r="A970">
        <v>22200239</v>
      </c>
      <c r="B970" t="s">
        <v>18</v>
      </c>
      <c r="C970" t="s">
        <v>19</v>
      </c>
      <c r="D970">
        <v>69</v>
      </c>
      <c r="E970">
        <v>52</v>
      </c>
      <c r="F970">
        <v>17</v>
      </c>
      <c r="G970">
        <v>3</v>
      </c>
      <c r="H970" s="1">
        <v>6.875E-3</v>
      </c>
      <c r="I970">
        <v>2022</v>
      </c>
      <c r="J970" t="s">
        <v>83</v>
      </c>
      <c r="K970" s="2" t="str">
        <f>HYPERLINK("https://www.nba.com/stats/events?CFID=&amp;CFPARAMS=&amp;GameEventID=334&amp;GameID=0022200239&amp;Season=2022-23&amp;flag=1&amp;title=Leonard%2018'%20Jump%20Shot%20(6%20PTS)", "18' Jump Shot (6 PTS)")</f>
        <v>18' Jump Shot (6 PTS)</v>
      </c>
      <c r="L970" s="2" t="str">
        <f>HYPERLINK("https://www.nba.com/game/...-vs-...-0022200239/play-by-play?watchFullGame=true", "LAC vs SAS - Q3 09:54.00")</f>
        <v>LAC vs SAS - Q3 09:54.00</v>
      </c>
      <c r="M970">
        <v>18.059999999999999</v>
      </c>
      <c r="N970">
        <v>23.7</v>
      </c>
      <c r="O970">
        <v>62.01</v>
      </c>
      <c r="P970">
        <v>-60</v>
      </c>
      <c r="Q970">
        <v>170</v>
      </c>
      <c r="R970">
        <v>23</v>
      </c>
      <c r="S970">
        <v>62</v>
      </c>
    </row>
    <row r="971" spans="1:19" hidden="1" x14ac:dyDescent="0.25">
      <c r="A971">
        <v>22000172</v>
      </c>
      <c r="B971" t="s">
        <v>18</v>
      </c>
      <c r="C971" t="s">
        <v>19</v>
      </c>
      <c r="D971">
        <v>28</v>
      </c>
      <c r="E971">
        <v>28</v>
      </c>
      <c r="F971">
        <v>0</v>
      </c>
      <c r="G971">
        <v>1</v>
      </c>
      <c r="H971" s="1">
        <v>3.1597222222222221E-4</v>
      </c>
      <c r="I971">
        <v>2020</v>
      </c>
      <c r="J971" t="s">
        <v>83</v>
      </c>
      <c r="K971" s="2" t="str">
        <f>HYPERLINK("https://www.nba.com/stats/events?CFID=&amp;CFPARAMS=&amp;GameEventID=127&amp;GameID=0022000172&amp;Season=2020-21&amp;flag=1&amp;title=Leonard%2018'%20pullup%20Jump%20Shot%20(4%20PTS)", "18' pullup Jump Shot (4 PTS)")</f>
        <v>18' pullup Jump Shot (4 PTS)</v>
      </c>
      <c r="L971" s="2" t="str">
        <f>HYPERLINK("https://www.nba.com/game/...-vs-...-0022000172/play-by-play?watchFullGame=true", "LAC vs NOP - Q1 00:27.30")</f>
        <v>LAC vs NOP - Q1 00:27.30</v>
      </c>
      <c r="M971">
        <v>18.420000000000002</v>
      </c>
      <c r="N971">
        <v>23.83</v>
      </c>
      <c r="O971">
        <v>63.41</v>
      </c>
      <c r="P971">
        <v>-67</v>
      </c>
      <c r="Q971">
        <v>172</v>
      </c>
      <c r="R971">
        <v>23</v>
      </c>
      <c r="S971">
        <v>63</v>
      </c>
    </row>
    <row r="972" spans="1:19" hidden="1" x14ac:dyDescent="0.25">
      <c r="A972">
        <v>22000488</v>
      </c>
      <c r="B972" t="s">
        <v>18</v>
      </c>
      <c r="C972" t="s">
        <v>19</v>
      </c>
      <c r="D972">
        <v>123</v>
      </c>
      <c r="E972">
        <v>106</v>
      </c>
      <c r="F972">
        <v>17</v>
      </c>
      <c r="G972">
        <v>4</v>
      </c>
      <c r="H972" s="1">
        <v>3.3796296296296296E-3</v>
      </c>
      <c r="I972">
        <v>2020</v>
      </c>
      <c r="J972" t="s">
        <v>83</v>
      </c>
      <c r="K972" s="2" t="str">
        <f>HYPERLINK("https://www.nba.com/stats/events?CFID=&amp;CFPARAMS=&amp;GameEventID=548&amp;GameID=0022000488&amp;Season=2020-21&amp;flag=1&amp;title=Leonard%2018'%20Jump%20Shot%20(29%20PTS)", "18' Jump Shot (29 PTS)")</f>
        <v>18' Jump Shot (29 PTS)</v>
      </c>
      <c r="L972" s="2" t="str">
        <f>HYPERLINK("https://www.nba.com/game/...-vs-...-0022000488/play-by-play?watchFullGame=true", "LAC vs WAS - Q4 04:52.00")</f>
        <v>LAC vs WAS - Q4 04:52.00</v>
      </c>
      <c r="M972">
        <v>18.63</v>
      </c>
      <c r="N972">
        <v>23.6</v>
      </c>
      <c r="O972">
        <v>65.510000000000005</v>
      </c>
      <c r="P972">
        <v>-78</v>
      </c>
      <c r="Q972">
        <v>169</v>
      </c>
      <c r="R972">
        <v>23</v>
      </c>
      <c r="S972">
        <v>65</v>
      </c>
    </row>
    <row r="973" spans="1:19" hidden="1" x14ac:dyDescent="0.25">
      <c r="A973">
        <v>22400943</v>
      </c>
      <c r="B973" t="s">
        <v>26</v>
      </c>
      <c r="C973" t="s">
        <v>19</v>
      </c>
      <c r="D973">
        <v>69</v>
      </c>
      <c r="E973">
        <v>73</v>
      </c>
      <c r="F973">
        <v>4</v>
      </c>
      <c r="G973">
        <v>3</v>
      </c>
      <c r="H973" s="1">
        <v>4.4212962962962964E-3</v>
      </c>
      <c r="I973">
        <v>2024</v>
      </c>
      <c r="J973" t="s">
        <v>83</v>
      </c>
      <c r="K973" s="2" t="str">
        <f>HYPERLINK("https://www.nba.com/stats/events?CFID=&amp;CFPARAMS=&amp;GameEventID=372&amp;GameID=0022400943&amp;Season=2024-25&amp;flag=1&amp;title=Leonard%2026'%203PT%20%20(20%20PTS)%20(I.%20Zubac%205%20AST)", "26' 3PT  (20 PTS) (I. Zubac 5 AST)")</f>
        <v>26' 3PT  (20 PTS) (I. Zubac 5 AST)</v>
      </c>
      <c r="L973" s="2" t="str">
        <f>HYPERLINK("https://www.nba.com/game/...-vs-...-0022400943/play-by-play?watchFullGame=true", "LAC vs NOP - Q3 06:22.00")</f>
        <v>LAC vs NOP - Q3 06:22.00</v>
      </c>
      <c r="M973">
        <v>26.05</v>
      </c>
      <c r="N973">
        <v>24.26</v>
      </c>
      <c r="O973">
        <v>88.48</v>
      </c>
      <c r="P973">
        <v>-192</v>
      </c>
      <c r="Q973">
        <v>176</v>
      </c>
      <c r="R973">
        <v>24</v>
      </c>
      <c r="S973">
        <v>88</v>
      </c>
    </row>
    <row r="974" spans="1:19" hidden="1" x14ac:dyDescent="0.25">
      <c r="A974">
        <v>22000989</v>
      </c>
      <c r="B974" t="s">
        <v>26</v>
      </c>
      <c r="C974" t="s">
        <v>19</v>
      </c>
      <c r="D974">
        <v>71</v>
      </c>
      <c r="E974">
        <v>71</v>
      </c>
      <c r="F974">
        <v>0</v>
      </c>
      <c r="G974">
        <v>3</v>
      </c>
      <c r="H974" s="1">
        <v>2.4305555555555556E-3</v>
      </c>
      <c r="I974">
        <v>2020</v>
      </c>
      <c r="J974" t="s">
        <v>83</v>
      </c>
      <c r="K974" s="2" t="str">
        <f>HYPERLINK("https://www.nba.com/stats/events?CFID=&amp;CFPARAMS=&amp;GameEventID=365&amp;GameID=0022000989&amp;Season=2020-21&amp;flag=1&amp;title=Leonard%2025'%203PT%20%20(11%20PTS)%20(P.%20Beverley%203%20AST)", "25' 3PT  (11 PTS) (P. Beverley 3 AST)")</f>
        <v>25' 3PT  (11 PTS) (P. Beverley 3 AST)</v>
      </c>
      <c r="L974" s="2" t="str">
        <f>HYPERLINK("https://www.nba.com/game/...-vs-...-0022000989/play-by-play?watchFullGame=true", "LAC vs TOR - Q3 03:30.00")</f>
        <v>LAC vs TOR - Q3 03:30.00</v>
      </c>
      <c r="M974">
        <v>25.39</v>
      </c>
      <c r="N974">
        <v>24.92</v>
      </c>
      <c r="O974">
        <v>14.53</v>
      </c>
      <c r="P974">
        <v>177</v>
      </c>
      <c r="Q974">
        <v>182</v>
      </c>
      <c r="R974">
        <v>24</v>
      </c>
      <c r="S974">
        <v>14</v>
      </c>
    </row>
    <row r="975" spans="1:19" hidden="1" x14ac:dyDescent="0.25">
      <c r="A975">
        <v>22200476</v>
      </c>
      <c r="B975" t="s">
        <v>18</v>
      </c>
      <c r="C975" t="s">
        <v>19</v>
      </c>
      <c r="D975">
        <v>89</v>
      </c>
      <c r="E975">
        <v>62</v>
      </c>
      <c r="F975">
        <v>27</v>
      </c>
      <c r="G975">
        <v>3</v>
      </c>
      <c r="H975" s="1">
        <v>2.9282407407407408E-3</v>
      </c>
      <c r="I975">
        <v>2022</v>
      </c>
      <c r="J975" t="s">
        <v>83</v>
      </c>
      <c r="K975" s="2" t="str">
        <f>HYPERLINK("https://www.nba.com/stats/events?CFID=&amp;CFPARAMS=&amp;GameEventID=460&amp;GameID=0022200476&amp;Season=2022-23&amp;flag=1&amp;title=Leonard%2019'%20Jump%20Shot%20(14%20PTS)%20(P.%20George%208%20AST)", "19' Jump Shot (14 PTS) (P. George 8 AST)")</f>
        <v>19' Jump Shot (14 PTS) (P. George 8 AST)</v>
      </c>
      <c r="L975" s="2" t="str">
        <f>HYPERLINK("https://www.nba.com/game/...-vs-...-0022200476/play-by-play?watchFullGame=true", "LAC vs CHA - Q3 04:13.00")</f>
        <v>LAC vs CHA - Q3 04:13.00</v>
      </c>
      <c r="M975">
        <v>19.97</v>
      </c>
      <c r="N975">
        <v>24.1</v>
      </c>
      <c r="O975">
        <v>30.39</v>
      </c>
      <c r="P975">
        <v>98</v>
      </c>
      <c r="Q975">
        <v>174</v>
      </c>
      <c r="R975">
        <v>24</v>
      </c>
      <c r="S975">
        <v>30</v>
      </c>
    </row>
    <row r="976" spans="1:19" hidden="1" x14ac:dyDescent="0.25">
      <c r="A976">
        <v>22200766</v>
      </c>
      <c r="B976" t="s">
        <v>18</v>
      </c>
      <c r="C976" t="s">
        <v>19</v>
      </c>
      <c r="D976">
        <v>40</v>
      </c>
      <c r="E976">
        <v>48</v>
      </c>
      <c r="F976">
        <v>8</v>
      </c>
      <c r="G976">
        <v>2</v>
      </c>
      <c r="H976" s="1">
        <v>3.414351851851852E-3</v>
      </c>
      <c r="I976">
        <v>2022</v>
      </c>
      <c r="J976" t="s">
        <v>83</v>
      </c>
      <c r="K976" s="2" t="str">
        <f>HYPERLINK("https://www.nba.com/stats/events?CFID=&amp;CFPARAMS=&amp;GameEventID=233&amp;GameID=0022200766&amp;Season=2022-23&amp;flag=1&amp;title=Leonard%2018'%20pullup%20Jump%20Shot%20(9%20PTS)", "18' pullup Jump Shot (9 PTS)")</f>
        <v>18' pullup Jump Shot (9 PTS)</v>
      </c>
      <c r="L976" s="2" t="str">
        <f>HYPERLINK("https://www.nba.com/game/...-vs-...-0022200766/play-by-play?watchFullGame=true", "LAC vs CHI - Q2 04:55.00")</f>
        <v>LAC vs CHI - Q2 04:55.00</v>
      </c>
      <c r="M976">
        <v>18.72</v>
      </c>
      <c r="N976">
        <v>24.66</v>
      </c>
      <c r="O976">
        <v>39.22</v>
      </c>
      <c r="P976">
        <v>54</v>
      </c>
      <c r="Q976">
        <v>179</v>
      </c>
      <c r="R976">
        <v>24</v>
      </c>
      <c r="S976">
        <v>39</v>
      </c>
    </row>
    <row r="977" spans="1:19" hidden="1" x14ac:dyDescent="0.25">
      <c r="A977">
        <v>41900155</v>
      </c>
      <c r="B977" t="s">
        <v>18</v>
      </c>
      <c r="C977" t="s">
        <v>84</v>
      </c>
      <c r="D977">
        <v>25</v>
      </c>
      <c r="E977">
        <v>16</v>
      </c>
      <c r="F977">
        <v>9</v>
      </c>
      <c r="G977">
        <v>1</v>
      </c>
      <c r="H977" s="1">
        <v>3.7268518518518519E-3</v>
      </c>
      <c r="I977" t="s">
        <v>86</v>
      </c>
      <c r="J977" t="s">
        <v>83</v>
      </c>
      <c r="K977" s="2" t="str">
        <f>HYPERLINK("https://www.nba.com/stats/events?CFID=&amp;CFPARAMS=&amp;GameEventID=67&amp;GameID=0041900155&amp;Season=2019-20&amp;flag=1&amp;title=Leonard%2019'%20jumpshot%20(8%20PTS)", "19' jumpshot (8 PTS)")</f>
        <v>19' jumpshot (8 PTS)</v>
      </c>
      <c r="L977" s="2" t="str">
        <f>HYPERLINK("https://www.nba.com/game/...-vs-...-0041900155/play-by-play?watchFullGame=true", "LAC vs DAL - Q1 05:22.00")</f>
        <v>LAC vs DAL - Q1 05:22.00</v>
      </c>
      <c r="M977">
        <v>18.93</v>
      </c>
      <c r="N977">
        <v>24.79</v>
      </c>
      <c r="O977">
        <v>42.96</v>
      </c>
      <c r="P977">
        <v>35</v>
      </c>
      <c r="Q977">
        <v>180</v>
      </c>
      <c r="R977">
        <v>24</v>
      </c>
      <c r="S977">
        <v>42</v>
      </c>
    </row>
    <row r="978" spans="1:19" hidden="1" x14ac:dyDescent="0.25">
      <c r="A978">
        <v>22300956</v>
      </c>
      <c r="B978" t="s">
        <v>18</v>
      </c>
      <c r="C978" t="s">
        <v>19</v>
      </c>
      <c r="D978">
        <v>9</v>
      </c>
      <c r="E978">
        <v>5</v>
      </c>
      <c r="F978">
        <v>4</v>
      </c>
      <c r="G978">
        <v>1</v>
      </c>
      <c r="H978" s="1">
        <v>5.4976851851851853E-3</v>
      </c>
      <c r="I978">
        <v>2023</v>
      </c>
      <c r="J978" t="s">
        <v>83</v>
      </c>
      <c r="K978" s="2" t="str">
        <f>HYPERLINK("https://www.nba.com/stats/events?CFID=&amp;CFPARAMS=&amp;GameEventID=39&amp;GameID=0022300956&amp;Season=2023-24&amp;flag=1&amp;title=Leonard%2017'%20Jump%20Shot%20(2%20PTS)%20(P.%20George%201%20AST)", "17' Jump Shot (2 PTS) (P. George 1 AST)")</f>
        <v>17' Jump Shot (2 PTS) (P. George 1 AST)</v>
      </c>
      <c r="L978" s="2" t="str">
        <f>HYPERLINK("https://www.nba.com/game/...-vs-...-0022300956/play-by-play?watchFullGame=true", "LAC vs CHI - Q1 07:55.00")</f>
        <v>LAC vs CHI - Q1 07:55.00</v>
      </c>
      <c r="M978">
        <v>17.8</v>
      </c>
      <c r="N978">
        <v>24.52</v>
      </c>
      <c r="O978">
        <v>50.49</v>
      </c>
      <c r="P978">
        <v>-2</v>
      </c>
      <c r="Q978">
        <v>178</v>
      </c>
      <c r="R978">
        <v>24</v>
      </c>
      <c r="S978">
        <v>50</v>
      </c>
    </row>
    <row r="979" spans="1:19" hidden="1" x14ac:dyDescent="0.25">
      <c r="A979">
        <v>22300676</v>
      </c>
      <c r="B979" t="s">
        <v>18</v>
      </c>
      <c r="C979" t="s">
        <v>19</v>
      </c>
      <c r="D979">
        <v>91</v>
      </c>
      <c r="E979">
        <v>70</v>
      </c>
      <c r="F979">
        <v>21</v>
      </c>
      <c r="G979">
        <v>3</v>
      </c>
      <c r="H979" s="1">
        <v>2.4652777777777776E-3</v>
      </c>
      <c r="I979">
        <v>2023</v>
      </c>
      <c r="J979" t="s">
        <v>83</v>
      </c>
      <c r="K979" s="2" t="str">
        <f>HYPERLINK("https://www.nba.com/stats/events?CFID=&amp;CFPARAMS=&amp;GameEventID=424&amp;GameID=0022300676&amp;Season=2023-24&amp;flag=1&amp;title=Leonard%2017'%20step%20back%20Jump%20Shot%20(27%20PTS)", "17' step back Jump Shot (27 PTS)")</f>
        <v>17' step back Jump Shot (27 PTS)</v>
      </c>
      <c r="L979" s="2" t="str">
        <f>HYPERLINK("https://www.nba.com/game/...-vs-...-0022300676/play-by-play?watchFullGame=true", "LAC vs WAS - Q3 03:33.00")</f>
        <v>LAC vs WAS - Q3 03:33.00</v>
      </c>
      <c r="M979">
        <v>17.7</v>
      </c>
      <c r="N979">
        <v>24.39</v>
      </c>
      <c r="O979">
        <v>51.47</v>
      </c>
      <c r="P979">
        <v>-7</v>
      </c>
      <c r="Q979">
        <v>177</v>
      </c>
      <c r="R979">
        <v>24</v>
      </c>
      <c r="S979">
        <v>51</v>
      </c>
    </row>
    <row r="980" spans="1:19" hidden="1" x14ac:dyDescent="0.25">
      <c r="A980">
        <v>22300637</v>
      </c>
      <c r="B980" t="s">
        <v>18</v>
      </c>
      <c r="C980" t="s">
        <v>19</v>
      </c>
      <c r="D980">
        <v>81</v>
      </c>
      <c r="E980">
        <v>63</v>
      </c>
      <c r="F980">
        <v>18</v>
      </c>
      <c r="G980">
        <v>3</v>
      </c>
      <c r="H980" s="1">
        <v>4.7106481481481478E-3</v>
      </c>
      <c r="I980">
        <v>2023</v>
      </c>
      <c r="J980" t="s">
        <v>83</v>
      </c>
      <c r="K980" s="2" t="str">
        <f>HYPERLINK("https://www.nba.com/stats/events?CFID=&amp;CFPARAMS=&amp;GameEventID=388&amp;GameID=0022300637&amp;Season=2023-24&amp;flag=1&amp;title=Leonard%2019'%20Jump%20Shot%20(11%20PTS)", "19' Jump Shot (11 PTS)")</f>
        <v>19' Jump Shot (11 PTS)</v>
      </c>
      <c r="L980" s="2" t="str">
        <f>HYPERLINK("https://www.nba.com/game/...-vs-...-0022300637/play-by-play?watchFullGame=true", "LAC vs TOR - Q3 06:47.00")</f>
        <v>LAC vs TOR - Q3 06:47.00</v>
      </c>
      <c r="M980">
        <v>19.600000000000001</v>
      </c>
      <c r="N980">
        <v>24.52</v>
      </c>
      <c r="O980">
        <v>66.42</v>
      </c>
      <c r="P980">
        <v>-82</v>
      </c>
      <c r="Q980">
        <v>178</v>
      </c>
      <c r="R980">
        <v>24</v>
      </c>
      <c r="S980">
        <v>66</v>
      </c>
    </row>
    <row r="981" spans="1:19" hidden="1" x14ac:dyDescent="0.25">
      <c r="A981">
        <v>22200745</v>
      </c>
      <c r="B981" t="s">
        <v>18</v>
      </c>
      <c r="C981" t="s">
        <v>19</v>
      </c>
      <c r="D981">
        <v>65</v>
      </c>
      <c r="E981">
        <v>62</v>
      </c>
      <c r="F981">
        <v>3</v>
      </c>
      <c r="G981">
        <v>3</v>
      </c>
      <c r="H981" s="1">
        <v>6.1574074074074074E-3</v>
      </c>
      <c r="I981">
        <v>2022</v>
      </c>
      <c r="J981" t="s">
        <v>83</v>
      </c>
      <c r="K981" s="2" t="str">
        <f>HYPERLINK("https://www.nba.com/stats/events?CFID=&amp;CFPARAMS=&amp;GameEventID=323&amp;GameID=0022200745&amp;Season=2022-23&amp;flag=1&amp;title=Leonard%2020'%20pullup%20Jump%20Shot%20(14%20PTS)%20(P.%20George%205%20AST)", "20' pullup Jump Shot (14 PTS) (P. George 5 AST)")</f>
        <v>20' pullup Jump Shot (14 PTS) (P. George 5 AST)</v>
      </c>
      <c r="L981" s="2" t="str">
        <f>HYPERLINK("https://www.nba.com/game/...-vs-...-0022200745/play-by-play?watchFullGame=true", "LAC vs ATL - Q3 08:52.00")</f>
        <v>LAC vs ATL - Q3 08:52.00</v>
      </c>
      <c r="M981">
        <v>20.100000000000001</v>
      </c>
      <c r="N981">
        <v>24.39</v>
      </c>
      <c r="O981">
        <v>69.12</v>
      </c>
      <c r="P981">
        <v>-96</v>
      </c>
      <c r="Q981">
        <v>177</v>
      </c>
      <c r="R981">
        <v>24</v>
      </c>
      <c r="S981">
        <v>69</v>
      </c>
    </row>
    <row r="982" spans="1:19" hidden="1" x14ac:dyDescent="0.25">
      <c r="A982">
        <v>22200668</v>
      </c>
      <c r="B982" t="s">
        <v>18</v>
      </c>
      <c r="C982" t="s">
        <v>19</v>
      </c>
      <c r="D982">
        <v>67</v>
      </c>
      <c r="E982">
        <v>70</v>
      </c>
      <c r="F982">
        <v>3</v>
      </c>
      <c r="G982">
        <v>3</v>
      </c>
      <c r="H982" s="1">
        <v>5.8564814814814816E-3</v>
      </c>
      <c r="I982">
        <v>2022</v>
      </c>
      <c r="J982" t="s">
        <v>83</v>
      </c>
      <c r="K982" s="2" t="str">
        <f>HYPERLINK("https://www.nba.com/stats/events?CFID=&amp;CFPARAMS=&amp;GameEventID=353&amp;GameID=0022200668&amp;Season=2022-23&amp;flag=1&amp;title=Leonard%2020'%20pullup%20Jump%20Shot%20(21%20PTS)%20(T.%20Mann%203%20AST)", "20' pullup Jump Shot (21 PTS) (T. Mann 3 AST)")</f>
        <v>20' pullup Jump Shot (21 PTS) (T. Mann 3 AST)</v>
      </c>
      <c r="L982" s="2" t="str">
        <f>HYPERLINK("https://www.nba.com/game/...-vs-...-0022200668/play-by-play?watchFullGame=true", "LAC vs PHI - Q3 08:26.00")</f>
        <v>LAC vs PHI - Q3 08:26.00</v>
      </c>
      <c r="M982">
        <v>20.43</v>
      </c>
      <c r="N982">
        <v>24.36</v>
      </c>
      <c r="O982">
        <v>70.59</v>
      </c>
      <c r="P982">
        <v>-103</v>
      </c>
      <c r="Q982">
        <v>176</v>
      </c>
      <c r="R982">
        <v>24</v>
      </c>
      <c r="S982">
        <v>70</v>
      </c>
    </row>
    <row r="983" spans="1:19" hidden="1" x14ac:dyDescent="0.25">
      <c r="A983">
        <v>22200016</v>
      </c>
      <c r="B983" t="s">
        <v>18</v>
      </c>
      <c r="C983" t="s">
        <v>19</v>
      </c>
      <c r="D983">
        <v>101</v>
      </c>
      <c r="E983">
        <v>95</v>
      </c>
      <c r="F983">
        <v>6</v>
      </c>
      <c r="G983">
        <v>4</v>
      </c>
      <c r="H983" s="1">
        <v>6.0532407407407399E-4</v>
      </c>
      <c r="I983">
        <v>2022</v>
      </c>
      <c r="J983" t="s">
        <v>83</v>
      </c>
      <c r="K983" s="2" t="str">
        <f>HYPERLINK("https://www.nba.com/stats/events?CFID=&amp;CFPARAMS=&amp;GameEventID=693&amp;GameID=0022200016&amp;Season=2022-23&amp;flag=1&amp;title=Leonard%2020'%20Jump%20Shot%20(14%20PTS)%20(P.%20George%204%20AST)", "20' Jump Shot (14 PTS) (P. George 4 AST)")</f>
        <v>20' Jump Shot (14 PTS) (P. George 4 AST)</v>
      </c>
      <c r="L983" s="2" t="str">
        <f>HYPERLINK("https://www.nba.com/game/...-vs-...-0022200016/play-by-play?watchFullGame=true", "LAC vs LAL - Q4 00:52.30")</f>
        <v>LAC vs LAL - Q4 00:52.30</v>
      </c>
      <c r="M983">
        <v>20.6</v>
      </c>
      <c r="N983">
        <v>24.1</v>
      </c>
      <c r="O983">
        <v>72.06</v>
      </c>
      <c r="P983">
        <v>-110</v>
      </c>
      <c r="Q983">
        <v>174</v>
      </c>
      <c r="R983">
        <v>24</v>
      </c>
      <c r="S983">
        <v>72</v>
      </c>
    </row>
    <row r="984" spans="1:19" hidden="1" x14ac:dyDescent="0.25">
      <c r="A984">
        <v>22300473</v>
      </c>
      <c r="B984" t="s">
        <v>26</v>
      </c>
      <c r="C984" t="s">
        <v>19</v>
      </c>
      <c r="D984">
        <v>86</v>
      </c>
      <c r="E984">
        <v>66</v>
      </c>
      <c r="F984">
        <v>20</v>
      </c>
      <c r="G984">
        <v>3</v>
      </c>
      <c r="H984" s="1">
        <v>4.9884259259259257E-3</v>
      </c>
      <c r="I984">
        <v>2023</v>
      </c>
      <c r="J984" t="s">
        <v>83</v>
      </c>
      <c r="K984" s="2" t="str">
        <f>HYPERLINK("https://www.nba.com/stats/events?CFID=&amp;CFPARAMS=&amp;GameEventID=383&amp;GameID=0022300473&amp;Season=2023-24&amp;flag=1&amp;title=Leonard%2026'%203PT%20%20(18%20PTS)%20(J.%20Harden%208%20AST)", "26' 3PT  (18 PTS) (J. Harden 8 AST)")</f>
        <v>26' 3PT  (18 PTS) (J. Harden 8 AST)</v>
      </c>
      <c r="L984" s="2" t="str">
        <f>HYPERLINK("https://www.nba.com/game/...-vs-...-0022300473/play-by-play?watchFullGame=true", "LAC vs PHX - Q3 07:11.00")</f>
        <v>LAC vs PHX - Q3 07:11.00</v>
      </c>
      <c r="M984">
        <v>26.11</v>
      </c>
      <c r="N984">
        <v>25.05</v>
      </c>
      <c r="O984">
        <v>87.25</v>
      </c>
      <c r="P984">
        <v>-186</v>
      </c>
      <c r="Q984">
        <v>183</v>
      </c>
      <c r="R984">
        <v>25</v>
      </c>
      <c r="S984">
        <v>87</v>
      </c>
    </row>
    <row r="985" spans="1:19" hidden="1" x14ac:dyDescent="0.25">
      <c r="A985">
        <v>21900157</v>
      </c>
      <c r="B985" t="s">
        <v>26</v>
      </c>
      <c r="C985" t="s">
        <v>84</v>
      </c>
      <c r="D985">
        <v>83</v>
      </c>
      <c r="E985">
        <v>80</v>
      </c>
      <c r="F985">
        <v>3</v>
      </c>
      <c r="G985">
        <v>4</v>
      </c>
      <c r="H985" s="1">
        <v>4.7685185185185183E-3</v>
      </c>
      <c r="I985">
        <v>2019</v>
      </c>
      <c r="J985" t="s">
        <v>83</v>
      </c>
      <c r="K985" s="2" t="str">
        <f>HYPERLINK("https://www.nba.com/stats/events?CFID=&amp;CFPARAMS=&amp;GameEventID=580&amp;GameID=0021900157&amp;Season=2019-20&amp;flag=1&amp;title=Leonard%2026'%203PT%20%20(23%20PTS)", "26' 3PT  (23 PTS)")</f>
        <v>26' 3PT  (23 PTS)</v>
      </c>
      <c r="L985" s="2" t="str">
        <f>HYPERLINK("https://www.nba.com/game/...-vs-...-0021900157/play-by-play?watchFullGame=true", "LAC vs HOU - Q4 06:52.00")</f>
        <v>LAC vs HOU - Q4 06:52.00</v>
      </c>
      <c r="M985">
        <v>26.03</v>
      </c>
      <c r="N985">
        <v>25.15</v>
      </c>
      <c r="O985">
        <v>85.72</v>
      </c>
      <c r="P985">
        <v>-179</v>
      </c>
      <c r="Q985">
        <v>184</v>
      </c>
      <c r="R985">
        <v>25</v>
      </c>
      <c r="S985">
        <v>85</v>
      </c>
    </row>
    <row r="986" spans="1:19" hidden="1" x14ac:dyDescent="0.25">
      <c r="A986">
        <v>22201196</v>
      </c>
      <c r="B986" t="s">
        <v>26</v>
      </c>
      <c r="C986" t="s">
        <v>19</v>
      </c>
      <c r="D986">
        <v>76</v>
      </c>
      <c r="E986">
        <v>52</v>
      </c>
      <c r="F986">
        <v>24</v>
      </c>
      <c r="G986">
        <v>3</v>
      </c>
      <c r="H986" s="1">
        <v>7.8472222222222224E-3</v>
      </c>
      <c r="I986">
        <v>2022</v>
      </c>
      <c r="J986" t="s">
        <v>83</v>
      </c>
      <c r="K986" s="2" t="str">
        <f>HYPERLINK("https://www.nba.com/stats/events?CFID=&amp;CFPARAMS=&amp;GameEventID=314&amp;GameID=0022201196&amp;Season=2022-23&amp;flag=1&amp;title=Leonard%2025'%203PT%20%20(20%20PTS)", "25' 3PT  (20 PTS)")</f>
        <v>25' 3PT  (20 PTS)</v>
      </c>
      <c r="L986" s="2" t="str">
        <f>HYPERLINK("https://www.nba.com/game/...-vs-...-0022201196/play-by-play?watchFullGame=true", "LAC vs LAL - Q3 11:18.00")</f>
        <v>LAC vs LAL - Q3 11:18.00</v>
      </c>
      <c r="M986">
        <v>25.78</v>
      </c>
      <c r="N986">
        <v>25.94</v>
      </c>
      <c r="O986">
        <v>84.56</v>
      </c>
      <c r="P986">
        <v>-173</v>
      </c>
      <c r="Q986">
        <v>191</v>
      </c>
      <c r="R986">
        <v>25</v>
      </c>
      <c r="S986">
        <v>84</v>
      </c>
    </row>
    <row r="987" spans="1:19" hidden="1" x14ac:dyDescent="0.25">
      <c r="A987">
        <v>21900603</v>
      </c>
      <c r="B987" t="s">
        <v>26</v>
      </c>
      <c r="C987" t="s">
        <v>84</v>
      </c>
      <c r="D987">
        <v>44</v>
      </c>
      <c r="E987">
        <v>38</v>
      </c>
      <c r="F987">
        <v>6</v>
      </c>
      <c r="G987">
        <v>2</v>
      </c>
      <c r="H987" s="1">
        <v>4.7569444444444447E-3</v>
      </c>
      <c r="I987">
        <v>2019</v>
      </c>
      <c r="J987" t="s">
        <v>83</v>
      </c>
      <c r="K987" s="2" t="str">
        <f>HYPERLINK("https://www.nba.com/stats/events?CFID=&amp;CFPARAMS=&amp;GameEventID=217&amp;GameID=0021900603&amp;Season=2019-20&amp;flag=1&amp;title=Leonard%2026'%203PT%20%20(17%20PTS)%20(P.%20Beverley%206%20AST)", "26' 3PT  (17 PTS) (P. Beverley 6 AST)")</f>
        <v>26' 3PT  (17 PTS) (P. Beverley 6 AST)</v>
      </c>
      <c r="L987" s="2" t="str">
        <f>HYPERLINK("https://www.nba.com/game/...-vs-...-0021900603/play-by-play?watchFullGame=true", "LAC vs CLE - Q2 06:51.00")</f>
        <v>LAC vs CLE - Q2 06:51.00</v>
      </c>
      <c r="M987">
        <v>25.56</v>
      </c>
      <c r="N987">
        <v>25.8</v>
      </c>
      <c r="O987">
        <v>17.09</v>
      </c>
      <c r="P987">
        <v>165</v>
      </c>
      <c r="Q987">
        <v>190</v>
      </c>
      <c r="R987">
        <v>25</v>
      </c>
      <c r="S987">
        <v>17</v>
      </c>
    </row>
    <row r="988" spans="1:19" hidden="1" x14ac:dyDescent="0.25">
      <c r="A988">
        <v>22000061</v>
      </c>
      <c r="B988" t="s">
        <v>26</v>
      </c>
      <c r="C988" t="s">
        <v>19</v>
      </c>
      <c r="D988">
        <v>28</v>
      </c>
      <c r="E988">
        <v>16</v>
      </c>
      <c r="F988">
        <v>12</v>
      </c>
      <c r="G988">
        <v>1</v>
      </c>
      <c r="H988" s="1">
        <v>2.9166666666666668E-3</v>
      </c>
      <c r="I988">
        <v>2020</v>
      </c>
      <c r="J988" t="s">
        <v>83</v>
      </c>
      <c r="K988" s="2" t="str">
        <f>HYPERLINK("https://www.nba.com/stats/events?CFID=&amp;CFPARAMS=&amp;GameEventID=84&amp;GameID=0022000061&amp;Season=2020-21&amp;flag=1&amp;title=Leonard%2025'%203PT%20%20(6%20PTS)%20(P.%20George%205%20AST)", "25' 3PT  (6 PTS) (P. George 5 AST)")</f>
        <v>25' 3PT  (6 PTS) (P. George 5 AST)</v>
      </c>
      <c r="L988" s="2" t="str">
        <f>HYPERLINK("https://www.nba.com/game/...-vs-...-0022000061/play-by-play?watchFullGame=true", "LAC vs POR - Q1 04:12.00")</f>
        <v>LAC vs POR - Q1 04:12.00</v>
      </c>
      <c r="M988">
        <v>25.31</v>
      </c>
      <c r="N988">
        <v>25.71</v>
      </c>
      <c r="O988">
        <v>83.65</v>
      </c>
      <c r="P988">
        <v>-168</v>
      </c>
      <c r="Q988">
        <v>189</v>
      </c>
      <c r="R988">
        <v>25</v>
      </c>
      <c r="S988">
        <v>83</v>
      </c>
    </row>
    <row r="989" spans="1:19" hidden="1" x14ac:dyDescent="0.25">
      <c r="A989">
        <v>22200745</v>
      </c>
      <c r="B989" t="s">
        <v>26</v>
      </c>
      <c r="C989" t="s">
        <v>19</v>
      </c>
      <c r="D989">
        <v>79</v>
      </c>
      <c r="E989">
        <v>70</v>
      </c>
      <c r="F989">
        <v>9</v>
      </c>
      <c r="G989">
        <v>3</v>
      </c>
      <c r="H989" s="1">
        <v>2.7546296296296294E-3</v>
      </c>
      <c r="I989">
        <v>2022</v>
      </c>
      <c r="J989" t="s">
        <v>83</v>
      </c>
      <c r="K989" s="2" t="str">
        <f>HYPERLINK("https://www.nba.com/stats/events?CFID=&amp;CFPARAMS=&amp;GameEventID=374&amp;GameID=0022200745&amp;Season=2022-23&amp;flag=1&amp;title=Leonard%2025'%203PT%20pullup%20(22%20PTS)", "25' 3PT pullup (22 PTS)")</f>
        <v>25' 3PT pullup (22 PTS)</v>
      </c>
      <c r="L989" s="2" t="str">
        <f>HYPERLINK("https://www.nba.com/game/...-vs-...-0022200745/play-by-play?watchFullGame=true", "LAC vs ATL - Q3 03:58.00")</f>
        <v>LAC vs ATL - Q3 03:58.00</v>
      </c>
      <c r="M989">
        <v>25.26</v>
      </c>
      <c r="N989">
        <v>25.18</v>
      </c>
      <c r="O989">
        <v>15.44</v>
      </c>
      <c r="P989">
        <v>173</v>
      </c>
      <c r="Q989">
        <v>184</v>
      </c>
      <c r="R989">
        <v>25</v>
      </c>
      <c r="S989">
        <v>15</v>
      </c>
    </row>
    <row r="990" spans="1:19" hidden="1" x14ac:dyDescent="0.25">
      <c r="A990">
        <v>22300637</v>
      </c>
      <c r="B990" t="s">
        <v>26</v>
      </c>
      <c r="C990" t="s">
        <v>19</v>
      </c>
      <c r="D990">
        <v>87</v>
      </c>
      <c r="E990">
        <v>68</v>
      </c>
      <c r="F990">
        <v>19</v>
      </c>
      <c r="G990">
        <v>3</v>
      </c>
      <c r="H990" s="1">
        <v>3.2986111111111111E-3</v>
      </c>
      <c r="I990">
        <v>2023</v>
      </c>
      <c r="J990" t="s">
        <v>83</v>
      </c>
      <c r="K990" s="2" t="str">
        <f>HYPERLINK("https://www.nba.com/stats/events?CFID=&amp;CFPARAMS=&amp;GameEventID=412&amp;GameID=0022300637&amp;Season=2023-24&amp;flag=1&amp;title=Leonard%2025'%203PT%20%20(16%20PTS)%20(J.%20Harden%209%20AST)", "25' 3PT  (16 PTS) (J. Harden 9 AST)")</f>
        <v>25' 3PT  (16 PTS) (J. Harden 9 AST)</v>
      </c>
      <c r="L990" s="2" t="str">
        <f>HYPERLINK("https://www.nba.com/game/...-vs-...-0022300637/play-by-play?watchFullGame=true", "LAC vs TOR - Q3 04:45.00")</f>
        <v>LAC vs TOR - Q3 04:45.00</v>
      </c>
      <c r="M990">
        <v>25.23</v>
      </c>
      <c r="N990">
        <v>25.97</v>
      </c>
      <c r="O990">
        <v>82.84</v>
      </c>
      <c r="P990">
        <v>-164</v>
      </c>
      <c r="Q990">
        <v>192</v>
      </c>
      <c r="R990">
        <v>25</v>
      </c>
      <c r="S990">
        <v>82</v>
      </c>
    </row>
    <row r="991" spans="1:19" hidden="1" x14ac:dyDescent="0.25">
      <c r="A991">
        <v>22200918</v>
      </c>
      <c r="B991" t="s">
        <v>18</v>
      </c>
      <c r="C991" t="s">
        <v>19</v>
      </c>
      <c r="D991">
        <v>70</v>
      </c>
      <c r="E991">
        <v>83</v>
      </c>
      <c r="F991">
        <v>13</v>
      </c>
      <c r="G991">
        <v>3</v>
      </c>
      <c r="H991" s="1">
        <v>4.340277777777778E-3</v>
      </c>
      <c r="I991">
        <v>2022</v>
      </c>
      <c r="J991" t="s">
        <v>83</v>
      </c>
      <c r="K991" s="2" t="str">
        <f>HYPERLINK("https://www.nba.com/stats/events?CFID=&amp;CFPARAMS=&amp;GameEventID=383&amp;GameID=0022200918&amp;Season=2022-23&amp;flag=1&amp;title=Leonard%2022'%20pullup%20Jump%20Shot%20(18%20PTS)%20(M.%20Morris%20Sr.%202%20AST)", "22' pullup Jump Shot (18 PTS) (M. Morris Sr. 2 AST)")</f>
        <v>22' pullup Jump Shot (18 PTS) (M. Morris Sr. 2 AST)</v>
      </c>
      <c r="L991" s="2" t="str">
        <f>HYPERLINK("https://www.nba.com/game/...-vs-...-0022200918/play-by-play?watchFullGame=true", "LAC vs DEN - Q3 06:15.00")</f>
        <v>LAC vs DEN - Q3 06:15.00</v>
      </c>
      <c r="M991">
        <v>22.84</v>
      </c>
      <c r="N991">
        <v>25.49</v>
      </c>
      <c r="O991">
        <v>23.8</v>
      </c>
      <c r="P991">
        <v>131</v>
      </c>
      <c r="Q991">
        <v>187</v>
      </c>
      <c r="R991">
        <v>25</v>
      </c>
      <c r="S991">
        <v>23</v>
      </c>
    </row>
    <row r="992" spans="1:19" hidden="1" x14ac:dyDescent="0.25">
      <c r="A992">
        <v>22200918</v>
      </c>
      <c r="B992" t="s">
        <v>18</v>
      </c>
      <c r="C992" t="s">
        <v>19</v>
      </c>
      <c r="D992">
        <v>98</v>
      </c>
      <c r="E992">
        <v>103</v>
      </c>
      <c r="F992">
        <v>5</v>
      </c>
      <c r="G992">
        <v>4</v>
      </c>
      <c r="H992" s="1">
        <v>5.5092592592592589E-3</v>
      </c>
      <c r="I992">
        <v>2022</v>
      </c>
      <c r="J992" t="s">
        <v>83</v>
      </c>
      <c r="K992" s="2" t="str">
        <f>HYPERLINK("https://www.nba.com/stats/events?CFID=&amp;CFPARAMS=&amp;GameEventID=551&amp;GameID=0022200918&amp;Season=2022-23&amp;flag=1&amp;title=Leonard%2022'%20Jump%20Shot%20(23%20PTS)%20(P.%20George%204%20AST)", "22' Jump Shot (23 PTS) (P. George 4 AST)")</f>
        <v>22' Jump Shot (23 PTS) (P. George 4 AST)</v>
      </c>
      <c r="L992" s="2" t="str">
        <f>HYPERLINK("https://www.nba.com/game/...-vs-...-0022200918/play-by-play?watchFullGame=true", "LAC vs DEN - Q4 07:56.00")</f>
        <v>LAC vs DEN - Q4 07:56.00</v>
      </c>
      <c r="M992">
        <v>22.55</v>
      </c>
      <c r="N992">
        <v>25.97</v>
      </c>
      <c r="O992">
        <v>26.23</v>
      </c>
      <c r="P992">
        <v>119</v>
      </c>
      <c r="Q992">
        <v>192</v>
      </c>
      <c r="R992">
        <v>25</v>
      </c>
      <c r="S992">
        <v>26</v>
      </c>
    </row>
    <row r="993" spans="1:19" hidden="1" x14ac:dyDescent="0.25">
      <c r="A993">
        <v>22300897</v>
      </c>
      <c r="B993" t="s">
        <v>18</v>
      </c>
      <c r="C993" t="s">
        <v>19</v>
      </c>
      <c r="D993">
        <v>108</v>
      </c>
      <c r="E993">
        <v>108</v>
      </c>
      <c r="F993">
        <v>0</v>
      </c>
      <c r="G993">
        <v>4</v>
      </c>
      <c r="H993" s="1">
        <v>2.5925925925925925E-3</v>
      </c>
      <c r="I993">
        <v>2023</v>
      </c>
      <c r="J993" t="s">
        <v>83</v>
      </c>
      <c r="K993" s="2" t="str">
        <f>HYPERLINK("https://www.nba.com/stats/events?CFID=&amp;CFPARAMS=&amp;GameEventID=545&amp;GameID=0022300897&amp;Season=2023-24&amp;flag=1&amp;title=Leonard%2019'%20pullup%20Jump%20Shot%20(25%20PTS)", "19' pullup Jump Shot (25 PTS)")</f>
        <v>19' pullup Jump Shot (25 PTS)</v>
      </c>
      <c r="L993" s="2" t="str">
        <f>HYPERLINK("https://www.nba.com/game/...-vs-...-0022300897/play-by-play?watchFullGame=true", "LAC vs HOU - Q4 03:44.00")</f>
        <v>LAC vs HOU - Q4 03:44.00</v>
      </c>
      <c r="M993">
        <v>19.829999999999998</v>
      </c>
      <c r="N993">
        <v>25.18</v>
      </c>
      <c r="O993">
        <v>35.29</v>
      </c>
      <c r="P993">
        <v>74</v>
      </c>
      <c r="Q993">
        <v>184</v>
      </c>
      <c r="R993">
        <v>25</v>
      </c>
      <c r="S993">
        <v>35</v>
      </c>
    </row>
    <row r="994" spans="1:19" hidden="1" x14ac:dyDescent="0.25">
      <c r="A994">
        <v>22200735</v>
      </c>
      <c r="B994" t="s">
        <v>18</v>
      </c>
      <c r="C994" t="s">
        <v>19</v>
      </c>
      <c r="D994">
        <v>102</v>
      </c>
      <c r="E994">
        <v>81</v>
      </c>
      <c r="F994">
        <v>21</v>
      </c>
      <c r="G994">
        <v>3</v>
      </c>
      <c r="H994" s="1">
        <v>6.9444444444444447E-4</v>
      </c>
      <c r="I994">
        <v>2022</v>
      </c>
      <c r="J994" t="s">
        <v>83</v>
      </c>
      <c r="K994" s="2" t="str">
        <f>HYPERLINK("https://www.nba.com/stats/events?CFID=&amp;CFPARAMS=&amp;GameEventID=467&amp;GameID=0022200735&amp;Season=2022-23&amp;flag=1&amp;title=Leonard%2019'%20fadeaway%20Jump%20Shot%20(27%20PTS)", "19' fadeaway Jump Shot (27 PTS)")</f>
        <v>19' fadeaway Jump Shot (27 PTS)</v>
      </c>
      <c r="L994" s="2" t="str">
        <f>HYPERLINK("https://www.nba.com/game/...-vs-...-0022200735/play-by-play?watchFullGame=true", "LAC vs SAS - Q3 01:00.00")</f>
        <v>LAC vs SAS - Q3 01:00.00</v>
      </c>
      <c r="M994">
        <v>19.14</v>
      </c>
      <c r="N994">
        <v>25.54</v>
      </c>
      <c r="O994">
        <v>42.4</v>
      </c>
      <c r="P994">
        <v>38</v>
      </c>
      <c r="Q994">
        <v>188</v>
      </c>
      <c r="R994">
        <v>25</v>
      </c>
      <c r="S994">
        <v>42</v>
      </c>
    </row>
    <row r="995" spans="1:19" hidden="1" x14ac:dyDescent="0.25">
      <c r="A995">
        <v>22301017</v>
      </c>
      <c r="B995" t="s">
        <v>18</v>
      </c>
      <c r="C995" t="s">
        <v>19</v>
      </c>
      <c r="D995">
        <v>92</v>
      </c>
      <c r="E995">
        <v>68</v>
      </c>
      <c r="F995">
        <v>24</v>
      </c>
      <c r="G995">
        <v>3</v>
      </c>
      <c r="H995" s="1">
        <v>3.8310185185185183E-3</v>
      </c>
      <c r="I995">
        <v>2023</v>
      </c>
      <c r="J995" t="s">
        <v>83</v>
      </c>
      <c r="K995" s="2" t="str">
        <f>HYPERLINK("https://www.nba.com/stats/events?CFID=&amp;CFPARAMS=&amp;GameEventID=431&amp;GameID=0022301017&amp;Season=2023-24&amp;flag=1&amp;title=Leonard%2018'%20pullup%20Jump%20Shot%20(22%20PTS)", "18' pullup Jump Shot (22 PTS)")</f>
        <v>18' pullup Jump Shot (22 PTS)</v>
      </c>
      <c r="L995" s="2" t="str">
        <f>HYPERLINK("https://www.nba.com/game/...-vs-...-0022301017/play-by-play?watchFullGame=true", "LAC vs POR - Q3 05:31.00")</f>
        <v>LAC vs POR - Q3 05:31.00</v>
      </c>
      <c r="M995">
        <v>18.329999999999998</v>
      </c>
      <c r="N995">
        <v>25.05</v>
      </c>
      <c r="O995">
        <v>52.21</v>
      </c>
      <c r="P995">
        <v>-11</v>
      </c>
      <c r="Q995">
        <v>183</v>
      </c>
      <c r="R995">
        <v>25</v>
      </c>
      <c r="S995">
        <v>52</v>
      </c>
    </row>
    <row r="996" spans="1:19" hidden="1" x14ac:dyDescent="0.25">
      <c r="A996">
        <v>22400697</v>
      </c>
      <c r="B996" t="s">
        <v>18</v>
      </c>
      <c r="C996" t="s">
        <v>19</v>
      </c>
      <c r="D996">
        <v>65</v>
      </c>
      <c r="E996">
        <v>66</v>
      </c>
      <c r="F996">
        <v>1</v>
      </c>
      <c r="G996">
        <v>3</v>
      </c>
      <c r="H996" s="1">
        <v>6.4120370370370373E-3</v>
      </c>
      <c r="I996">
        <v>2024</v>
      </c>
      <c r="J996" t="s">
        <v>83</v>
      </c>
      <c r="K996" s="2" t="str">
        <f>HYPERLINK("https://www.nba.com/stats/events?CFID=&amp;CFPARAMS=&amp;GameEventID=353&amp;GameID=0022400697&amp;Season=2024-25&amp;flag=1&amp;title=Leonard%2019'%20Jump%20Shot%20(9%20PTS)%20(A.%20Coffey%202%20AST)", "19' Jump Shot (9 PTS) (A. Coffey 2 AST)")</f>
        <v>19' Jump Shot (9 PTS) (A. Coffey 2 AST)</v>
      </c>
      <c r="L996" s="2" t="str">
        <f>HYPERLINK("https://www.nba.com/game/...-vs-...-0022400697/play-by-play?watchFullGame=true", "LAC vs TOR - Q3 09:14.00")</f>
        <v>LAC vs TOR - Q3 09:14.00</v>
      </c>
      <c r="M996">
        <v>19.07</v>
      </c>
      <c r="N996">
        <v>25.84</v>
      </c>
      <c r="O996">
        <v>52.21</v>
      </c>
      <c r="P996">
        <v>-11</v>
      </c>
      <c r="Q996">
        <v>190</v>
      </c>
      <c r="R996">
        <v>25</v>
      </c>
      <c r="S996">
        <v>52</v>
      </c>
    </row>
    <row r="997" spans="1:19" hidden="1" x14ac:dyDescent="0.25">
      <c r="A997">
        <v>22300799</v>
      </c>
      <c r="B997" t="s">
        <v>18</v>
      </c>
      <c r="C997" t="s">
        <v>19</v>
      </c>
      <c r="D997">
        <v>57</v>
      </c>
      <c r="E997">
        <v>59</v>
      </c>
      <c r="F997">
        <v>2</v>
      </c>
      <c r="G997">
        <v>2</v>
      </c>
      <c r="H997" s="1">
        <v>1.3773148148148147E-3</v>
      </c>
      <c r="I997">
        <v>2023</v>
      </c>
      <c r="J997" t="s">
        <v>83</v>
      </c>
      <c r="K997" s="2" t="str">
        <f>HYPERLINK("https://www.nba.com/stats/events?CFID=&amp;CFPARAMS=&amp;GameEventID=288&amp;GameID=0022300799&amp;Season=2023-24&amp;flag=1&amp;title=Leonard%2018'%20pullup%20Jump%20Shot%20(10%20PTS)%20(T.%20Mann%204%20AST)", "18' pullup Jump Shot (10 PTS) (T. Mann 4 AST)")</f>
        <v>18' pullup Jump Shot (10 PTS) (T. Mann 4 AST)</v>
      </c>
      <c r="L997" s="2" t="str">
        <f>HYPERLINK("https://www.nba.com/game/...-vs-...-0022300799/play-by-play?watchFullGame=true", "LAC vs OKC - Q2 01:59.00")</f>
        <v>LAC vs OKC - Q2 01:59.00</v>
      </c>
      <c r="M997">
        <v>18.45</v>
      </c>
      <c r="N997">
        <v>25.05</v>
      </c>
      <c r="O997">
        <v>54.66</v>
      </c>
      <c r="P997">
        <v>-23</v>
      </c>
      <c r="Q997">
        <v>183</v>
      </c>
      <c r="R997">
        <v>25</v>
      </c>
      <c r="S997">
        <v>54</v>
      </c>
    </row>
    <row r="998" spans="1:19" hidden="1" x14ac:dyDescent="0.25">
      <c r="A998">
        <v>42200172</v>
      </c>
      <c r="B998" t="s">
        <v>18</v>
      </c>
      <c r="C998" t="s">
        <v>19</v>
      </c>
      <c r="D998">
        <v>94</v>
      </c>
      <c r="E998">
        <v>104</v>
      </c>
      <c r="F998">
        <v>10</v>
      </c>
      <c r="G998">
        <v>4</v>
      </c>
      <c r="H998" s="1">
        <v>5.8217592592592592E-3</v>
      </c>
      <c r="I998" t="s">
        <v>96</v>
      </c>
      <c r="J998" t="s">
        <v>83</v>
      </c>
      <c r="K998" s="2" t="str">
        <f>HYPERLINK("https://www.nba.com/stats/events?CFID=&amp;CFPARAMS=&amp;GameEventID=522&amp;GameID=0042200172&amp;Season=2022-23&amp;flag=1&amp;title=Leonard%2018'%20pullup%20Jump%20Shot%20(24%20PTS)", "18' pullup Jump Shot (24 PTS)")</f>
        <v>18' pullup Jump Shot (24 PTS)</v>
      </c>
      <c r="L998" s="2" t="str">
        <f>HYPERLINK("https://www.nba.com/game/...-vs-...-0042200172/play-by-play?watchFullGame=true", "LAC vs PHX - Q4 08:23.00")</f>
        <v>LAC vs PHX - Q4 08:23.00</v>
      </c>
      <c r="M998">
        <v>18.920000000000002</v>
      </c>
      <c r="N998">
        <v>25.44</v>
      </c>
      <c r="O998">
        <v>56.13</v>
      </c>
      <c r="P998">
        <v>25</v>
      </c>
      <c r="Q998">
        <v>56</v>
      </c>
      <c r="R998">
        <v>25</v>
      </c>
      <c r="S998">
        <v>56</v>
      </c>
    </row>
    <row r="999" spans="1:19" hidden="1" x14ac:dyDescent="0.25">
      <c r="A999">
        <v>42200171</v>
      </c>
      <c r="B999" t="s">
        <v>18</v>
      </c>
      <c r="C999" t="s">
        <v>19</v>
      </c>
      <c r="D999">
        <v>86</v>
      </c>
      <c r="E999">
        <v>84</v>
      </c>
      <c r="F999">
        <v>2</v>
      </c>
      <c r="G999">
        <v>4</v>
      </c>
      <c r="H999" s="1">
        <v>7.7546296296296295E-3</v>
      </c>
      <c r="I999" t="s">
        <v>96</v>
      </c>
      <c r="J999" t="s">
        <v>83</v>
      </c>
      <c r="K999" s="2" t="str">
        <f>HYPERLINK("https://www.nba.com/stats/events?CFID=&amp;CFPARAMS=&amp;GameEventID=517&amp;GameID=0042200171&amp;Season=2022-23&amp;flag=1&amp;title=Leonard%2021'%20Jump%20Shot%20(30%20PTS)", "21' Jump Shot (30 PTS)")</f>
        <v>21' Jump Shot (30 PTS)</v>
      </c>
      <c r="L999" s="2" t="str">
        <f>HYPERLINK("https://www.nba.com/game/...-vs-...-0042200171/play-by-play?watchFullGame=true", "LAC vs PHX - Q4 11:10.00")</f>
        <v>LAC vs PHX - Q4 11:10.00</v>
      </c>
      <c r="M999">
        <v>21.24</v>
      </c>
      <c r="N999">
        <v>25.05</v>
      </c>
      <c r="O999">
        <v>71.569999999999993</v>
      </c>
      <c r="P999">
        <v>25</v>
      </c>
      <c r="Q999">
        <v>71</v>
      </c>
      <c r="R999">
        <v>25</v>
      </c>
      <c r="S999">
        <v>71</v>
      </c>
    </row>
    <row r="1000" spans="1:19" hidden="1" x14ac:dyDescent="0.25">
      <c r="A1000">
        <v>21900603</v>
      </c>
      <c r="B1000" t="s">
        <v>26</v>
      </c>
      <c r="C1000" t="s">
        <v>84</v>
      </c>
      <c r="D1000">
        <v>41</v>
      </c>
      <c r="E1000">
        <v>36</v>
      </c>
      <c r="F1000">
        <v>5</v>
      </c>
      <c r="G1000">
        <v>2</v>
      </c>
      <c r="H1000" s="1">
        <v>5.1504629629629626E-3</v>
      </c>
      <c r="I1000">
        <v>2019</v>
      </c>
      <c r="J1000" t="s">
        <v>83</v>
      </c>
      <c r="K1000" s="2" t="str">
        <f>HYPERLINK("https://www.nba.com/stats/events?CFID=&amp;CFPARAMS=&amp;GameEventID=214&amp;GameID=0021900603&amp;Season=2019-20&amp;flag=1&amp;title=Leonard%2027'%203PT%20%20(14%20PTS)%20(L.%20Williams%204%20AST)", "27' 3PT  (14 PTS) (L. Williams 4 AST)")</f>
        <v>27' 3PT  (14 PTS) (L. Williams 4 AST)</v>
      </c>
      <c r="L1000" s="2" t="str">
        <f>HYPERLINK("https://www.nba.com/game/...-vs-...-0021900603/play-by-play?watchFullGame=true", "LAC vs CLE - Q2 07:25.00")</f>
        <v>LAC vs CLE - Q2 07:25.00</v>
      </c>
      <c r="M1000">
        <v>26.74</v>
      </c>
      <c r="N1000">
        <v>26.46</v>
      </c>
      <c r="O1000">
        <v>14.88</v>
      </c>
      <c r="P1000">
        <v>176</v>
      </c>
      <c r="Q1000">
        <v>196</v>
      </c>
      <c r="R1000">
        <v>26</v>
      </c>
      <c r="S1000">
        <v>14</v>
      </c>
    </row>
    <row r="1001" spans="1:19" hidden="1" x14ac:dyDescent="0.25">
      <c r="A1001">
        <v>22200016</v>
      </c>
      <c r="B1001" t="s">
        <v>26</v>
      </c>
      <c r="C1001" t="s">
        <v>19</v>
      </c>
      <c r="D1001">
        <v>74</v>
      </c>
      <c r="E1001">
        <v>65</v>
      </c>
      <c r="F1001">
        <v>9</v>
      </c>
      <c r="G1001">
        <v>3</v>
      </c>
      <c r="H1001" s="1">
        <v>3.5763888888888889E-3</v>
      </c>
      <c r="I1001">
        <v>2022</v>
      </c>
      <c r="J1001" t="s">
        <v>83</v>
      </c>
      <c r="K1001" s="2" t="str">
        <f>HYPERLINK("https://www.nba.com/stats/events?CFID=&amp;CFPARAMS=&amp;GameEventID=445&amp;GameID=0022200016&amp;Season=2022-23&amp;flag=1&amp;title=Leonard%2026'%203PT%20%20(10%20PTS)%20(J.%20Wall%202%20AST)", "26' 3PT  (10 PTS) (J. Wall 2 AST)")</f>
        <v>26' 3PT  (10 PTS) (J. Wall 2 AST)</v>
      </c>
      <c r="L1001" s="2" t="str">
        <f>HYPERLINK("https://www.nba.com/game/...-vs-...-0022200016/play-by-play?watchFullGame=true", "LAC vs LAL - Q3 05:09.00")</f>
        <v>LAC vs LAL - Q3 05:09.00</v>
      </c>
      <c r="M1001">
        <v>26.58</v>
      </c>
      <c r="N1001">
        <v>26.86</v>
      </c>
      <c r="O1001">
        <v>85.05</v>
      </c>
      <c r="P1001">
        <v>-175</v>
      </c>
      <c r="Q1001">
        <v>200</v>
      </c>
      <c r="R1001">
        <v>26</v>
      </c>
      <c r="S1001">
        <v>85</v>
      </c>
    </row>
    <row r="1002" spans="1:19" hidden="1" x14ac:dyDescent="0.25">
      <c r="A1002">
        <v>21901271</v>
      </c>
      <c r="B1002" t="s">
        <v>26</v>
      </c>
      <c r="C1002" t="s">
        <v>84</v>
      </c>
      <c r="D1002">
        <v>53</v>
      </c>
      <c r="E1002">
        <v>55</v>
      </c>
      <c r="F1002">
        <v>2</v>
      </c>
      <c r="G1002">
        <v>2</v>
      </c>
      <c r="H1002" s="1">
        <v>9.7222222222222219E-4</v>
      </c>
      <c r="I1002">
        <v>2019</v>
      </c>
      <c r="J1002" t="s">
        <v>83</v>
      </c>
      <c r="K1002" s="2" t="str">
        <f>HYPERLINK("https://www.nba.com/stats/events?CFID=&amp;CFPARAMS=&amp;GameEventID=315&amp;GameID=0021901271&amp;Season=2019-20&amp;flag=1&amp;title=Leonard%2026'%203PT%20%20(11%20PTS)", "26' 3PT  (11 PTS)")</f>
        <v>26' 3PT  (11 PTS)</v>
      </c>
      <c r="L1002" s="2" t="str">
        <f>HYPERLINK("https://www.nba.com/game/...-vs-...-0021901271/play-by-play?watchFullGame=true", "LAC vs DAL - Q2 01:24.00")</f>
        <v>LAC vs DAL - Q2 01:24.00</v>
      </c>
      <c r="M1002">
        <v>26.15</v>
      </c>
      <c r="N1002">
        <v>26.89</v>
      </c>
      <c r="O1002">
        <v>17.72</v>
      </c>
      <c r="P1002">
        <v>161</v>
      </c>
      <c r="Q1002">
        <v>200</v>
      </c>
      <c r="R1002">
        <v>26</v>
      </c>
      <c r="S1002">
        <v>17</v>
      </c>
    </row>
    <row r="1003" spans="1:19" hidden="1" x14ac:dyDescent="0.25">
      <c r="A1003">
        <v>22400874</v>
      </c>
      <c r="B1003" t="s">
        <v>26</v>
      </c>
      <c r="C1003" t="s">
        <v>19</v>
      </c>
      <c r="D1003">
        <v>102</v>
      </c>
      <c r="E1003">
        <v>107</v>
      </c>
      <c r="F1003">
        <v>5</v>
      </c>
      <c r="G1003">
        <v>4</v>
      </c>
      <c r="H1003" s="1">
        <v>1.1574074074074073E-3</v>
      </c>
      <c r="I1003">
        <v>2024</v>
      </c>
      <c r="J1003" t="s">
        <v>83</v>
      </c>
      <c r="K1003" s="2" t="str">
        <f>HYPERLINK("https://www.nba.com/stats/events?CFID=&amp;CFPARAMS=&amp;GameEventID=587&amp;GameID=0022400874&amp;Season=2024-25&amp;flag=1&amp;title=Leonard%2026'%203PT%20running%20(33%20PTS)%20(J.%20Harden%208%20AST)", "26' 3PT running (33 PTS) (J. Harden 8 AST)")</f>
        <v>26' 3PT running (33 PTS) (J. Harden 8 AST)</v>
      </c>
      <c r="L1003" s="2" t="str">
        <f>HYPERLINK("https://www.nba.com/game/...-vs-...-0022400874/play-by-play?watchFullGame=true", "LAC vs LAL - Q4 01:40.00")</f>
        <v>LAC vs LAL - Q4 01:40.00</v>
      </c>
      <c r="M1003">
        <v>26.08</v>
      </c>
      <c r="N1003">
        <v>26.59</v>
      </c>
      <c r="O1003">
        <v>15.93</v>
      </c>
      <c r="P1003">
        <v>170</v>
      </c>
      <c r="Q1003">
        <v>197</v>
      </c>
      <c r="R1003">
        <v>26</v>
      </c>
      <c r="S1003">
        <v>15</v>
      </c>
    </row>
    <row r="1004" spans="1:19" hidden="1" x14ac:dyDescent="0.25">
      <c r="A1004">
        <v>22201004</v>
      </c>
      <c r="B1004" t="s">
        <v>26</v>
      </c>
      <c r="C1004" t="s">
        <v>19</v>
      </c>
      <c r="D1004">
        <v>71</v>
      </c>
      <c r="E1004">
        <v>70</v>
      </c>
      <c r="F1004">
        <v>1</v>
      </c>
      <c r="G1004">
        <v>3</v>
      </c>
      <c r="H1004" s="1">
        <v>2.4189814814814816E-3</v>
      </c>
      <c r="I1004">
        <v>2022</v>
      </c>
      <c r="J1004" t="s">
        <v>83</v>
      </c>
      <c r="K1004" s="2" t="str">
        <f>HYPERLINK("https://www.nba.com/stats/events?CFID=&amp;CFPARAMS=&amp;GameEventID=405&amp;GameID=0022201004&amp;Season=2022-23&amp;flag=1&amp;title=Leonard%2026'%203PT%20%20(26%20PTS)%20(P.%20George%205%20AST)", "26' 3PT  (26 PTS) (P. George 5 AST)")</f>
        <v>26' 3PT  (26 PTS) (P. George 5 AST)</v>
      </c>
      <c r="L1004" s="2" t="str">
        <f>HYPERLINK("https://www.nba.com/game/...-vs-...-0022201004/play-by-play?watchFullGame=true", "LAC vs NYK - Q3 03:29.00")</f>
        <v>LAC vs NYK - Q3 03:29.00</v>
      </c>
      <c r="M1004">
        <v>26.08</v>
      </c>
      <c r="N1004">
        <v>26.59</v>
      </c>
      <c r="O1004">
        <v>84.07</v>
      </c>
      <c r="P1004">
        <v>-170</v>
      </c>
      <c r="Q1004">
        <v>197</v>
      </c>
      <c r="R1004">
        <v>26</v>
      </c>
      <c r="S1004">
        <v>84</v>
      </c>
    </row>
    <row r="1005" spans="1:19" hidden="1" x14ac:dyDescent="0.25">
      <c r="A1005">
        <v>21900292</v>
      </c>
      <c r="B1005" t="s">
        <v>26</v>
      </c>
      <c r="C1005" t="s">
        <v>84</v>
      </c>
      <c r="D1005">
        <v>85</v>
      </c>
      <c r="E1005">
        <v>63</v>
      </c>
      <c r="F1005">
        <v>22</v>
      </c>
      <c r="G1005">
        <v>3</v>
      </c>
      <c r="H1005" s="1">
        <v>7.5925925925925926E-3</v>
      </c>
      <c r="I1005">
        <v>2019</v>
      </c>
      <c r="J1005" t="s">
        <v>83</v>
      </c>
      <c r="K1005" s="2" t="str">
        <f>HYPERLINK("https://www.nba.com/stats/events?CFID=&amp;CFPARAMS=&amp;GameEventID=401&amp;GameID=0021900292&amp;Season=2019-20&amp;flag=1&amp;title=Leonard%2026'%203PT%20%20(17%20PTS)%20(M.%20Harkless%201%20AST)", "26' 3PT  (17 PTS) (M. Harkless 1 AST)")</f>
        <v>26' 3PT  (17 PTS) (M. Harkless 1 AST)</v>
      </c>
      <c r="L1005" s="2" t="str">
        <f>HYPERLINK("https://www.nba.com/game/...-vs-...-0021900292/play-by-play?watchFullGame=true", "LAC vs WAS - Q3 10:56.00")</f>
        <v>LAC vs WAS - Q3 10:56.00</v>
      </c>
      <c r="M1005">
        <v>25.99</v>
      </c>
      <c r="N1005">
        <v>26.46</v>
      </c>
      <c r="O1005">
        <v>82.77</v>
      </c>
      <c r="P1005">
        <v>-164</v>
      </c>
      <c r="Q1005">
        <v>196</v>
      </c>
      <c r="R1005">
        <v>26</v>
      </c>
      <c r="S1005">
        <v>82</v>
      </c>
    </row>
    <row r="1006" spans="1:19" hidden="1" x14ac:dyDescent="0.25">
      <c r="A1006">
        <v>42000176</v>
      </c>
      <c r="B1006" t="s">
        <v>26</v>
      </c>
      <c r="C1006" t="s">
        <v>19</v>
      </c>
      <c r="D1006">
        <v>71</v>
      </c>
      <c r="E1006">
        <v>67</v>
      </c>
      <c r="F1006">
        <v>4</v>
      </c>
      <c r="G1006">
        <v>3</v>
      </c>
      <c r="H1006" s="1">
        <v>2.0254629629629629E-3</v>
      </c>
      <c r="I1006" t="s">
        <v>91</v>
      </c>
      <c r="J1006" t="s">
        <v>83</v>
      </c>
      <c r="K1006" s="2" t="str">
        <f>HYPERLINK("https://www.nba.com/stats/events?CFID=&amp;CFPARAMS=&amp;GameEventID=419&amp;GameID=0042000176&amp;Season=2020-21&amp;flag=1&amp;title=Leonard%2025'%203PT%20running%20pullup%20(31%20PTS)%20(P.%20George%205%20AST)", "25' 3PT running pullup (31 PTS) (P. George 5 AST)")</f>
        <v>25' 3PT running pullup (31 PTS) (P. George 5 AST)</v>
      </c>
      <c r="L1006" s="2" t="str">
        <f>HYPERLINK("https://www.nba.com/game/...-vs-...-0042000176/play-by-play?watchFullGame=true", "LAC vs DAL - Q3 02:55.00")</f>
        <v>LAC vs DAL - Q3 02:55.00</v>
      </c>
      <c r="M1006">
        <v>25.89</v>
      </c>
      <c r="N1006">
        <v>26.36</v>
      </c>
      <c r="O1006">
        <v>16</v>
      </c>
      <c r="P1006">
        <v>26</v>
      </c>
      <c r="Q1006">
        <v>16</v>
      </c>
      <c r="R1006">
        <v>26</v>
      </c>
      <c r="S1006">
        <v>16</v>
      </c>
    </row>
    <row r="1007" spans="1:19" hidden="1" x14ac:dyDescent="0.25">
      <c r="A1007">
        <v>22201162</v>
      </c>
      <c r="B1007" t="s">
        <v>26</v>
      </c>
      <c r="C1007" t="s">
        <v>19</v>
      </c>
      <c r="D1007">
        <v>102</v>
      </c>
      <c r="E1007">
        <v>105</v>
      </c>
      <c r="F1007">
        <v>3</v>
      </c>
      <c r="G1007">
        <v>4</v>
      </c>
      <c r="H1007" s="1">
        <v>4.0393518518518521E-3</v>
      </c>
      <c r="I1007">
        <v>2022</v>
      </c>
      <c r="J1007" t="s">
        <v>83</v>
      </c>
      <c r="K1007" s="2" t="str">
        <f>HYPERLINK("https://www.nba.com/stats/events?CFID=&amp;CFPARAMS=&amp;GameEventID=558&amp;GameID=0022201162&amp;Season=2022-23&amp;flag=1&amp;title=Leonard%2025'%203PT%20%20(34%20PTS)%20(R.%20Westbrook%208%20AST)", "25' 3PT  (34 PTS) (R. Westbrook 8 AST)")</f>
        <v>25' 3PT  (34 PTS) (R. Westbrook 8 AST)</v>
      </c>
      <c r="L1007" s="2" t="str">
        <f>HYPERLINK("https://www.nba.com/game/...-vs-...-0022201162/play-by-play?watchFullGame=true", "LAC vs NOP - Q4 05:49.00")</f>
        <v>LAC vs NOP - Q4 05:49.00</v>
      </c>
      <c r="M1007">
        <v>25.65</v>
      </c>
      <c r="N1007">
        <v>26.76</v>
      </c>
      <c r="O1007">
        <v>82.35</v>
      </c>
      <c r="P1007">
        <v>-162</v>
      </c>
      <c r="Q1007">
        <v>199</v>
      </c>
      <c r="R1007">
        <v>26</v>
      </c>
      <c r="S1007">
        <v>82</v>
      </c>
    </row>
    <row r="1008" spans="1:19" hidden="1" x14ac:dyDescent="0.25">
      <c r="A1008">
        <v>22200871</v>
      </c>
      <c r="B1008" t="s">
        <v>26</v>
      </c>
      <c r="C1008" t="s">
        <v>19</v>
      </c>
      <c r="D1008">
        <v>128</v>
      </c>
      <c r="E1008">
        <v>114</v>
      </c>
      <c r="F1008">
        <v>14</v>
      </c>
      <c r="G1008">
        <v>4</v>
      </c>
      <c r="H1008" s="1">
        <v>2.2337962962962962E-3</v>
      </c>
      <c r="I1008">
        <v>2022</v>
      </c>
      <c r="J1008" t="s">
        <v>83</v>
      </c>
      <c r="K1008" s="2" t="str">
        <f>HYPERLINK("https://www.nba.com/stats/events?CFID=&amp;CFPARAMS=&amp;GameEventID=620&amp;GameID=0022200871&amp;Season=2022-23&amp;flag=1&amp;title=Leonard%2025'%203PT%20pullup%20(33%20PTS)", "25' 3PT pullup (33 PTS)")</f>
        <v>25' 3PT pullup (33 PTS)</v>
      </c>
      <c r="L1008" s="2" t="str">
        <f>HYPERLINK("https://www.nba.com/game/...-vs-...-0022200871/play-by-play?watchFullGame=true", "LAC vs GSW - Q4 03:13.00")</f>
        <v>LAC vs GSW - Q4 03:13.00</v>
      </c>
      <c r="M1008">
        <v>25.54</v>
      </c>
      <c r="N1008">
        <v>26.72</v>
      </c>
      <c r="O1008">
        <v>17.89</v>
      </c>
      <c r="P1008">
        <v>161</v>
      </c>
      <c r="Q1008">
        <v>199</v>
      </c>
      <c r="R1008">
        <v>26</v>
      </c>
      <c r="S1008">
        <v>17</v>
      </c>
    </row>
    <row r="1009" spans="1:19" hidden="1" x14ac:dyDescent="0.25">
      <c r="A1009">
        <v>21900603</v>
      </c>
      <c r="B1009" t="s">
        <v>26</v>
      </c>
      <c r="C1009" t="s">
        <v>84</v>
      </c>
      <c r="D1009">
        <v>59</v>
      </c>
      <c r="E1009">
        <v>50</v>
      </c>
      <c r="F1009">
        <v>9</v>
      </c>
      <c r="G1009">
        <v>2</v>
      </c>
      <c r="H1009" s="1">
        <v>1.4699074074074074E-3</v>
      </c>
      <c r="I1009">
        <v>2019</v>
      </c>
      <c r="J1009" t="s">
        <v>83</v>
      </c>
      <c r="K1009" s="2" t="str">
        <f>HYPERLINK("https://www.nba.com/stats/events?CFID=&amp;CFPARAMS=&amp;GameEventID=273&amp;GameID=0021900603&amp;Season=2019-20&amp;flag=1&amp;title=Leonard%2026'%203PT%20%20(23%20PTS)", "26' 3PT  (23 PTS)")</f>
        <v>26' 3PT  (23 PTS)</v>
      </c>
      <c r="L1009" s="2" t="str">
        <f>HYPERLINK("https://www.nba.com/game/...-vs-...-0021900603/play-by-play?watchFullGame=true", "LAC vs CLE - Q2 02:07.00")</f>
        <v>LAC vs CLE - Q2 02:07.00</v>
      </c>
      <c r="M1009">
        <v>25.5</v>
      </c>
      <c r="N1009">
        <v>26.46</v>
      </c>
      <c r="O1009">
        <v>18.8</v>
      </c>
      <c r="P1009">
        <v>156</v>
      </c>
      <c r="Q1009">
        <v>196</v>
      </c>
      <c r="R1009">
        <v>26</v>
      </c>
      <c r="S1009">
        <v>18</v>
      </c>
    </row>
    <row r="1010" spans="1:19" hidden="1" x14ac:dyDescent="0.25">
      <c r="A1010">
        <v>41900152</v>
      </c>
      <c r="B1010" t="s">
        <v>26</v>
      </c>
      <c r="C1010" t="s">
        <v>84</v>
      </c>
      <c r="D1010">
        <v>18</v>
      </c>
      <c r="E1010">
        <v>24</v>
      </c>
      <c r="F1010">
        <v>6</v>
      </c>
      <c r="G1010">
        <v>1</v>
      </c>
      <c r="H1010" s="1">
        <v>1.8749999999999999E-3</v>
      </c>
      <c r="I1010" t="s">
        <v>86</v>
      </c>
      <c r="J1010" t="s">
        <v>83</v>
      </c>
      <c r="K1010" s="2" t="str">
        <f>HYPERLINK("https://www.nba.com/stats/events?CFID=&amp;CFPARAMS=&amp;GameEventID=113&amp;GameID=0041900152&amp;Season=2019-20&amp;flag=1&amp;title=Leonard%2025'%203PT%20%20(7%20PTS)%20(L.%20Shamet%202%20AST)", "25' 3PT  (7 PTS) (L. Shamet 2 AST)")</f>
        <v>25' 3PT  (7 PTS) (L. Shamet 2 AST)</v>
      </c>
      <c r="L1010" s="2" t="str">
        <f>HYPERLINK("https://www.nba.com/game/...-vs-...-0041900152/play-by-play?watchFullGame=true", "LAC vs DAL - Q1 02:42.00")</f>
        <v>LAC vs DAL - Q1 02:42.00</v>
      </c>
      <c r="M1010">
        <v>25.44</v>
      </c>
      <c r="N1010">
        <v>26.23</v>
      </c>
      <c r="O1010">
        <v>18.45</v>
      </c>
      <c r="P1010">
        <v>158</v>
      </c>
      <c r="Q1010">
        <v>194</v>
      </c>
      <c r="R1010">
        <v>26</v>
      </c>
      <c r="S1010">
        <v>18</v>
      </c>
    </row>
    <row r="1011" spans="1:19" hidden="1" x14ac:dyDescent="0.25">
      <c r="A1011">
        <v>22300014</v>
      </c>
      <c r="B1011" t="s">
        <v>26</v>
      </c>
      <c r="C1011" t="s">
        <v>19</v>
      </c>
      <c r="D1011">
        <v>54</v>
      </c>
      <c r="E1011">
        <v>77</v>
      </c>
      <c r="F1011">
        <v>23</v>
      </c>
      <c r="G1011">
        <v>3</v>
      </c>
      <c r="H1011" s="1">
        <v>8.0902777777777778E-3</v>
      </c>
      <c r="I1011">
        <v>2023</v>
      </c>
      <c r="J1011" t="s">
        <v>83</v>
      </c>
      <c r="K1011" s="2" t="str">
        <f>HYPERLINK("https://www.nba.com/stats/events?CFID=&amp;CFPARAMS=&amp;GameEventID=360&amp;GameID=0022300014&amp;Season=2023-24&amp;flag=1&amp;title=Leonard%2025'%203PT%20%20(19%20PTS)%20(T.%20Mann%201%20AST)", "25' 3PT  (19 PTS) (T. Mann 1 AST)")</f>
        <v>25' 3PT  (19 PTS) (T. Mann 1 AST)</v>
      </c>
      <c r="L1011" s="2" t="str">
        <f>HYPERLINK("https://www.nba.com/game/...-vs-...-0022300014/play-by-play?watchFullGame=true", "LAC vs DAL - Q3 11:39.00")</f>
        <v>LAC vs DAL - Q3 11:39.00</v>
      </c>
      <c r="M1011">
        <v>25.32</v>
      </c>
      <c r="N1011">
        <v>26.63</v>
      </c>
      <c r="O1011">
        <v>81.62</v>
      </c>
      <c r="P1011">
        <v>-158</v>
      </c>
      <c r="Q1011">
        <v>198</v>
      </c>
      <c r="R1011">
        <v>26</v>
      </c>
      <c r="S1011">
        <v>81</v>
      </c>
    </row>
    <row r="1012" spans="1:19" hidden="1" x14ac:dyDescent="0.25">
      <c r="A1012">
        <v>41900235</v>
      </c>
      <c r="B1012" t="s">
        <v>26</v>
      </c>
      <c r="C1012" t="s">
        <v>84</v>
      </c>
      <c r="D1012">
        <v>80</v>
      </c>
      <c r="E1012">
        <v>67</v>
      </c>
      <c r="F1012">
        <v>13</v>
      </c>
      <c r="G1012">
        <v>3</v>
      </c>
      <c r="H1012" s="1">
        <v>9.837962962962962E-4</v>
      </c>
      <c r="I1012" t="s">
        <v>85</v>
      </c>
      <c r="J1012" t="s">
        <v>83</v>
      </c>
      <c r="K1012" s="2" t="str">
        <f>HYPERLINK("https://www.nba.com/stats/events?CFID=&amp;CFPARAMS=&amp;GameEventID=433&amp;GameID=0041900235&amp;Season=2019-20&amp;flag=1&amp;title=Leonard%2025'%203PT%20%20(23%20PTS)%20(L.%20Williams%204%20AST)", "25' 3PT  (23 PTS) (L. Williams 4 AST)")</f>
        <v>25' 3PT  (23 PTS) (L. Williams 4 AST)</v>
      </c>
      <c r="L1012" s="2" t="str">
        <f>HYPERLINK("https://www.nba.com/game/...-vs-...-0041900235/play-by-play?watchFullGame=true", "LAC vs DEN - Q3 01:25.00")</f>
        <v>LAC vs DEN - Q3 01:25.00</v>
      </c>
      <c r="M1012">
        <v>25.26</v>
      </c>
      <c r="N1012">
        <v>26.23</v>
      </c>
      <c r="O1012">
        <v>80.95</v>
      </c>
      <c r="P1012">
        <v>-155</v>
      </c>
      <c r="Q1012">
        <v>194</v>
      </c>
      <c r="R1012">
        <v>26</v>
      </c>
      <c r="S1012">
        <v>80</v>
      </c>
    </row>
    <row r="1013" spans="1:19" hidden="1" x14ac:dyDescent="0.25">
      <c r="A1013">
        <v>22400733</v>
      </c>
      <c r="B1013" t="s">
        <v>26</v>
      </c>
      <c r="C1013" t="s">
        <v>19</v>
      </c>
      <c r="D1013">
        <v>103</v>
      </c>
      <c r="E1013">
        <v>98</v>
      </c>
      <c r="F1013">
        <v>5</v>
      </c>
      <c r="G1013">
        <v>4</v>
      </c>
      <c r="H1013" s="1">
        <v>3.1018518518518517E-3</v>
      </c>
      <c r="I1013">
        <v>2024</v>
      </c>
      <c r="J1013" t="s">
        <v>83</v>
      </c>
      <c r="K1013" s="2" t="str">
        <f>HYPERLINK("https://www.nba.com/stats/events?CFID=&amp;CFPARAMS=&amp;GameEventID=579&amp;GameID=0022400733&amp;Season=2024-25&amp;flag=1&amp;title=Leonard%2025'%203PT%20%20(19%20PTS)%20(J.%20Harden%209%20AST)", "25' 3PT  (19 PTS) (J. Harden 9 AST)")</f>
        <v>25' 3PT  (19 PTS) (J. Harden 9 AST)</v>
      </c>
      <c r="L1013" s="2" t="str">
        <f>HYPERLINK("https://www.nba.com/game/...-vs-...-0022400733/play-by-play?watchFullGame=true", "LAC vs IND - Q4 04:28.00")</f>
        <v>LAC vs IND - Q4 04:28.00</v>
      </c>
      <c r="M1013">
        <v>25.19</v>
      </c>
      <c r="N1013">
        <v>26.23</v>
      </c>
      <c r="O1013">
        <v>17.89</v>
      </c>
      <c r="P1013">
        <v>161</v>
      </c>
      <c r="Q1013">
        <v>194</v>
      </c>
      <c r="R1013">
        <v>26</v>
      </c>
      <c r="S1013">
        <v>17</v>
      </c>
    </row>
    <row r="1014" spans="1:19" hidden="1" x14ac:dyDescent="0.25">
      <c r="A1014">
        <v>22000488</v>
      </c>
      <c r="B1014" t="s">
        <v>26</v>
      </c>
      <c r="C1014" t="s">
        <v>19</v>
      </c>
      <c r="D1014">
        <v>126</v>
      </c>
      <c r="E1014">
        <v>106</v>
      </c>
      <c r="F1014">
        <v>20</v>
      </c>
      <c r="G1014">
        <v>4</v>
      </c>
      <c r="H1014" s="1">
        <v>2.7546296296296294E-3</v>
      </c>
      <c r="I1014">
        <v>2020</v>
      </c>
      <c r="J1014" t="s">
        <v>83</v>
      </c>
      <c r="K1014" s="2" t="str">
        <f>HYPERLINK("https://www.nba.com/stats/events?CFID=&amp;CFPARAMS=&amp;GameEventID=560&amp;GameID=0022000488&amp;Season=2020-21&amp;flag=1&amp;title=Leonard%2024'%203PT%20pullup%20(32%20PTS)%20(R.%20Jackson%202%20AST)", "24' 3PT pullup (32 PTS) (R. Jackson 2 AST)")</f>
        <v>24' 3PT pullup (32 PTS) (R. Jackson 2 AST)</v>
      </c>
      <c r="L1014" s="2" t="str">
        <f>HYPERLINK("https://www.nba.com/game/...-vs-...-0022000488/play-by-play?watchFullGame=true", "LAC vs WAS - Q4 03:58.00")</f>
        <v>LAC vs WAS - Q4 03:58.00</v>
      </c>
      <c r="M1014">
        <v>24.83</v>
      </c>
      <c r="N1014">
        <v>26.49</v>
      </c>
      <c r="O1014">
        <v>19.68</v>
      </c>
      <c r="P1014">
        <v>152</v>
      </c>
      <c r="Q1014">
        <v>197</v>
      </c>
      <c r="R1014">
        <v>26</v>
      </c>
      <c r="S1014">
        <v>19</v>
      </c>
    </row>
    <row r="1015" spans="1:19" hidden="1" x14ac:dyDescent="0.25">
      <c r="A1015">
        <v>22300264</v>
      </c>
      <c r="B1015" t="s">
        <v>26</v>
      </c>
      <c r="C1015" t="s">
        <v>19</v>
      </c>
      <c r="D1015">
        <v>68</v>
      </c>
      <c r="E1015">
        <v>50</v>
      </c>
      <c r="F1015">
        <v>18</v>
      </c>
      <c r="G1015">
        <v>2</v>
      </c>
      <c r="H1015" s="1">
        <v>1.2731481481481483E-3</v>
      </c>
      <c r="I1015">
        <v>2023</v>
      </c>
      <c r="J1015" t="s">
        <v>83</v>
      </c>
      <c r="K1015" s="2" t="str">
        <f>HYPERLINK("https://www.nba.com/stats/events?CFID=&amp;CFPARAMS=&amp;GameEventID=338&amp;GameID=0022300264&amp;Season=2023-24&amp;flag=1&amp;title=Leonard%2024'%203PT%20pullup%20(14%20PTS)", "24' 3PT pullup (14 PTS)")</f>
        <v>24' 3PT pullup (14 PTS)</v>
      </c>
      <c r="L1015" s="2" t="str">
        <f>HYPERLINK("https://www.nba.com/game/...-vs-...-0022300264/play-by-play?watchFullGame=true", "LAC vs SAC - Q2 01:50.00")</f>
        <v>LAC vs SAC - Q2 01:50.00</v>
      </c>
      <c r="M1015">
        <v>24.31</v>
      </c>
      <c r="N1015">
        <v>26.76</v>
      </c>
      <c r="O1015">
        <v>22.06</v>
      </c>
      <c r="P1015">
        <v>140</v>
      </c>
      <c r="Q1015">
        <v>199</v>
      </c>
      <c r="R1015">
        <v>26</v>
      </c>
      <c r="S1015">
        <v>22</v>
      </c>
    </row>
    <row r="1016" spans="1:19" hidden="1" x14ac:dyDescent="0.25">
      <c r="A1016">
        <v>22200480</v>
      </c>
      <c r="B1016" t="s">
        <v>18</v>
      </c>
      <c r="C1016" t="s">
        <v>19</v>
      </c>
      <c r="D1016">
        <v>92</v>
      </c>
      <c r="E1016">
        <v>99</v>
      </c>
      <c r="F1016">
        <v>7</v>
      </c>
      <c r="G1016">
        <v>4</v>
      </c>
      <c r="H1016" s="1">
        <v>5.7407407407407407E-3</v>
      </c>
      <c r="I1016">
        <v>2022</v>
      </c>
      <c r="J1016" t="s">
        <v>83</v>
      </c>
      <c r="K1016" s="2" t="str">
        <f>HYPERLINK("https://www.nba.com/stats/events?CFID=&amp;CFPARAMS=&amp;GameEventID=491&amp;GameID=0022200480&amp;Season=2022-23&amp;flag=1&amp;title=Leonard%2022'%20pullup%20Jump%20Shot%20(21%20PTS)%20(N.%20Powell%204%20AST)", "22' pullup Jump Shot (21 PTS) (N. Powell 4 AST)")</f>
        <v>22' pullup Jump Shot (21 PTS) (N. Powell 4 AST)</v>
      </c>
      <c r="L1016" s="2" t="str">
        <f>HYPERLINK("https://www.nba.com/game/...-vs-...-0022200480/play-by-play?watchFullGame=true", "LAC vs PHI - Q4 08:16.00")</f>
        <v>LAC vs PHI - Q4 08:16.00</v>
      </c>
      <c r="M1016">
        <v>22.28</v>
      </c>
      <c r="N1016">
        <v>26.33</v>
      </c>
      <c r="O1016">
        <v>28.43</v>
      </c>
      <c r="P1016">
        <v>108</v>
      </c>
      <c r="Q1016">
        <v>195</v>
      </c>
      <c r="R1016">
        <v>26</v>
      </c>
      <c r="S1016">
        <v>28</v>
      </c>
    </row>
    <row r="1017" spans="1:19" hidden="1" x14ac:dyDescent="0.25">
      <c r="A1017">
        <v>21900516</v>
      </c>
      <c r="B1017" t="s">
        <v>18</v>
      </c>
      <c r="C1017" t="s">
        <v>84</v>
      </c>
      <c r="D1017">
        <v>85</v>
      </c>
      <c r="E1017">
        <v>73</v>
      </c>
      <c r="F1017">
        <v>12</v>
      </c>
      <c r="G1017">
        <v>3</v>
      </c>
      <c r="H1017" s="1">
        <v>4.2129629629629626E-3</v>
      </c>
      <c r="I1017">
        <v>2019</v>
      </c>
      <c r="J1017" t="s">
        <v>83</v>
      </c>
      <c r="K1017" s="2" t="str">
        <f>HYPERLINK("https://www.nba.com/stats/events?CFID=&amp;CFPARAMS=&amp;GameEventID=442&amp;GameID=0021900516&amp;Season=2019-20&amp;flag=1&amp;title=Leonard%2021'%20jumpshot%20(18%20PTS)", "21' jumpshot (18 PTS)")</f>
        <v>21' jumpshot (18 PTS)</v>
      </c>
      <c r="L1017" s="2" t="str">
        <f>HYPERLINK("https://www.nba.com/game/...-vs-...-0021900516/play-by-play?watchFullGame=true", "LAC vs DET - Q3 06:04.00")</f>
        <v>LAC vs DET - Q3 06:04.00</v>
      </c>
      <c r="M1017">
        <v>21.25</v>
      </c>
      <c r="N1017">
        <v>26.86</v>
      </c>
      <c r="O1017">
        <v>39.15</v>
      </c>
      <c r="P1017">
        <v>54</v>
      </c>
      <c r="Q1017">
        <v>200</v>
      </c>
      <c r="R1017">
        <v>26</v>
      </c>
      <c r="S1017">
        <v>39</v>
      </c>
    </row>
    <row r="1018" spans="1:19" hidden="1" x14ac:dyDescent="0.25">
      <c r="A1018">
        <v>21901241</v>
      </c>
      <c r="B1018" t="s">
        <v>18</v>
      </c>
      <c r="C1018" t="s">
        <v>84</v>
      </c>
      <c r="D1018">
        <v>14</v>
      </c>
      <c r="E1018">
        <v>5</v>
      </c>
      <c r="F1018">
        <v>9</v>
      </c>
      <c r="G1018">
        <v>1</v>
      </c>
      <c r="H1018" s="1">
        <v>6.1805555555555555E-3</v>
      </c>
      <c r="I1018">
        <v>2019</v>
      </c>
      <c r="J1018" t="s">
        <v>83</v>
      </c>
      <c r="K1018" s="2" t="str">
        <f>HYPERLINK("https://www.nba.com/stats/events?CFID=&amp;CFPARAMS=&amp;GameEventID=31&amp;GameID=0021901241&amp;Season=2019-20&amp;flag=1&amp;title=Leonard%2020'%20jumpshot%20(2%20PTS)%20(I.%20Zubac%202%20AST)", "20' jumpshot (2 PTS) (I. Zubac 2 AST)")</f>
        <v>20' jumpshot (2 PTS) (I. Zubac 2 AST)</v>
      </c>
      <c r="L1018" s="2" t="str">
        <f>HYPERLINK("https://www.nba.com/game/...-vs-...-0021901241/play-by-play?watchFullGame=true", "LAC vs NOP - Q1 08:54.00")</f>
        <v>LAC vs NOP - Q1 08:54.00</v>
      </c>
      <c r="M1018">
        <v>20.36</v>
      </c>
      <c r="N1018">
        <v>26.23</v>
      </c>
      <c r="O1018">
        <v>41.98</v>
      </c>
      <c r="P1018">
        <v>40</v>
      </c>
      <c r="Q1018">
        <v>194</v>
      </c>
      <c r="R1018">
        <v>26</v>
      </c>
      <c r="S1018">
        <v>41</v>
      </c>
    </row>
    <row r="1019" spans="1:19" hidden="1" x14ac:dyDescent="0.25">
      <c r="A1019">
        <v>22000105</v>
      </c>
      <c r="B1019" t="s">
        <v>18</v>
      </c>
      <c r="C1019" t="s">
        <v>19</v>
      </c>
      <c r="D1019">
        <v>35</v>
      </c>
      <c r="E1019">
        <v>57</v>
      </c>
      <c r="F1019">
        <v>22</v>
      </c>
      <c r="G1019">
        <v>2</v>
      </c>
      <c r="H1019" s="1">
        <v>2.9282407407407408E-3</v>
      </c>
      <c r="I1019">
        <v>2020</v>
      </c>
      <c r="J1019" t="s">
        <v>83</v>
      </c>
      <c r="K1019" s="2" t="str">
        <f>HYPERLINK("https://www.nba.com/stats/events?CFID=&amp;CFPARAMS=&amp;GameEventID=257&amp;GameID=0022000105&amp;Season=2020-21&amp;flag=1&amp;title=Leonard%2019'%20step%20back%20Jump%20Shot%20(8%20PTS)%20(P.%20Beverley%203%20AST)", "19' step back Jump Shot (8 PTS) (P. Beverley 3 AST)")</f>
        <v>19' step back Jump Shot (8 PTS) (P. Beverley 3 AST)</v>
      </c>
      <c r="L1019" s="2" t="str">
        <f>HYPERLINK("https://www.nba.com/game/...-vs-...-0022000105/play-by-play?watchFullGame=true", "LAC vs SAS - Q2 04:13.00")</f>
        <v>LAC vs SAS - Q2 04:13.00</v>
      </c>
      <c r="M1019">
        <v>19.899999999999999</v>
      </c>
      <c r="N1019">
        <v>26.76</v>
      </c>
      <c r="O1019">
        <v>50.56</v>
      </c>
      <c r="P1019">
        <v>-3</v>
      </c>
      <c r="Q1019">
        <v>199</v>
      </c>
      <c r="R1019">
        <v>26</v>
      </c>
      <c r="S1019">
        <v>50</v>
      </c>
    </row>
    <row r="1020" spans="1:19" hidden="1" x14ac:dyDescent="0.25">
      <c r="A1020">
        <v>22400646</v>
      </c>
      <c r="B1020" t="s">
        <v>26</v>
      </c>
      <c r="C1020" t="s">
        <v>19</v>
      </c>
      <c r="D1020">
        <v>65</v>
      </c>
      <c r="E1020">
        <v>65</v>
      </c>
      <c r="F1020">
        <v>0</v>
      </c>
      <c r="G1020">
        <v>3</v>
      </c>
      <c r="H1020" s="1">
        <v>6.5509259259259262E-3</v>
      </c>
      <c r="I1020">
        <v>2024</v>
      </c>
      <c r="J1020" t="s">
        <v>83</v>
      </c>
      <c r="K1020" s="2" t="str">
        <f>HYPERLINK("https://www.nba.com/stats/events?CFID=&amp;CFPARAMS=&amp;GameEventID=376&amp;GameID=0022400646&amp;Season=2024-25&amp;flag=1&amp;title=Leonard%2028'%203PT%20pullup%20(16%20PTS)", "28' 3PT pullup (16 PTS)")</f>
        <v>28' 3PT pullup (16 PTS)</v>
      </c>
      <c r="L1020" s="2" t="str">
        <f>HYPERLINK("https://www.nba.com/game/...-vs-...-0022400646/play-by-play?watchFullGame=true", "LAC vs MIL - Q3 09:26.00")</f>
        <v>LAC vs MIL - Q3 09:26.00</v>
      </c>
      <c r="M1020">
        <v>28.15</v>
      </c>
      <c r="N1020">
        <v>27.68</v>
      </c>
      <c r="O1020">
        <v>12.01</v>
      </c>
      <c r="P1020">
        <v>190</v>
      </c>
      <c r="Q1020">
        <v>208</v>
      </c>
      <c r="R1020">
        <v>27</v>
      </c>
      <c r="S1020">
        <v>12</v>
      </c>
    </row>
    <row r="1021" spans="1:19" hidden="1" x14ac:dyDescent="0.25">
      <c r="A1021">
        <v>21900436</v>
      </c>
      <c r="B1021" t="s">
        <v>26</v>
      </c>
      <c r="C1021" t="s">
        <v>84</v>
      </c>
      <c r="D1021">
        <v>12</v>
      </c>
      <c r="E1021">
        <v>11</v>
      </c>
      <c r="F1021">
        <v>1</v>
      </c>
      <c r="G1021">
        <v>1</v>
      </c>
      <c r="H1021" s="1">
        <v>5.1967592592592595E-3</v>
      </c>
      <c r="I1021">
        <v>2019</v>
      </c>
      <c r="J1021" t="s">
        <v>83</v>
      </c>
      <c r="K1021" s="2" t="str">
        <f>HYPERLINK("https://www.nba.com/stats/events?CFID=&amp;CFPARAMS=&amp;GameEventID=52&amp;GameID=0021900436&amp;Season=2019-20&amp;flag=1&amp;title=Leonard%2027'%203PT%20%20(7%20PTS)%20(P.%20Beverley%202%20AST)", "27' 3PT  (7 PTS) (P. Beverley 2 AST)")</f>
        <v>27' 3PT  (7 PTS) (P. Beverley 2 AST)</v>
      </c>
      <c r="L1021" s="2" t="str">
        <f>HYPERLINK("https://www.nba.com/game/...-vs-...-0021900436/play-by-play?watchFullGame=true", "LAC vs SAS - Q1 07:29.00")</f>
        <v>LAC vs SAS - Q1 07:29.00</v>
      </c>
      <c r="M1021">
        <v>27.35</v>
      </c>
      <c r="N1021">
        <v>27.15</v>
      </c>
      <c r="O1021">
        <v>14.53</v>
      </c>
      <c r="P1021">
        <v>177</v>
      </c>
      <c r="Q1021">
        <v>203</v>
      </c>
      <c r="R1021">
        <v>27</v>
      </c>
      <c r="S1021">
        <v>14</v>
      </c>
    </row>
    <row r="1022" spans="1:19" hidden="1" x14ac:dyDescent="0.25">
      <c r="A1022">
        <v>41900235</v>
      </c>
      <c r="B1022" t="s">
        <v>26</v>
      </c>
      <c r="C1022" t="s">
        <v>84</v>
      </c>
      <c r="D1022">
        <v>103</v>
      </c>
      <c r="E1022">
        <v>107</v>
      </c>
      <c r="F1022">
        <v>4</v>
      </c>
      <c r="G1022">
        <v>4</v>
      </c>
      <c r="H1022" s="1">
        <v>2.8703703703703703E-4</v>
      </c>
      <c r="I1022" t="s">
        <v>85</v>
      </c>
      <c r="J1022" t="s">
        <v>83</v>
      </c>
      <c r="K1022" s="2" t="str">
        <f>HYPERLINK("https://www.nba.com/stats/events?CFID=&amp;CFPARAMS=&amp;GameEventID=638&amp;GameID=0041900235&amp;Season=2019-20&amp;flag=1&amp;title=Leonard%2027'%203PT%20%20(36%20PTS)%20(P.%20George%206%20AST)", "27' 3PT  (36 PTS) (P. George 6 AST)")</f>
        <v>27' 3PT  (36 PTS) (P. George 6 AST)</v>
      </c>
      <c r="L1022" s="2" t="str">
        <f>HYPERLINK("https://www.nba.com/game/...-vs-...-0041900235/play-by-play?watchFullGame=true", "LAC vs DEN - Q4 00:24.80")</f>
        <v>LAC vs DEN - Q4 00:24.80</v>
      </c>
      <c r="M1022">
        <v>27.23</v>
      </c>
      <c r="N1022">
        <v>27.94</v>
      </c>
      <c r="O1022">
        <v>16.739999999999998</v>
      </c>
      <c r="P1022">
        <v>166</v>
      </c>
      <c r="Q1022">
        <v>210</v>
      </c>
      <c r="R1022">
        <v>27</v>
      </c>
      <c r="S1022">
        <v>16</v>
      </c>
    </row>
    <row r="1023" spans="1:19" hidden="1" x14ac:dyDescent="0.25">
      <c r="A1023">
        <v>21901258</v>
      </c>
      <c r="B1023" t="s">
        <v>26</v>
      </c>
      <c r="C1023" t="s">
        <v>84</v>
      </c>
      <c r="D1023">
        <v>56</v>
      </c>
      <c r="E1023">
        <v>63</v>
      </c>
      <c r="F1023">
        <v>7</v>
      </c>
      <c r="G1023">
        <v>2</v>
      </c>
      <c r="H1023" s="1">
        <v>2.199074074074074E-5</v>
      </c>
      <c r="I1023">
        <v>2019</v>
      </c>
      <c r="J1023" t="s">
        <v>83</v>
      </c>
      <c r="K1023" s="2" t="str">
        <f>HYPERLINK("https://www.nba.com/stats/events?CFID=&amp;CFPARAMS=&amp;GameEventID=295&amp;GameID=0021901258&amp;Season=2019-20&amp;flag=1&amp;title=Leonard%2026'%203PT%20%20(10%20PTS)", "26' 3PT  (10 PTS)")</f>
        <v>26' 3PT  (10 PTS)</v>
      </c>
      <c r="L1023" s="2" t="str">
        <f>HYPERLINK("https://www.nba.com/game/...-vs-...-0021901258/play-by-play?watchFullGame=true", "LAC vs PHX - Q2 00:01.90")</f>
        <v>LAC vs PHX - Q2 00:01.90</v>
      </c>
      <c r="M1023">
        <v>25.74</v>
      </c>
      <c r="N1023">
        <v>27.68</v>
      </c>
      <c r="O1023">
        <v>21.15</v>
      </c>
      <c r="P1023">
        <v>144</v>
      </c>
      <c r="Q1023">
        <v>208</v>
      </c>
      <c r="R1023">
        <v>27</v>
      </c>
      <c r="S1023">
        <v>21</v>
      </c>
    </row>
    <row r="1024" spans="1:19" hidden="1" x14ac:dyDescent="0.25">
      <c r="A1024">
        <v>22000601</v>
      </c>
      <c r="B1024" t="s">
        <v>26</v>
      </c>
      <c r="C1024" t="s">
        <v>19</v>
      </c>
      <c r="D1024">
        <v>22</v>
      </c>
      <c r="E1024">
        <v>34</v>
      </c>
      <c r="F1024">
        <v>12</v>
      </c>
      <c r="G1024">
        <v>1</v>
      </c>
      <c r="H1024" s="1">
        <v>9.3749999999999997E-4</v>
      </c>
      <c r="I1024">
        <v>2020</v>
      </c>
      <c r="J1024" t="s">
        <v>83</v>
      </c>
      <c r="K1024" s="2" t="str">
        <f>HYPERLINK("https://www.nba.com/stats/events?CFID=&amp;CFPARAMS=&amp;GameEventID=147&amp;GameID=0022000601&amp;Season=2020-21&amp;flag=1&amp;title=Leonard%2025'%203PT%20pullup%20(7%20PTS)", "25' 3PT pullup (7 PTS)")</f>
        <v>25' 3PT pullup (7 PTS)</v>
      </c>
      <c r="L1024" s="2" t="str">
        <f>HYPERLINK("https://www.nba.com/game/...-vs-...-0022000601/play-by-play?watchFullGame=true", "LAC vs NOP - Q1 01:21.00")</f>
        <v>LAC vs NOP - Q1 01:21.00</v>
      </c>
      <c r="M1024">
        <v>25.74</v>
      </c>
      <c r="N1024">
        <v>27.02</v>
      </c>
      <c r="O1024">
        <v>17.96</v>
      </c>
      <c r="P1024">
        <v>160</v>
      </c>
      <c r="Q1024">
        <v>201</v>
      </c>
      <c r="R1024">
        <v>27</v>
      </c>
      <c r="S1024">
        <v>17</v>
      </c>
    </row>
    <row r="1025" spans="1:19" hidden="1" x14ac:dyDescent="0.25">
      <c r="A1025">
        <v>42000172</v>
      </c>
      <c r="B1025" t="s">
        <v>26</v>
      </c>
      <c r="C1025" t="s">
        <v>19</v>
      </c>
      <c r="D1025">
        <v>114</v>
      </c>
      <c r="E1025">
        <v>120</v>
      </c>
      <c r="F1025">
        <v>6</v>
      </c>
      <c r="G1025">
        <v>4</v>
      </c>
      <c r="H1025" s="1">
        <v>1.2268518518518518E-3</v>
      </c>
      <c r="I1025" t="s">
        <v>91</v>
      </c>
      <c r="J1025" t="s">
        <v>83</v>
      </c>
      <c r="K1025" s="2" t="str">
        <f>HYPERLINK("https://www.nba.com/stats/events?CFID=&amp;CFPARAMS=&amp;GameEventID=592&amp;GameID=0042000172&amp;Season=2020-21&amp;flag=1&amp;title=Leonard%2024'%203PT%20%20(41%20PTS)%20(P.%20George%205%20AST)", "24' 3PT  (41 PTS) (P. George 5 AST)")</f>
        <v>24' 3PT  (41 PTS) (P. George 5 AST)</v>
      </c>
      <c r="L1025" s="2" t="str">
        <f>HYPERLINK("https://www.nba.com/game/...-vs-...-0042000172/play-by-play?watchFullGame=true", "LAC vs DAL - Q4 01:46.00")</f>
        <v>LAC vs DAL - Q4 01:46.00</v>
      </c>
      <c r="M1025">
        <v>24.92</v>
      </c>
      <c r="N1025">
        <v>27.15</v>
      </c>
      <c r="O1025">
        <v>78.989999999999995</v>
      </c>
      <c r="P1025">
        <v>27</v>
      </c>
      <c r="Q1025">
        <v>78</v>
      </c>
      <c r="R1025">
        <v>27</v>
      </c>
      <c r="S1025">
        <v>78</v>
      </c>
    </row>
    <row r="1026" spans="1:19" hidden="1" x14ac:dyDescent="0.25">
      <c r="A1026">
        <v>22301225</v>
      </c>
      <c r="B1026" t="s">
        <v>26</v>
      </c>
      <c r="C1026" t="s">
        <v>19</v>
      </c>
      <c r="D1026">
        <v>86</v>
      </c>
      <c r="E1026">
        <v>69</v>
      </c>
      <c r="F1026">
        <v>17</v>
      </c>
      <c r="G1026">
        <v>3</v>
      </c>
      <c r="H1026" s="1">
        <v>1.6898148148148148E-3</v>
      </c>
      <c r="I1026">
        <v>2023</v>
      </c>
      <c r="J1026" t="s">
        <v>83</v>
      </c>
      <c r="K1026" s="2" t="str">
        <f>HYPERLINK("https://www.nba.com/stats/events?CFID=&amp;CFPARAMS=&amp;GameEventID=463&amp;GameID=0022301225&amp;Season=2023-24&amp;flag=1&amp;title=Leonard%2024'%203PT%20pullup%20(32%20PTS)", "24' 3PT pullup (32 PTS)")</f>
        <v>24' 3PT pullup (32 PTS)</v>
      </c>
      <c r="L1026" s="2" t="str">
        <f>HYPERLINK("https://www.nba.com/game/...-vs-...-0022301225/play-by-play?watchFullGame=true", "LAC vs UTA - Q3 02:26.00")</f>
        <v>LAC vs UTA - Q3 02:26.00</v>
      </c>
      <c r="M1026">
        <v>24.32</v>
      </c>
      <c r="N1026">
        <v>27.55</v>
      </c>
      <c r="O1026">
        <v>75.739999999999995</v>
      </c>
      <c r="P1026">
        <v>-129</v>
      </c>
      <c r="Q1026">
        <v>206</v>
      </c>
      <c r="R1026">
        <v>27</v>
      </c>
      <c r="S1026">
        <v>75</v>
      </c>
    </row>
    <row r="1027" spans="1:19" hidden="1" x14ac:dyDescent="0.25">
      <c r="A1027">
        <v>22200525</v>
      </c>
      <c r="B1027" t="s">
        <v>18</v>
      </c>
      <c r="C1027" t="s">
        <v>19</v>
      </c>
      <c r="D1027">
        <v>104</v>
      </c>
      <c r="E1027">
        <v>112</v>
      </c>
      <c r="F1027">
        <v>8</v>
      </c>
      <c r="G1027">
        <v>4</v>
      </c>
      <c r="H1027" s="1">
        <v>1.8518518518518519E-3</v>
      </c>
      <c r="I1027">
        <v>2022</v>
      </c>
      <c r="J1027" t="s">
        <v>83</v>
      </c>
      <c r="K1027" s="2" t="str">
        <f>HYPERLINK("https://www.nba.com/stats/events?CFID=&amp;CFPARAMS=&amp;GameEventID=579&amp;GameID=0022200525&amp;Season=2022-23&amp;flag=1&amp;title=Leonard%2023'%20Jump%20Shot%20(24%20PTS)", "23' Jump Shot (24 PTS)")</f>
        <v>23' Jump Shot (24 PTS)</v>
      </c>
      <c r="L1027" s="2" t="str">
        <f>HYPERLINK("https://www.nba.com/game/...-vs-...-0022200525/play-by-play?watchFullGame=true", "LAC vs BOS - Q4 02:40.00")</f>
        <v>LAC vs BOS - Q4 02:40.00</v>
      </c>
      <c r="M1027">
        <v>23.07</v>
      </c>
      <c r="N1027">
        <v>27.68</v>
      </c>
      <c r="O1027">
        <v>29.9</v>
      </c>
      <c r="P1027">
        <v>100</v>
      </c>
      <c r="Q1027">
        <v>208</v>
      </c>
      <c r="R1027">
        <v>27</v>
      </c>
      <c r="S1027">
        <v>29</v>
      </c>
    </row>
    <row r="1028" spans="1:19" hidden="1" x14ac:dyDescent="0.25">
      <c r="A1028">
        <v>21900239</v>
      </c>
      <c r="B1028" t="s">
        <v>18</v>
      </c>
      <c r="C1028" t="s">
        <v>84</v>
      </c>
      <c r="D1028">
        <v>86</v>
      </c>
      <c r="E1028">
        <v>78</v>
      </c>
      <c r="F1028">
        <v>8</v>
      </c>
      <c r="G1028">
        <v>3</v>
      </c>
      <c r="H1028" s="1">
        <v>4.0393518518518521E-3</v>
      </c>
      <c r="I1028">
        <v>2019</v>
      </c>
      <c r="J1028" t="s">
        <v>83</v>
      </c>
      <c r="K1028" s="2" t="str">
        <f>HYPERLINK("https://www.nba.com/stats/events?CFID=&amp;CFPARAMS=&amp;GameEventID=445&amp;GameID=0021900239&amp;Season=2019-20&amp;flag=1&amp;title=Leonard%2021'%20jumpshot%20(22%20PTS)", "21' jumpshot (22 PTS)")</f>
        <v>21' jumpshot (22 PTS)</v>
      </c>
      <c r="L1028" s="2" t="str">
        <f>HYPERLINK("https://www.nba.com/game/...-vs-...-0021900239/play-by-play?watchFullGame=true", "LAC vs NOP - Q3 05:49.00")</f>
        <v>LAC vs NOP - Q3 05:49.00</v>
      </c>
      <c r="M1028">
        <v>21.13</v>
      </c>
      <c r="N1028">
        <v>27.38</v>
      </c>
      <c r="O1028">
        <v>46.01</v>
      </c>
      <c r="P1028">
        <v>20</v>
      </c>
      <c r="Q1028">
        <v>205</v>
      </c>
      <c r="R1028">
        <v>27</v>
      </c>
      <c r="S1028">
        <v>46</v>
      </c>
    </row>
    <row r="1029" spans="1:19" hidden="1" x14ac:dyDescent="0.25">
      <c r="A1029">
        <v>42000176</v>
      </c>
      <c r="B1029" t="s">
        <v>18</v>
      </c>
      <c r="C1029" t="s">
        <v>19</v>
      </c>
      <c r="D1029">
        <v>92</v>
      </c>
      <c r="E1029">
        <v>88</v>
      </c>
      <c r="F1029">
        <v>4</v>
      </c>
      <c r="G1029">
        <v>4</v>
      </c>
      <c r="H1029" s="1">
        <v>2.1296296296296298E-3</v>
      </c>
      <c r="I1029" t="s">
        <v>91</v>
      </c>
      <c r="J1029" t="s">
        <v>83</v>
      </c>
      <c r="K1029" s="2" t="str">
        <f>HYPERLINK("https://www.nba.com/stats/events?CFID=&amp;CFPARAMS=&amp;GameEventID=581&amp;GameID=0042000176&amp;Season=2020-21&amp;flag=1&amp;title=Leonard%2020'%20pullup%20Jump%20Shot%20(39%20PTS)", "20' pullup Jump Shot (39 PTS)")</f>
        <v>20' pullup Jump Shot (39 PTS)</v>
      </c>
      <c r="L1029" s="2" t="str">
        <f>HYPERLINK("https://www.nba.com/game/...-vs-...-0042000176/play-by-play?watchFullGame=true", "LAC vs DAL - Q4 03:04.00")</f>
        <v>LAC vs DAL - Q4 03:04.00</v>
      </c>
      <c r="M1029">
        <v>20.7</v>
      </c>
      <c r="N1029">
        <v>27.55</v>
      </c>
      <c r="O1029">
        <v>46.88</v>
      </c>
      <c r="P1029">
        <v>27</v>
      </c>
      <c r="Q1029">
        <v>46</v>
      </c>
      <c r="R1029">
        <v>27</v>
      </c>
      <c r="S1029">
        <v>46</v>
      </c>
    </row>
    <row r="1030" spans="1:19" hidden="1" x14ac:dyDescent="0.25">
      <c r="A1030">
        <v>22000188</v>
      </c>
      <c r="B1030" t="s">
        <v>18</v>
      </c>
      <c r="C1030" t="s">
        <v>19</v>
      </c>
      <c r="D1030">
        <v>101</v>
      </c>
      <c r="E1030">
        <v>71</v>
      </c>
      <c r="F1030">
        <v>30</v>
      </c>
      <c r="G1030">
        <v>3</v>
      </c>
      <c r="H1030" s="1">
        <v>1.6203703703703703E-3</v>
      </c>
      <c r="I1030">
        <v>2020</v>
      </c>
      <c r="J1030" t="s">
        <v>83</v>
      </c>
      <c r="K1030" s="2" t="str">
        <f>HYPERLINK("https://www.nba.com/stats/events?CFID=&amp;CFPARAMS=&amp;GameEventID=438&amp;GameID=0022000188&amp;Season=2020-21&amp;flag=1&amp;title=Leonard%2022'%20Jump%20Shot%20(27%20PTS)", "22' Jump Shot (27 PTS)")</f>
        <v>22' Jump Shot (27 PTS)</v>
      </c>
      <c r="L1030" s="2" t="str">
        <f>HYPERLINK("https://www.nba.com/game/...-vs-...-0022000188/play-by-play?watchFullGame=true", "LAC vs SAC - Q3 02:20.00")</f>
        <v>LAC vs SAC - Q3 02:20.00</v>
      </c>
      <c r="M1030">
        <v>22.42</v>
      </c>
      <c r="N1030">
        <v>27.02</v>
      </c>
      <c r="O1030">
        <v>69.680000000000007</v>
      </c>
      <c r="P1030">
        <v>-98</v>
      </c>
      <c r="Q1030">
        <v>201</v>
      </c>
      <c r="R1030">
        <v>27</v>
      </c>
      <c r="S1030">
        <v>69</v>
      </c>
    </row>
    <row r="1031" spans="1:19" hidden="1" x14ac:dyDescent="0.25">
      <c r="A1031">
        <v>22000576</v>
      </c>
      <c r="B1031" t="s">
        <v>26</v>
      </c>
      <c r="C1031" t="s">
        <v>19</v>
      </c>
      <c r="D1031">
        <v>96</v>
      </c>
      <c r="E1031">
        <v>63</v>
      </c>
      <c r="F1031">
        <v>33</v>
      </c>
      <c r="G1031">
        <v>3</v>
      </c>
      <c r="H1031" s="1">
        <v>1.4004629629629629E-3</v>
      </c>
      <c r="I1031">
        <v>2020</v>
      </c>
      <c r="J1031" t="s">
        <v>83</v>
      </c>
      <c r="K1031" s="2" t="str">
        <f>HYPERLINK("https://www.nba.com/stats/events?CFID=&amp;CFPARAMS=&amp;GameEventID=496&amp;GameID=0022000576&amp;Season=2020-21&amp;flag=1&amp;title=Leonard%2027'%203PT%20pullup%20(28%20PTS)", "27' 3PT pullup (28 PTS)")</f>
        <v>27' 3PT pullup (28 PTS)</v>
      </c>
      <c r="L1031" s="2" t="str">
        <f>HYPERLINK("https://www.nba.com/game/...-vs-...-0022000576/play-by-play?watchFullGame=true", "LAC vs GSW - Q3 02:01.00")</f>
        <v>LAC vs GSW - Q3 02:01.00</v>
      </c>
      <c r="M1031">
        <v>27.29</v>
      </c>
      <c r="N1031">
        <v>28.99</v>
      </c>
      <c r="O1031">
        <v>17.72</v>
      </c>
      <c r="P1031">
        <v>161</v>
      </c>
      <c r="Q1031">
        <v>220</v>
      </c>
      <c r="R1031">
        <v>28</v>
      </c>
      <c r="S1031">
        <v>17</v>
      </c>
    </row>
    <row r="1032" spans="1:19" hidden="1" x14ac:dyDescent="0.25">
      <c r="A1032">
        <v>42000176</v>
      </c>
      <c r="B1032" t="s">
        <v>26</v>
      </c>
      <c r="C1032" t="s">
        <v>19</v>
      </c>
      <c r="D1032">
        <v>95</v>
      </c>
      <c r="E1032">
        <v>88</v>
      </c>
      <c r="F1032">
        <v>7</v>
      </c>
      <c r="G1032">
        <v>4</v>
      </c>
      <c r="H1032" s="1">
        <v>1.6203703703703703E-3</v>
      </c>
      <c r="I1032" t="s">
        <v>91</v>
      </c>
      <c r="J1032" t="s">
        <v>83</v>
      </c>
      <c r="K1032" s="2" t="str">
        <f>HYPERLINK("https://www.nba.com/stats/events?CFID=&amp;CFPARAMS=&amp;GameEventID=584&amp;GameID=0042000176&amp;Season=2020-21&amp;flag=1&amp;title=Leonard%2026'%203PT%20step%20back%20(42%20PTS)", "26' 3PT step back (42 PTS)")</f>
        <v>26' 3PT step back (42 PTS)</v>
      </c>
      <c r="L1032" s="2" t="str">
        <f>HYPERLINK("https://www.nba.com/game/...-vs-...-0042000176/play-by-play?watchFullGame=true", "LAC vs DAL - Q4 02:20.00")</f>
        <v>LAC vs DAL - Q4 02:20.00</v>
      </c>
      <c r="M1032">
        <v>26.94</v>
      </c>
      <c r="N1032">
        <v>28.07</v>
      </c>
      <c r="O1032">
        <v>83.4</v>
      </c>
      <c r="P1032">
        <v>28</v>
      </c>
      <c r="Q1032">
        <v>83</v>
      </c>
      <c r="R1032">
        <v>28</v>
      </c>
      <c r="S1032">
        <v>83</v>
      </c>
    </row>
    <row r="1033" spans="1:19" hidden="1" x14ac:dyDescent="0.25">
      <c r="A1033">
        <v>22300749</v>
      </c>
      <c r="B1033" t="s">
        <v>26</v>
      </c>
      <c r="C1033" t="s">
        <v>19</v>
      </c>
      <c r="D1033">
        <v>70</v>
      </c>
      <c r="E1033">
        <v>77</v>
      </c>
      <c r="F1033">
        <v>7</v>
      </c>
      <c r="G1033">
        <v>3</v>
      </c>
      <c r="H1033" s="1">
        <v>1.9791666666666668E-3</v>
      </c>
      <c r="I1033">
        <v>2023</v>
      </c>
      <c r="J1033" t="s">
        <v>83</v>
      </c>
      <c r="K1033" s="2" t="str">
        <f>HYPERLINK("https://www.nba.com/stats/events?CFID=&amp;CFPARAMS=&amp;GameEventID=419&amp;GameID=0022300749&amp;Season=2023-24&amp;flag=1&amp;title=Leonard%2026'%203PT%20pullup%20(18%20PTS)", "26' 3PT pullup (18 PTS)")</f>
        <v>26' 3PT pullup (18 PTS)</v>
      </c>
      <c r="L1033" s="2" t="str">
        <f>HYPERLINK("https://www.nba.com/game/...-vs-...-0022300749/play-by-play?watchFullGame=true", "LAC vs DET - Q3 02:51.00")</f>
        <v>LAC vs DET - Q3 02:51.00</v>
      </c>
      <c r="M1033">
        <v>26.7</v>
      </c>
      <c r="N1033">
        <v>28.47</v>
      </c>
      <c r="O1033">
        <v>18.38</v>
      </c>
      <c r="P1033">
        <v>158</v>
      </c>
      <c r="Q1033">
        <v>215</v>
      </c>
      <c r="R1033">
        <v>28</v>
      </c>
      <c r="S1033">
        <v>18</v>
      </c>
    </row>
    <row r="1034" spans="1:19" hidden="1" x14ac:dyDescent="0.25">
      <c r="A1034">
        <v>22400859</v>
      </c>
      <c r="B1034" t="s">
        <v>26</v>
      </c>
      <c r="C1034" t="s">
        <v>19</v>
      </c>
      <c r="D1034">
        <v>72</v>
      </c>
      <c r="E1034">
        <v>69</v>
      </c>
      <c r="F1034">
        <v>3</v>
      </c>
      <c r="G1034">
        <v>3</v>
      </c>
      <c r="H1034" s="1">
        <v>2.8356481481481483E-3</v>
      </c>
      <c r="I1034">
        <v>2024</v>
      </c>
      <c r="J1034" t="s">
        <v>83</v>
      </c>
      <c r="K1034" s="2" t="str">
        <f>HYPERLINK("https://www.nba.com/stats/events?CFID=&amp;CFPARAMS=&amp;GameEventID=390&amp;GameID=0022400859&amp;Season=2024-25&amp;flag=1&amp;title=Leonard%2026'%203PT%20%20(16%20PTS)%20(A.%20Coffey%202%20AST)", "26' 3PT  (16 PTS) (A. Coffey 2 AST)")</f>
        <v>26' 3PT  (16 PTS) (A. Coffey 2 AST)</v>
      </c>
      <c r="L1034" s="2" t="str">
        <f>HYPERLINK("https://www.nba.com/game/...-vs-...-0022400859/play-by-play?watchFullGame=true", "LAC vs LAL - Q3 04:05.00")</f>
        <v>LAC vs LAL - Q3 04:05.00</v>
      </c>
      <c r="M1034">
        <v>26.46</v>
      </c>
      <c r="N1034">
        <v>28.91</v>
      </c>
      <c r="O1034">
        <v>79.63</v>
      </c>
      <c r="P1034">
        <v>-148</v>
      </c>
      <c r="Q1034">
        <v>219</v>
      </c>
      <c r="R1034">
        <v>28</v>
      </c>
      <c r="S1034">
        <v>79</v>
      </c>
    </row>
    <row r="1035" spans="1:19" hidden="1" x14ac:dyDescent="0.25">
      <c r="A1035">
        <v>22300848</v>
      </c>
      <c r="B1035" t="s">
        <v>26</v>
      </c>
      <c r="C1035" t="s">
        <v>19</v>
      </c>
      <c r="D1035">
        <v>84</v>
      </c>
      <c r="E1035">
        <v>66</v>
      </c>
      <c r="F1035">
        <v>18</v>
      </c>
      <c r="G1035">
        <v>3</v>
      </c>
      <c r="H1035" s="1">
        <v>3.8773148148148148E-3</v>
      </c>
      <c r="I1035">
        <v>2023</v>
      </c>
      <c r="J1035" t="s">
        <v>83</v>
      </c>
      <c r="K1035" s="2" t="str">
        <f>HYPERLINK("https://www.nba.com/stats/events?CFID=&amp;CFPARAMS=&amp;GameEventID=409&amp;GameID=0022300848&amp;Season=2023-24&amp;flag=1&amp;title=Leonard%2026'%203PT%20%20(20%20PTS)%20(J.%20Harden%207%20AST)", "26' 3PT  (20 PTS) (J. Harden 7 AST)")</f>
        <v>26' 3PT  (20 PTS) (J. Harden 7 AST)</v>
      </c>
      <c r="L1035" s="2" t="str">
        <f>HYPERLINK("https://www.nba.com/game/...-vs-...-0022300848/play-by-play?watchFullGame=true", "LAC vs LAL - Q3 05:35.00")</f>
        <v>LAC vs LAL - Q3 05:35.00</v>
      </c>
      <c r="M1035">
        <v>26.34</v>
      </c>
      <c r="N1035">
        <v>28.56</v>
      </c>
      <c r="O1035">
        <v>19.850000000000001</v>
      </c>
      <c r="P1035">
        <v>151</v>
      </c>
      <c r="Q1035">
        <v>216</v>
      </c>
      <c r="R1035">
        <v>28</v>
      </c>
      <c r="S1035">
        <v>19</v>
      </c>
    </row>
    <row r="1036" spans="1:19" hidden="1" x14ac:dyDescent="0.25">
      <c r="A1036">
        <v>21900458</v>
      </c>
      <c r="B1036" t="s">
        <v>26</v>
      </c>
      <c r="C1036" t="s">
        <v>84</v>
      </c>
      <c r="D1036">
        <v>6</v>
      </c>
      <c r="E1036">
        <v>5</v>
      </c>
      <c r="F1036">
        <v>1</v>
      </c>
      <c r="G1036">
        <v>1</v>
      </c>
      <c r="H1036" s="1">
        <v>6.898148148148148E-3</v>
      </c>
      <c r="I1036">
        <v>2019</v>
      </c>
      <c r="J1036" t="s">
        <v>83</v>
      </c>
      <c r="K1036" s="2" t="str">
        <f>HYPERLINK("https://www.nba.com/stats/events?CFID=&amp;CFPARAMS=&amp;GameEventID=23&amp;GameID=0021900458&amp;Season=2019-20&amp;flag=1&amp;title=Leonard%2026'%203PT%20%20(5%20PTS)", "26' 3PT  (5 PTS)")</f>
        <v>26' 3PT  (5 PTS)</v>
      </c>
      <c r="L1036" s="2" t="str">
        <f>HYPERLINK("https://www.nba.com/game/...-vs-...-0021900458/play-by-play?watchFullGame=true", "LAC vs LAL - Q1 09:56.00")</f>
        <v>LAC vs LAL - Q1 09:56.00</v>
      </c>
      <c r="M1036">
        <v>25.96</v>
      </c>
      <c r="N1036">
        <v>28.17</v>
      </c>
      <c r="O1036">
        <v>21.74</v>
      </c>
      <c r="P1036">
        <v>141</v>
      </c>
      <c r="Q1036">
        <v>212</v>
      </c>
      <c r="R1036">
        <v>28</v>
      </c>
      <c r="S1036">
        <v>21</v>
      </c>
    </row>
    <row r="1037" spans="1:19" hidden="1" x14ac:dyDescent="0.25">
      <c r="A1037">
        <v>22300688</v>
      </c>
      <c r="B1037" t="s">
        <v>26</v>
      </c>
      <c r="C1037" t="s">
        <v>19</v>
      </c>
      <c r="D1037">
        <v>75</v>
      </c>
      <c r="E1037">
        <v>67</v>
      </c>
      <c r="F1037">
        <v>8</v>
      </c>
      <c r="G1037">
        <v>3</v>
      </c>
      <c r="H1037" s="1">
        <v>6.5162037037037037E-3</v>
      </c>
      <c r="I1037">
        <v>2023</v>
      </c>
      <c r="J1037" t="s">
        <v>83</v>
      </c>
      <c r="K1037" s="2" t="str">
        <f>HYPERLINK("https://www.nba.com/stats/events?CFID=&amp;CFPARAMS=&amp;GameEventID=350&amp;GameID=0022300688&amp;Season=2023-24&amp;flag=1&amp;title=Leonard%2025'%203PT%20%20(27%20PTS)%20(M.%20Plumlee%201%20AST)", "25' 3PT  (27 PTS) (M. Plumlee 1 AST)")</f>
        <v>25' 3PT  (27 PTS) (M. Plumlee 1 AST)</v>
      </c>
      <c r="L1037" s="2" t="str">
        <f>HYPERLINK("https://www.nba.com/game/...-vs-...-0022300688/play-by-play?watchFullGame=true", "LAC vs DET - Q3 09:23.00")</f>
        <v>LAC vs DET - Q3 09:23.00</v>
      </c>
      <c r="M1037">
        <v>25.8</v>
      </c>
      <c r="N1037">
        <v>28.99</v>
      </c>
      <c r="O1037">
        <v>23.04</v>
      </c>
      <c r="P1037">
        <v>135</v>
      </c>
      <c r="Q1037">
        <v>220</v>
      </c>
      <c r="R1037">
        <v>28</v>
      </c>
      <c r="S1037">
        <v>23</v>
      </c>
    </row>
    <row r="1038" spans="1:19" hidden="1" x14ac:dyDescent="0.25">
      <c r="A1038">
        <v>22200871</v>
      </c>
      <c r="B1038" t="s">
        <v>26</v>
      </c>
      <c r="C1038" t="s">
        <v>19</v>
      </c>
      <c r="D1038">
        <v>69</v>
      </c>
      <c r="E1038">
        <v>69</v>
      </c>
      <c r="F1038">
        <v>0</v>
      </c>
      <c r="G1038">
        <v>3</v>
      </c>
      <c r="H1038" s="1">
        <v>7.3148148148148148E-3</v>
      </c>
      <c r="I1038">
        <v>2022</v>
      </c>
      <c r="J1038" t="s">
        <v>83</v>
      </c>
      <c r="K1038" s="2" t="str">
        <f>HYPERLINK("https://www.nba.com/stats/events?CFID=&amp;CFPARAMS=&amp;GameEventID=350&amp;GameID=0022200871&amp;Season=2022-23&amp;flag=1&amp;title=Leonard%2025'%203PT%20pullup%20(19%20PTS)%20(T.%20Mann%205%20AST)", "25' 3PT pullup (19 PTS) (T. Mann 5 AST)")</f>
        <v>25' 3PT pullup (19 PTS) (T. Mann 5 AST)</v>
      </c>
      <c r="L1038" s="2" t="str">
        <f>HYPERLINK("https://www.nba.com/game/...-vs-...-0022200871/play-by-play?watchFullGame=true", "LAC vs GSW - Q3 10:32.00")</f>
        <v>LAC vs GSW - Q3 10:32.00</v>
      </c>
      <c r="M1038">
        <v>25.73</v>
      </c>
      <c r="N1038">
        <v>28.04</v>
      </c>
      <c r="O1038">
        <v>79.41</v>
      </c>
      <c r="P1038">
        <v>-147</v>
      </c>
      <c r="Q1038">
        <v>211</v>
      </c>
      <c r="R1038">
        <v>28</v>
      </c>
      <c r="S1038">
        <v>79</v>
      </c>
    </row>
    <row r="1039" spans="1:19" hidden="1" x14ac:dyDescent="0.25">
      <c r="A1039">
        <v>22000328</v>
      </c>
      <c r="B1039" t="s">
        <v>26</v>
      </c>
      <c r="C1039" t="s">
        <v>19</v>
      </c>
      <c r="D1039">
        <v>5</v>
      </c>
      <c r="E1039">
        <v>4</v>
      </c>
      <c r="F1039">
        <v>1</v>
      </c>
      <c r="G1039">
        <v>1</v>
      </c>
      <c r="H1039" s="1">
        <v>7.1064814814814819E-3</v>
      </c>
      <c r="I1039">
        <v>2020</v>
      </c>
      <c r="J1039" t="s">
        <v>83</v>
      </c>
      <c r="K1039" s="2" t="str">
        <f>HYPERLINK("https://www.nba.com/stats/events?CFID=&amp;CFPARAMS=&amp;GameEventID=20&amp;GameID=0022000328&amp;Season=2020-21&amp;flag=1&amp;title=Leonard%2025'%203PT%20%20(3%20PTS)%20(Ibaka%201%20AST)", "25' 3PT  (3 PTS) (S. Ibaka 1 AST)")</f>
        <v>25' 3PT  (3 PTS) (S. Ibaka 1 AST)</v>
      </c>
      <c r="L1039" s="2" t="str">
        <f>HYPERLINK("https://www.nba.com/game/...-vs-...-0022000328/play-by-play?watchFullGame=true", "LAC vs CLE - Q1 10:14.00")</f>
        <v>LAC vs CLE - Q1 10:14.00</v>
      </c>
      <c r="M1039">
        <v>25.49</v>
      </c>
      <c r="N1039">
        <v>28.33</v>
      </c>
      <c r="O1039">
        <v>77.77</v>
      </c>
      <c r="P1039">
        <v>-139</v>
      </c>
      <c r="Q1039">
        <v>214</v>
      </c>
      <c r="R1039">
        <v>28</v>
      </c>
      <c r="S1039">
        <v>77</v>
      </c>
    </row>
    <row r="1040" spans="1:19" hidden="1" x14ac:dyDescent="0.25">
      <c r="A1040">
        <v>22001019</v>
      </c>
      <c r="B1040" t="s">
        <v>26</v>
      </c>
      <c r="C1040" t="s">
        <v>19</v>
      </c>
      <c r="D1040">
        <v>90</v>
      </c>
      <c r="E1040">
        <v>96</v>
      </c>
      <c r="F1040">
        <v>6</v>
      </c>
      <c r="G1040">
        <v>4</v>
      </c>
      <c r="H1040" s="1">
        <v>3.0324074074074073E-3</v>
      </c>
      <c r="I1040">
        <v>2020</v>
      </c>
      <c r="J1040" t="s">
        <v>83</v>
      </c>
      <c r="K1040" s="2" t="str">
        <f>HYPERLINK("https://www.nba.com/stats/events?CFID=&amp;CFPARAMS=&amp;GameEventID=499&amp;GameID=0022001019&amp;Season=2020-21&amp;flag=1&amp;title=Leonard%2025'%203PT%20step%20back%20(21%20PTS)", "25' 3PT step back (21 PTS)")</f>
        <v>25' 3PT step back (21 PTS)</v>
      </c>
      <c r="L1040" s="2" t="str">
        <f>HYPERLINK("https://www.nba.com/game/...-vs-...-0022001019/play-by-play?watchFullGame=true", "LAC vs NYK - Q4 04:22.00")</f>
        <v>LAC vs NYK - Q4 04:22.00</v>
      </c>
      <c r="M1040">
        <v>25.4</v>
      </c>
      <c r="N1040">
        <v>28.86</v>
      </c>
      <c r="O1040">
        <v>75.8</v>
      </c>
      <c r="P1040">
        <v>-129</v>
      </c>
      <c r="Q1040">
        <v>219</v>
      </c>
      <c r="R1040">
        <v>28</v>
      </c>
      <c r="S1040">
        <v>75</v>
      </c>
    </row>
    <row r="1041" spans="1:19" hidden="1" x14ac:dyDescent="0.25">
      <c r="A1041">
        <v>22201162</v>
      </c>
      <c r="B1041" t="s">
        <v>26</v>
      </c>
      <c r="C1041" t="s">
        <v>19</v>
      </c>
      <c r="D1041">
        <v>59</v>
      </c>
      <c r="E1041">
        <v>55</v>
      </c>
      <c r="F1041">
        <v>4</v>
      </c>
      <c r="G1041">
        <v>3</v>
      </c>
      <c r="H1041" s="1">
        <v>8.1481481481481474E-3</v>
      </c>
      <c r="I1041">
        <v>2022</v>
      </c>
      <c r="J1041" t="s">
        <v>83</v>
      </c>
      <c r="K1041" s="2" t="str">
        <f>HYPERLINK("https://www.nba.com/stats/events?CFID=&amp;CFPARAMS=&amp;GameEventID=343&amp;GameID=0022201162&amp;Season=2022-23&amp;flag=1&amp;title=Leonard%2025'%203PT%20%20(15%20PTS)%20(N.%20Batum%203%20AST)", "25' 3PT  (15 PTS) (N. Batum 3 AST)")</f>
        <v>25' 3PT  (15 PTS) (N. Batum 3 AST)</v>
      </c>
      <c r="L1041" s="2" t="str">
        <f>HYPERLINK("https://www.nba.com/game/...-vs-...-0022201162/play-by-play?watchFullGame=true", "LAC vs NOP - Q3 11:44.00")</f>
        <v>LAC vs NOP - Q3 11:44.00</v>
      </c>
      <c r="M1041">
        <v>25.26</v>
      </c>
      <c r="N1041">
        <v>28.47</v>
      </c>
      <c r="O1041">
        <v>23.53</v>
      </c>
      <c r="P1041">
        <v>132</v>
      </c>
      <c r="Q1041">
        <v>215</v>
      </c>
      <c r="R1041">
        <v>28</v>
      </c>
      <c r="S1041">
        <v>23</v>
      </c>
    </row>
    <row r="1042" spans="1:19" hidden="1" x14ac:dyDescent="0.25">
      <c r="A1042">
        <v>22000799</v>
      </c>
      <c r="B1042" t="s">
        <v>26</v>
      </c>
      <c r="C1042" t="s">
        <v>19</v>
      </c>
      <c r="D1042">
        <v>115</v>
      </c>
      <c r="E1042">
        <v>101</v>
      </c>
      <c r="F1042">
        <v>14</v>
      </c>
      <c r="G1042">
        <v>4</v>
      </c>
      <c r="H1042" s="1">
        <v>2.9629629629629628E-3</v>
      </c>
      <c r="I1042">
        <v>2020</v>
      </c>
      <c r="J1042" t="s">
        <v>83</v>
      </c>
      <c r="K1042" s="2" t="str">
        <f>HYPERLINK("https://www.nba.com/stats/events?CFID=&amp;CFPARAMS=&amp;GameEventID=592&amp;GameID=0022000799&amp;Season=2020-21&amp;flag=1&amp;title=Leonard%2027'%203PT%20%20(26%20PTS)%20(R.%20Jackson%207%20AST)", "27' 3PT  (26 PTS) (R. Jackson 7 AST)")</f>
        <v>27' 3PT  (26 PTS) (R. Jackson 7 AST)</v>
      </c>
      <c r="L1042" s="2" t="str">
        <f>HYPERLINK("https://www.nba.com/game/...-vs-...-0022000799/play-by-play?watchFullGame=true", "LAC vs HOU - Q4 04:16.00")</f>
        <v>LAC vs HOU - Q4 04:16.00</v>
      </c>
      <c r="M1042">
        <v>27.2</v>
      </c>
      <c r="N1042">
        <v>29.78</v>
      </c>
      <c r="O1042">
        <v>20.170000000000002</v>
      </c>
      <c r="P1042">
        <v>149</v>
      </c>
      <c r="Q1042">
        <v>227</v>
      </c>
      <c r="R1042">
        <v>29</v>
      </c>
      <c r="S1042">
        <v>20</v>
      </c>
    </row>
    <row r="1043" spans="1:19" hidden="1" x14ac:dyDescent="0.25">
      <c r="A1043">
        <v>22000202</v>
      </c>
      <c r="B1043" t="s">
        <v>26</v>
      </c>
      <c r="C1043" t="s">
        <v>19</v>
      </c>
      <c r="D1043">
        <v>83</v>
      </c>
      <c r="E1043">
        <v>70</v>
      </c>
      <c r="F1043">
        <v>13</v>
      </c>
      <c r="G1043">
        <v>3</v>
      </c>
      <c r="H1043" s="1">
        <v>3.5648148148148149E-3</v>
      </c>
      <c r="I1043">
        <v>2020</v>
      </c>
      <c r="J1043" t="s">
        <v>83</v>
      </c>
      <c r="K1043" s="2" t="str">
        <f>HYPERLINK("https://www.nba.com/stats/events?CFID=&amp;CFPARAMS=&amp;GameEventID=379&amp;GameID=0022000202&amp;Season=2020-21&amp;flag=1&amp;title=Leonard%2027'%203PT%20%20(15%20PTS)%20(P.%20George%204%20AST)", "27' 3PT  (15 PTS) (P. George 4 AST)")</f>
        <v>27' 3PT  (15 PTS) (P. George 4 AST)</v>
      </c>
      <c r="L1043" s="2" t="str">
        <f>HYPERLINK("https://www.nba.com/game/...-vs-...-0022000202/play-by-play?watchFullGame=true", "LAC vs IND - Q3 05:08.00")</f>
        <v>LAC vs IND - Q3 05:08.00</v>
      </c>
      <c r="M1043">
        <v>27</v>
      </c>
      <c r="N1043">
        <v>29.65</v>
      </c>
      <c r="O1043">
        <v>79.48</v>
      </c>
      <c r="P1043">
        <v>-147</v>
      </c>
      <c r="Q1043">
        <v>226</v>
      </c>
      <c r="R1043">
        <v>29</v>
      </c>
      <c r="S1043">
        <v>79</v>
      </c>
    </row>
    <row r="1044" spans="1:19" hidden="1" x14ac:dyDescent="0.25">
      <c r="A1044">
        <v>22200668</v>
      </c>
      <c r="B1044" t="s">
        <v>26</v>
      </c>
      <c r="C1044" t="s">
        <v>19</v>
      </c>
      <c r="D1044">
        <v>84</v>
      </c>
      <c r="E1044">
        <v>81</v>
      </c>
      <c r="F1044">
        <v>3</v>
      </c>
      <c r="G1044">
        <v>3</v>
      </c>
      <c r="H1044" s="1">
        <v>1.9097222222222222E-3</v>
      </c>
      <c r="I1044">
        <v>2022</v>
      </c>
      <c r="J1044" t="s">
        <v>83</v>
      </c>
      <c r="K1044" s="2" t="str">
        <f>HYPERLINK("https://www.nba.com/stats/events?CFID=&amp;CFPARAMS=&amp;GameEventID=416&amp;GameID=0022200668&amp;Season=2022-23&amp;flag=1&amp;title=Leonard%2026'%203PT%20pullup%20(26%20PTS)", "26' 3PT pullup (26 PTS)")</f>
        <v>26' 3PT pullup (26 PTS)</v>
      </c>
      <c r="L1044" s="2" t="str">
        <f>HYPERLINK("https://www.nba.com/game/...-vs-...-0022200668/play-by-play?watchFullGame=true", "LAC vs PHI - Q3 02:45.00")</f>
        <v>LAC vs PHI - Q3 02:45.00</v>
      </c>
      <c r="M1044">
        <v>26.88</v>
      </c>
      <c r="N1044">
        <v>29.09</v>
      </c>
      <c r="O1044">
        <v>19.36</v>
      </c>
      <c r="P1044">
        <v>153</v>
      </c>
      <c r="Q1044">
        <v>221</v>
      </c>
      <c r="R1044">
        <v>29</v>
      </c>
      <c r="S1044">
        <v>19</v>
      </c>
    </row>
    <row r="1045" spans="1:19" hidden="1" x14ac:dyDescent="0.25">
      <c r="A1045">
        <v>42200171</v>
      </c>
      <c r="B1045" t="s">
        <v>26</v>
      </c>
      <c r="C1045" t="s">
        <v>19</v>
      </c>
      <c r="D1045">
        <v>103</v>
      </c>
      <c r="E1045">
        <v>99</v>
      </c>
      <c r="F1045">
        <v>4</v>
      </c>
      <c r="G1045">
        <v>4</v>
      </c>
      <c r="H1045" s="1">
        <v>1.8055555555555555E-3</v>
      </c>
      <c r="I1045" t="s">
        <v>96</v>
      </c>
      <c r="J1045" t="s">
        <v>83</v>
      </c>
      <c r="K1045" s="2" t="str">
        <f>HYPERLINK("https://www.nba.com/stats/events?CFID=&amp;CFPARAMS=&amp;GameEventID=635&amp;GameID=0042200171&amp;Season=2022-23&amp;flag=1&amp;title=Leonard%2026'%203PT%20%20(35%20PTS)%20(R.%20Westbrook%207%20AST)", "26' 3PT  (35 PTS) (R. Westbrook 7 AST)")</f>
        <v>26' 3PT  (35 PTS) (R. Westbrook 7 AST)</v>
      </c>
      <c r="L1045" s="2" t="str">
        <f>HYPERLINK("https://www.nba.com/game/...-vs-...-0042200171/play-by-play?watchFullGame=true", "LAC vs PHX - Q4 02:36.00")</f>
        <v>LAC vs PHX - Q4 02:36.00</v>
      </c>
      <c r="M1045">
        <v>26.61</v>
      </c>
      <c r="N1045">
        <v>29.91</v>
      </c>
      <c r="O1045">
        <v>22.79</v>
      </c>
      <c r="P1045">
        <v>29</v>
      </c>
      <c r="Q1045">
        <v>22</v>
      </c>
      <c r="R1045">
        <v>29</v>
      </c>
      <c r="S1045">
        <v>22</v>
      </c>
    </row>
    <row r="1046" spans="1:19" hidden="1" x14ac:dyDescent="0.25">
      <c r="A1046">
        <v>21901271</v>
      </c>
      <c r="B1046" t="s">
        <v>26</v>
      </c>
      <c r="C1046" t="s">
        <v>84</v>
      </c>
      <c r="D1046">
        <v>23</v>
      </c>
      <c r="E1046">
        <v>20</v>
      </c>
      <c r="F1046">
        <v>3</v>
      </c>
      <c r="G1046">
        <v>1</v>
      </c>
      <c r="H1046" s="1">
        <v>1.0185185185185184E-3</v>
      </c>
      <c r="I1046">
        <v>2019</v>
      </c>
      <c r="J1046" t="s">
        <v>83</v>
      </c>
      <c r="K1046" s="2" t="str">
        <f>HYPERLINK("https://www.nba.com/stats/events?CFID=&amp;CFPARAMS=&amp;GameEventID=140&amp;GameID=0021901271&amp;Season=2019-20&amp;flag=1&amp;title=Leonard%2026'%203PT%20%20(5%20PTS)", "26' 3PT  (5 PTS)")</f>
        <v>26' 3PT  (5 PTS)</v>
      </c>
      <c r="L1046" s="2" t="str">
        <f>HYPERLINK("https://www.nba.com/game/...-vs-...-0021901271/play-by-play?watchFullGame=true", "LAC vs DAL - Q1 01:28.00")</f>
        <v>LAC vs DAL - Q1 01:28.00</v>
      </c>
      <c r="M1046">
        <v>26.5</v>
      </c>
      <c r="N1046">
        <v>29.52</v>
      </c>
      <c r="O1046">
        <v>23.84</v>
      </c>
      <c r="P1046">
        <v>131</v>
      </c>
      <c r="Q1046">
        <v>225</v>
      </c>
      <c r="R1046">
        <v>29</v>
      </c>
      <c r="S1046">
        <v>23</v>
      </c>
    </row>
    <row r="1047" spans="1:19" hidden="1" x14ac:dyDescent="0.25">
      <c r="A1047">
        <v>22300085</v>
      </c>
      <c r="B1047" t="s">
        <v>26</v>
      </c>
      <c r="C1047" t="s">
        <v>19</v>
      </c>
      <c r="D1047">
        <v>93</v>
      </c>
      <c r="E1047">
        <v>97</v>
      </c>
      <c r="F1047">
        <v>4</v>
      </c>
      <c r="G1047">
        <v>4</v>
      </c>
      <c r="H1047" s="1">
        <v>6.1342592592592594E-3</v>
      </c>
      <c r="I1047">
        <v>2023</v>
      </c>
      <c r="J1047" t="s">
        <v>83</v>
      </c>
      <c r="K1047" s="2" t="str">
        <f>HYPERLINK("https://www.nba.com/stats/events?CFID=&amp;CFPARAMS=&amp;GameEventID=540&amp;GameID=0022300085&amp;Season=2023-24&amp;flag=1&amp;title=Leonard%2026'%203PT%20%20(19%20PTS)", "26' 3PT  (19 PTS)")</f>
        <v>26' 3PT  (19 PTS)</v>
      </c>
      <c r="L1047" s="2" t="str">
        <f>HYPERLINK("https://www.nba.com/game/...-vs-...-0022300085/play-by-play?watchFullGame=true", "LAC vs UTA - Q4 08:50.00")</f>
        <v>LAC vs UTA - Q4 08:50.00</v>
      </c>
      <c r="M1047">
        <v>26.42</v>
      </c>
      <c r="N1047">
        <v>29.52</v>
      </c>
      <c r="O1047">
        <v>77.7</v>
      </c>
      <c r="P1047">
        <v>-138</v>
      </c>
      <c r="Q1047">
        <v>225</v>
      </c>
      <c r="R1047">
        <v>29</v>
      </c>
      <c r="S1047">
        <v>77</v>
      </c>
    </row>
    <row r="1048" spans="1:19" hidden="1" x14ac:dyDescent="0.25">
      <c r="A1048">
        <v>22000509</v>
      </c>
      <c r="B1048" t="s">
        <v>26</v>
      </c>
      <c r="C1048" t="s">
        <v>19</v>
      </c>
      <c r="D1048">
        <v>83</v>
      </c>
      <c r="E1048">
        <v>64</v>
      </c>
      <c r="F1048">
        <v>19</v>
      </c>
      <c r="G1048">
        <v>3</v>
      </c>
      <c r="H1048" s="1">
        <v>2.3032407407407407E-3</v>
      </c>
      <c r="I1048">
        <v>2020</v>
      </c>
      <c r="J1048" t="s">
        <v>83</v>
      </c>
      <c r="K1048" s="2" t="str">
        <f>HYPERLINK("https://www.nba.com/stats/events?CFID=&amp;CFPARAMS=&amp;GameEventID=442&amp;GameID=0022000509&amp;Season=2020-21&amp;flag=1&amp;title=Leonard%2026'%203PT%20pullup%20(25%20PTS)%20(L.%20Williams%203%20AST)", "26' 3PT pullup (25 PTS) (L. Williams 3 AST)")</f>
        <v>26' 3PT pullup (25 PTS) (L. Williams 3 AST)</v>
      </c>
      <c r="L1048" s="2" t="str">
        <f>HYPERLINK("https://www.nba.com/game/...-vs-...-0022000509/play-by-play?watchFullGame=true", "LAC vs MEM - Q3 03:19.00")</f>
        <v>LAC vs MEM - Q3 03:19.00</v>
      </c>
      <c r="M1048">
        <v>26.26</v>
      </c>
      <c r="N1048">
        <v>29.39</v>
      </c>
      <c r="O1048">
        <v>77.52</v>
      </c>
      <c r="P1048">
        <v>-138</v>
      </c>
      <c r="Q1048">
        <v>224</v>
      </c>
      <c r="R1048">
        <v>29</v>
      </c>
      <c r="S1048">
        <v>77</v>
      </c>
    </row>
    <row r="1049" spans="1:19" hidden="1" x14ac:dyDescent="0.25">
      <c r="A1049">
        <v>22201041</v>
      </c>
      <c r="B1049" t="s">
        <v>26</v>
      </c>
      <c r="C1049" t="s">
        <v>19</v>
      </c>
      <c r="D1049">
        <v>28</v>
      </c>
      <c r="E1049">
        <v>23</v>
      </c>
      <c r="F1049">
        <v>5</v>
      </c>
      <c r="G1049">
        <v>1</v>
      </c>
      <c r="H1049" s="1">
        <v>6.3657407407407402E-5</v>
      </c>
      <c r="I1049">
        <v>2022</v>
      </c>
      <c r="J1049" t="s">
        <v>83</v>
      </c>
      <c r="K1049" s="2" t="str">
        <f>HYPERLINK("https://www.nba.com/stats/events?CFID=&amp;CFPARAMS=&amp;GameEventID=160&amp;GameID=0022201041&amp;Season=2022-23&amp;flag=1&amp;title=Leonard%2026'%203PT%20pullup%20(11%20PTS)", "26' 3PT pullup (11 PTS)")</f>
        <v>26' 3PT pullup (11 PTS)</v>
      </c>
      <c r="L1049" s="2" t="str">
        <f>HYPERLINK("https://www.nba.com/game/...-vs-...-0022201041/play-by-play?watchFullGame=true", "LAC vs GSW - Q1 00:05.50")</f>
        <v>LAC vs GSW - Q1 00:05.50</v>
      </c>
      <c r="M1049">
        <v>26.19</v>
      </c>
      <c r="N1049">
        <v>29.68</v>
      </c>
      <c r="O1049">
        <v>76.28</v>
      </c>
      <c r="P1049">
        <v>-131</v>
      </c>
      <c r="Q1049">
        <v>226</v>
      </c>
      <c r="R1049">
        <v>29</v>
      </c>
      <c r="S1049">
        <v>76</v>
      </c>
    </row>
    <row r="1050" spans="1:19" hidden="1" x14ac:dyDescent="0.25">
      <c r="A1050">
        <v>22300127</v>
      </c>
      <c r="B1050" t="s">
        <v>26</v>
      </c>
      <c r="C1050" t="s">
        <v>19</v>
      </c>
      <c r="D1050">
        <v>125</v>
      </c>
      <c r="E1050">
        <v>126</v>
      </c>
      <c r="F1050">
        <v>1</v>
      </c>
      <c r="G1050">
        <v>5</v>
      </c>
      <c r="H1050" s="1">
        <v>6.8402777777777776E-4</v>
      </c>
      <c r="I1050">
        <v>2023</v>
      </c>
      <c r="J1050" t="s">
        <v>83</v>
      </c>
      <c r="K1050" s="2" t="str">
        <f>HYPERLINK("https://www.nba.com/stats/events?CFID=&amp;CFPARAMS=&amp;GameEventID=741&amp;GameID=0022300127&amp;Season=2023-24&amp;flag=1&amp;title=Leonard%2026'%203PT%20step%20back%20(38%20PTS)%20(R.%20Westbrook%208%20AST)", "26' 3PT step back (38 PTS) (R. Westbrook 8 AST)")</f>
        <v>26' 3PT step back (38 PTS) (R. Westbrook 8 AST)</v>
      </c>
      <c r="L1050" s="2" t="str">
        <f>HYPERLINK("https://www.nba.com/game/...-vs-...-0022300127/play-by-play?watchFullGame=true", "LAC vs LAL - Q5 00:59.10")</f>
        <v>LAC vs LAL - Q5 00:59.10</v>
      </c>
      <c r="M1050">
        <v>26.14</v>
      </c>
      <c r="N1050">
        <v>29.48</v>
      </c>
      <c r="O1050">
        <v>76.72</v>
      </c>
      <c r="P1050">
        <v>-134</v>
      </c>
      <c r="Q1050">
        <v>225</v>
      </c>
      <c r="R1050">
        <v>29</v>
      </c>
      <c r="S1050">
        <v>76</v>
      </c>
    </row>
    <row r="1051" spans="1:19" hidden="1" x14ac:dyDescent="0.25">
      <c r="A1051">
        <v>22300074</v>
      </c>
      <c r="B1051" t="s">
        <v>26</v>
      </c>
      <c r="C1051" t="s">
        <v>19</v>
      </c>
      <c r="D1051">
        <v>89</v>
      </c>
      <c r="E1051">
        <v>63</v>
      </c>
      <c r="F1051">
        <v>26</v>
      </c>
      <c r="G1051">
        <v>3</v>
      </c>
      <c r="H1051" s="1">
        <v>3.9236111111111112E-3</v>
      </c>
      <c r="I1051">
        <v>2023</v>
      </c>
      <c r="J1051" t="s">
        <v>83</v>
      </c>
      <c r="K1051" s="2" t="str">
        <f>HYPERLINK("https://www.nba.com/stats/events?CFID=&amp;CFPARAMS=&amp;GameEventID=437&amp;GameID=0022300074&amp;Season=2023-24&amp;flag=1&amp;title=Leonard%2026'%203PT%20running%20(18%20PTS)%20(R.%20Westbrook%2010%20AST)", "26' 3PT running (18 PTS) (R. Westbrook 10 AST)")</f>
        <v>26' 3PT running (18 PTS) (R. Westbrook 10 AST)</v>
      </c>
      <c r="L1051" s="2" t="str">
        <f>HYPERLINK("https://www.nba.com/game/...-vs-...-0022300074/play-by-play?watchFullGame=true", "LAC vs POR - Q3 05:39.00")</f>
        <v>LAC vs POR - Q3 05:39.00</v>
      </c>
      <c r="M1051">
        <v>26</v>
      </c>
      <c r="N1051">
        <v>29.62</v>
      </c>
      <c r="O1051">
        <v>24.26</v>
      </c>
      <c r="P1051">
        <v>129</v>
      </c>
      <c r="Q1051">
        <v>226</v>
      </c>
      <c r="R1051">
        <v>29</v>
      </c>
      <c r="S1051">
        <v>24</v>
      </c>
    </row>
    <row r="1052" spans="1:19" hidden="1" x14ac:dyDescent="0.25">
      <c r="A1052">
        <v>22201096</v>
      </c>
      <c r="B1052" t="s">
        <v>26</v>
      </c>
      <c r="C1052" t="s">
        <v>19</v>
      </c>
      <c r="D1052">
        <v>73</v>
      </c>
      <c r="E1052">
        <v>68</v>
      </c>
      <c r="F1052">
        <v>5</v>
      </c>
      <c r="G1052">
        <v>3</v>
      </c>
      <c r="H1052" s="1">
        <v>4.31712962962963E-3</v>
      </c>
      <c r="I1052">
        <v>2022</v>
      </c>
      <c r="J1052" t="s">
        <v>83</v>
      </c>
      <c r="K1052" s="2" t="str">
        <f>HYPERLINK("https://www.nba.com/stats/events?CFID=&amp;CFPARAMS=&amp;GameEventID=402&amp;GameID=0022201096&amp;Season=2022-23&amp;flag=1&amp;title=Leonard%2025'%203PT%20%20(24%20PTS)%20(R.%20Westbrook%205%20AST)", "25' 3PT  (24 PTS) (R. Westbrook 5 AST)")</f>
        <v>25' 3PT  (24 PTS) (R. Westbrook 5 AST)</v>
      </c>
      <c r="L1052" s="2" t="str">
        <f>HYPERLINK("https://www.nba.com/game/...-vs-...-0022201096/play-by-play?watchFullGame=true", "LAC vs OKC - Q3 06:13.00")</f>
        <v>LAC vs OKC - Q3 06:13.00</v>
      </c>
      <c r="M1052">
        <v>25.7</v>
      </c>
      <c r="N1052">
        <v>29.62</v>
      </c>
      <c r="O1052">
        <v>25.49</v>
      </c>
      <c r="P1052">
        <v>123</v>
      </c>
      <c r="Q1052">
        <v>226</v>
      </c>
      <c r="R1052">
        <v>29</v>
      </c>
      <c r="S1052">
        <v>25</v>
      </c>
    </row>
    <row r="1053" spans="1:19" hidden="1" x14ac:dyDescent="0.25">
      <c r="A1053">
        <v>21900212</v>
      </c>
      <c r="B1053" t="s">
        <v>26</v>
      </c>
      <c r="C1053" t="s">
        <v>84</v>
      </c>
      <c r="D1053">
        <v>3</v>
      </c>
      <c r="E1053">
        <v>0</v>
      </c>
      <c r="F1053">
        <v>3</v>
      </c>
      <c r="G1053">
        <v>1</v>
      </c>
      <c r="H1053" s="1">
        <v>8.0208333333333329E-3</v>
      </c>
      <c r="I1053">
        <v>2019</v>
      </c>
      <c r="J1053" t="s">
        <v>83</v>
      </c>
      <c r="K1053" s="2" t="str">
        <f>HYPERLINK("https://www.nba.com/stats/events?CFID=&amp;CFPARAMS=&amp;GameEventID=7&amp;GameID=0021900212&amp;Season=2019-20&amp;flag=1&amp;title=Leonard%2026'%203PT%20%20(3%20PTS)%20(I.%20Zubac%201%20AST)", "26' 3PT  (3 PTS) (I. Zubac 1 AST)")</f>
        <v>26' 3PT  (3 PTS) (I. Zubac 1 AST)</v>
      </c>
      <c r="L1053" s="2" t="str">
        <f>HYPERLINK("https://www.nba.com/game/...-vs-...-0021900212/play-by-play?watchFullGame=true", "LAC vs BOS - Q1 11:33.00")</f>
        <v>LAC vs BOS - Q1 11:33.00</v>
      </c>
      <c r="M1053">
        <v>25.68</v>
      </c>
      <c r="N1053">
        <v>29.83</v>
      </c>
      <c r="O1053">
        <v>28.58</v>
      </c>
      <c r="P1053">
        <v>107</v>
      </c>
      <c r="Q1053">
        <v>228</v>
      </c>
      <c r="R1053">
        <v>29</v>
      </c>
      <c r="S1053">
        <v>28</v>
      </c>
    </row>
    <row r="1054" spans="1:19" hidden="1" x14ac:dyDescent="0.25">
      <c r="A1054">
        <v>22300865</v>
      </c>
      <c r="B1054" t="s">
        <v>26</v>
      </c>
      <c r="C1054" t="s">
        <v>19</v>
      </c>
      <c r="D1054">
        <v>110</v>
      </c>
      <c r="E1054">
        <v>85</v>
      </c>
      <c r="F1054">
        <v>25</v>
      </c>
      <c r="G1054">
        <v>3</v>
      </c>
      <c r="H1054" s="1">
        <v>5.1736111111111112E-4</v>
      </c>
      <c r="I1054">
        <v>2023</v>
      </c>
      <c r="J1054" t="s">
        <v>83</v>
      </c>
      <c r="K1054" s="2" t="str">
        <f>HYPERLINK("https://www.nba.com/stats/events?CFID=&amp;CFPARAMS=&amp;GameEventID=482&amp;GameID=0022300865&amp;Season=2023-24&amp;flag=1&amp;title=Leonard%2025'%203PT%20step%20back%20(27%20PTS)", "25' 3PT step back (27 PTS)")</f>
        <v>25' 3PT step back (27 PTS)</v>
      </c>
      <c r="L1054" s="2" t="str">
        <f>HYPERLINK("https://www.nba.com/game/...-vs-...-0022300865/play-by-play?watchFullGame=true", "LAC vs WAS - Q3 00:44.70")</f>
        <v>LAC vs WAS - Q3 00:44.70</v>
      </c>
      <c r="M1054">
        <v>25.47</v>
      </c>
      <c r="N1054">
        <v>29.88</v>
      </c>
      <c r="O1054">
        <v>27.45</v>
      </c>
      <c r="P1054">
        <v>113</v>
      </c>
      <c r="Q1054">
        <v>228</v>
      </c>
      <c r="R1054">
        <v>29</v>
      </c>
      <c r="S1054">
        <v>27</v>
      </c>
    </row>
    <row r="1055" spans="1:19" hidden="1" x14ac:dyDescent="0.25">
      <c r="A1055">
        <v>22400671</v>
      </c>
      <c r="B1055" t="s">
        <v>26</v>
      </c>
      <c r="C1055" t="s">
        <v>19</v>
      </c>
      <c r="D1055">
        <v>79</v>
      </c>
      <c r="E1055">
        <v>67</v>
      </c>
      <c r="F1055">
        <v>12</v>
      </c>
      <c r="G1055">
        <v>3</v>
      </c>
      <c r="H1055" s="1">
        <v>6.145833333333333E-3</v>
      </c>
      <c r="I1055">
        <v>2024</v>
      </c>
      <c r="J1055" t="s">
        <v>83</v>
      </c>
      <c r="K1055" s="2" t="str">
        <f>HYPERLINK("https://www.nba.com/stats/events?CFID=&amp;CFPARAMS=&amp;GameEventID=381&amp;GameID=0022400671&amp;Season=2024-25&amp;flag=1&amp;title=Leonard%2025'%203PT%20step%20back%20(19%20PTS)", "25' 3PT step back (19 PTS)")</f>
        <v>25' 3PT step back (19 PTS)</v>
      </c>
      <c r="L1055" s="2" t="str">
        <f>HYPERLINK("https://www.nba.com/game/...-vs-...-0022400671/play-by-play?watchFullGame=true", "LAC vs SAS - Q3 08:51.00")</f>
        <v>LAC vs SAS - Q3 08:51.00</v>
      </c>
      <c r="M1055">
        <v>25.22</v>
      </c>
      <c r="N1055">
        <v>29.65</v>
      </c>
      <c r="O1055">
        <v>72.3</v>
      </c>
      <c r="P1055">
        <v>-112</v>
      </c>
      <c r="Q1055">
        <v>226</v>
      </c>
      <c r="R1055">
        <v>29</v>
      </c>
      <c r="S1055">
        <v>72</v>
      </c>
    </row>
    <row r="1056" spans="1:19" hidden="1" x14ac:dyDescent="0.25">
      <c r="A1056">
        <v>22400500</v>
      </c>
      <c r="B1056" t="s">
        <v>26</v>
      </c>
      <c r="C1056" t="s">
        <v>19</v>
      </c>
      <c r="D1056">
        <v>7</v>
      </c>
      <c r="E1056">
        <v>7</v>
      </c>
      <c r="F1056">
        <v>0</v>
      </c>
      <c r="G1056">
        <v>1</v>
      </c>
      <c r="H1056" s="1">
        <v>5.324074074074074E-3</v>
      </c>
      <c r="I1056">
        <v>2024</v>
      </c>
      <c r="J1056" t="s">
        <v>83</v>
      </c>
      <c r="K1056" s="2" t="str">
        <f>HYPERLINK("https://www.nba.com/stats/events?CFID=&amp;CFPARAMS=&amp;GameEventID=56&amp;GameID=0022400500&amp;Season=2024-25&amp;flag=1&amp;title=Leonard%2024'%203PT%20pullup%20(3%20PTS)%20(I.%20Zubac%201%20AST)", "24' 3PT pullup (3 PTS) (I. Zubac 1 AST)")</f>
        <v>24' 3PT pullup (3 PTS) (I. Zubac 1 AST)</v>
      </c>
      <c r="L1056" s="2" t="str">
        <f>HYPERLINK("https://www.nba.com/game/...-vs-...-0022400500/play-by-play?watchFullGame=true", "LAC vs MIN - Q1 07:40.00")</f>
        <v>LAC vs MIN - Q1 07:40.00</v>
      </c>
      <c r="M1056">
        <v>24.89</v>
      </c>
      <c r="N1056">
        <v>29.12</v>
      </c>
      <c r="O1056">
        <v>27.21</v>
      </c>
      <c r="P1056">
        <v>114</v>
      </c>
      <c r="Q1056">
        <v>221</v>
      </c>
      <c r="R1056">
        <v>29</v>
      </c>
      <c r="S1056">
        <v>27</v>
      </c>
    </row>
    <row r="1057" spans="1:19" hidden="1" x14ac:dyDescent="0.25">
      <c r="A1057">
        <v>22201215</v>
      </c>
      <c r="B1057" t="s">
        <v>26</v>
      </c>
      <c r="C1057" t="s">
        <v>19</v>
      </c>
      <c r="D1057">
        <v>94</v>
      </c>
      <c r="E1057">
        <v>85</v>
      </c>
      <c r="F1057">
        <v>9</v>
      </c>
      <c r="G1057">
        <v>3</v>
      </c>
      <c r="H1057" s="1">
        <v>3.1944444444444446E-3</v>
      </c>
      <c r="I1057">
        <v>2022</v>
      </c>
      <c r="J1057" t="s">
        <v>83</v>
      </c>
      <c r="K1057" s="2" t="str">
        <f>HYPERLINK("https://www.nba.com/stats/events?CFID=&amp;CFPARAMS=&amp;GameEventID=441&amp;GameID=0022201215&amp;Season=2022-23&amp;flag=1&amp;title=Leonard%2024'%203PT%20running%20pullup%20(22%20PTS)", "24' 3PT running pullup (22 PTS)")</f>
        <v>24' 3PT running pullup (22 PTS)</v>
      </c>
      <c r="L1057" s="2" t="str">
        <f>HYPERLINK("https://www.nba.com/game/...-vs-...-0022201215/play-by-play?watchFullGame=true", "LAC vs POR - Q3 04:36.00")</f>
        <v>LAC vs POR - Q3 04:36.00</v>
      </c>
      <c r="M1057">
        <v>24.87</v>
      </c>
      <c r="N1057">
        <v>29.48</v>
      </c>
      <c r="O1057">
        <v>28.68</v>
      </c>
      <c r="P1057">
        <v>107</v>
      </c>
      <c r="Q1057">
        <v>225</v>
      </c>
      <c r="R1057">
        <v>29</v>
      </c>
      <c r="S1057">
        <v>28</v>
      </c>
    </row>
    <row r="1058" spans="1:19" hidden="1" x14ac:dyDescent="0.25">
      <c r="A1058">
        <v>22000061</v>
      </c>
      <c r="B1058" t="s">
        <v>26</v>
      </c>
      <c r="C1058" t="s">
        <v>19</v>
      </c>
      <c r="D1058">
        <v>57</v>
      </c>
      <c r="E1058">
        <v>44</v>
      </c>
      <c r="F1058">
        <v>13</v>
      </c>
      <c r="G1058">
        <v>2</v>
      </c>
      <c r="H1058" s="1">
        <v>3.7731481481481483E-3</v>
      </c>
      <c r="I1058">
        <v>2020</v>
      </c>
      <c r="J1058" t="s">
        <v>83</v>
      </c>
      <c r="K1058" s="2" t="str">
        <f>HYPERLINK("https://www.nba.com/stats/events?CFID=&amp;CFPARAMS=&amp;GameEventID=225&amp;GameID=0022000061&amp;Season=2020-21&amp;flag=1&amp;title=Leonard%2024'%203PT%20pullup%20(9%20PTS)%20(P.%20George%206%20AST)", "24' 3PT pullup (9 PTS) (P. George 6 AST)")</f>
        <v>24' 3PT pullup (9 PTS) (P. George 6 AST)</v>
      </c>
      <c r="L1058" s="2" t="str">
        <f>HYPERLINK("https://www.nba.com/game/...-vs-...-0022000061/play-by-play?watchFullGame=true", "LAC vs POR - Q2 05:26.00")</f>
        <v>LAC vs POR - Q2 05:26.00</v>
      </c>
      <c r="M1058">
        <v>24.47</v>
      </c>
      <c r="N1058">
        <v>29.78</v>
      </c>
      <c r="O1058">
        <v>31.93</v>
      </c>
      <c r="P1058">
        <v>90</v>
      </c>
      <c r="Q1058">
        <v>227</v>
      </c>
      <c r="R1058">
        <v>29</v>
      </c>
      <c r="S1058">
        <v>31</v>
      </c>
    </row>
    <row r="1059" spans="1:19" hidden="1" x14ac:dyDescent="0.25">
      <c r="A1059">
        <v>22000400</v>
      </c>
      <c r="B1059" t="s">
        <v>26</v>
      </c>
      <c r="C1059" t="s">
        <v>19</v>
      </c>
      <c r="D1059">
        <v>89</v>
      </c>
      <c r="E1059">
        <v>78</v>
      </c>
      <c r="F1059">
        <v>11</v>
      </c>
      <c r="G1059">
        <v>3</v>
      </c>
      <c r="H1059" s="1">
        <v>5.4282407407407404E-4</v>
      </c>
      <c r="I1059">
        <v>2020</v>
      </c>
      <c r="J1059" t="s">
        <v>83</v>
      </c>
      <c r="K1059" s="2" t="str">
        <f>HYPERLINK("https://www.nba.com/stats/events?CFID=&amp;CFPARAMS=&amp;GameEventID=431&amp;GameID=0022000400&amp;Season=2020-21&amp;flag=1&amp;title=Leonard%2024'%203PT%20%20(27%20PTS)%20(T.%20Mann%202%20AST)", "24' 3PT  (27 PTS) (T. Mann 2 AST)")</f>
        <v>24' 3PT  (27 PTS) (T. Mann 2 AST)</v>
      </c>
      <c r="L1059" s="2" t="str">
        <f>HYPERLINK("https://www.nba.com/game/...-vs-...-0022000400/play-by-play?watchFullGame=true", "LAC vs CHI - Q3 00:46.90")</f>
        <v>LAC vs CHI - Q3 00:46.90</v>
      </c>
      <c r="M1059">
        <v>24.45</v>
      </c>
      <c r="N1059">
        <v>29.65</v>
      </c>
      <c r="O1059">
        <v>31.44</v>
      </c>
      <c r="P1059">
        <v>93</v>
      </c>
      <c r="Q1059">
        <v>226</v>
      </c>
      <c r="R1059">
        <v>29</v>
      </c>
      <c r="S1059">
        <v>31</v>
      </c>
    </row>
    <row r="1060" spans="1:19" hidden="1" x14ac:dyDescent="0.25">
      <c r="A1060">
        <v>22000130</v>
      </c>
      <c r="B1060" t="s">
        <v>26</v>
      </c>
      <c r="C1060" t="s">
        <v>19</v>
      </c>
      <c r="D1060">
        <v>51</v>
      </c>
      <c r="E1060">
        <v>42</v>
      </c>
      <c r="F1060">
        <v>9</v>
      </c>
      <c r="G1060">
        <v>2</v>
      </c>
      <c r="H1060" s="1">
        <v>2.1875000000000002E-3</v>
      </c>
      <c r="I1060">
        <v>2020</v>
      </c>
      <c r="J1060" t="s">
        <v>83</v>
      </c>
      <c r="K1060" s="2" t="str">
        <f>HYPERLINK("https://www.nba.com/stats/events?CFID=&amp;CFPARAMS=&amp;GameEventID=268&amp;GameID=0022000130&amp;Season=2020-21&amp;flag=1&amp;title=Leonard%2028'%203PT%20%20(7%20PTS)%20(P.%20George%204%20AST)", "28' 3PT  (7 PTS) (P. George 4 AST)")</f>
        <v>28' 3PT  (7 PTS) (P. George 4 AST)</v>
      </c>
      <c r="L1060" s="2" t="str">
        <f>HYPERLINK("https://www.nba.com/game/...-vs-...-0022000130/play-by-play?watchFullGame=true", "LAC vs GSW - Q2 03:09.00")</f>
        <v>LAC vs GSW - Q2 03:09.00</v>
      </c>
      <c r="M1060">
        <v>28.56</v>
      </c>
      <c r="N1060">
        <v>30.57</v>
      </c>
      <c r="O1060">
        <v>17.47</v>
      </c>
      <c r="P1060">
        <v>163</v>
      </c>
      <c r="Q1060">
        <v>235</v>
      </c>
      <c r="R1060">
        <v>30</v>
      </c>
      <c r="S1060">
        <v>17</v>
      </c>
    </row>
    <row r="1061" spans="1:19" hidden="1" x14ac:dyDescent="0.25">
      <c r="A1061">
        <v>22400842</v>
      </c>
      <c r="B1061" t="s">
        <v>26</v>
      </c>
      <c r="C1061" t="s">
        <v>19</v>
      </c>
      <c r="D1061">
        <v>47</v>
      </c>
      <c r="E1061">
        <v>35</v>
      </c>
      <c r="F1061">
        <v>12</v>
      </c>
      <c r="G1061">
        <v>2</v>
      </c>
      <c r="H1061" s="1">
        <v>5.4282407407407404E-3</v>
      </c>
      <c r="I1061">
        <v>2024</v>
      </c>
      <c r="J1061" t="s">
        <v>83</v>
      </c>
      <c r="K1061" s="2" t="str">
        <f>HYPERLINK("https://www.nba.com/stats/events?CFID=&amp;CFPARAMS=&amp;GameEventID=218&amp;GameID=0022400842&amp;Season=2024-25&amp;flag=1&amp;title=Leonard%2028'%203PT%20%20(8%20PTS)%20(B.%20Simmons%205%20AST)", "28' 3PT  (8 PTS) (B. Simmons 5 AST)")</f>
        <v>28' 3PT  (8 PTS) (B. Simmons 5 AST)</v>
      </c>
      <c r="L1061" s="2" t="str">
        <f>HYPERLINK("https://www.nba.com/game/...-vs-...-0022400842/play-by-play?watchFullGame=true", "LAC vs CHI - Q2 07:49.00")</f>
        <v>LAC vs CHI - Q2 07:49.00</v>
      </c>
      <c r="M1061">
        <v>28.19</v>
      </c>
      <c r="N1061">
        <v>30.67</v>
      </c>
      <c r="O1061">
        <v>80.88</v>
      </c>
      <c r="P1061">
        <v>-154</v>
      </c>
      <c r="Q1061">
        <v>236</v>
      </c>
      <c r="R1061">
        <v>30</v>
      </c>
      <c r="S1061">
        <v>80</v>
      </c>
    </row>
    <row r="1062" spans="1:19" hidden="1" x14ac:dyDescent="0.25">
      <c r="A1062">
        <v>21900523</v>
      </c>
      <c r="B1062" t="s">
        <v>26</v>
      </c>
      <c r="C1062" t="s">
        <v>84</v>
      </c>
      <c r="D1062">
        <v>49</v>
      </c>
      <c r="E1062">
        <v>60</v>
      </c>
      <c r="F1062">
        <v>11</v>
      </c>
      <c r="G1062">
        <v>2</v>
      </c>
      <c r="H1062" s="1">
        <v>2.3148148148148147E-3</v>
      </c>
      <c r="I1062">
        <v>2019</v>
      </c>
      <c r="J1062" t="s">
        <v>83</v>
      </c>
      <c r="K1062" s="2" t="str">
        <f>HYPERLINK("https://www.nba.com/stats/events?CFID=&amp;CFPARAMS=&amp;GameEventID=299&amp;GameID=0021900523&amp;Season=2019-20&amp;flag=1&amp;title=Leonard%2028'%203PT%20%20(13%20PTS)", "28' 3PT  (13 PTS)")</f>
        <v>28' 3PT  (13 PTS)</v>
      </c>
      <c r="L1062" s="2" t="str">
        <f>HYPERLINK("https://www.nba.com/game/...-vs-...-0021900523/play-by-play?watchFullGame=true", "LAC vs MEM - Q2 03:20.00")</f>
        <v>LAC vs MEM - Q2 03:20.00</v>
      </c>
      <c r="M1062">
        <v>27.61</v>
      </c>
      <c r="N1062">
        <v>30.27</v>
      </c>
      <c r="O1062">
        <v>78.12</v>
      </c>
      <c r="P1062">
        <v>-141</v>
      </c>
      <c r="Q1062">
        <v>232</v>
      </c>
      <c r="R1062">
        <v>30</v>
      </c>
      <c r="S1062">
        <v>78</v>
      </c>
    </row>
    <row r="1063" spans="1:19" hidden="1" x14ac:dyDescent="0.25">
      <c r="A1063">
        <v>22200902</v>
      </c>
      <c r="B1063" t="s">
        <v>26</v>
      </c>
      <c r="C1063" t="s">
        <v>19</v>
      </c>
      <c r="D1063">
        <v>86</v>
      </c>
      <c r="E1063">
        <v>78</v>
      </c>
      <c r="F1063">
        <v>8</v>
      </c>
      <c r="G1063">
        <v>3</v>
      </c>
      <c r="H1063" s="1">
        <v>7.1064814814814819E-3</v>
      </c>
      <c r="I1063">
        <v>2022</v>
      </c>
      <c r="J1063" t="s">
        <v>83</v>
      </c>
      <c r="K1063" s="2" t="str">
        <f>HYPERLINK("https://www.nba.com/stats/events?CFID=&amp;CFPARAMS=&amp;GameEventID=372&amp;GameID=0022200902&amp;Season=2022-23&amp;flag=1&amp;title=Leonard%2027'%203PT%20%20(23%20PTS)%20(R.%20Westbrook%208%20AST)", "27' 3PT  (23 PTS) (R. Westbrook 8 AST)")</f>
        <v>27' 3PT  (23 PTS) (R. Westbrook 8 AST)</v>
      </c>
      <c r="L1063" s="2" t="str">
        <f>HYPERLINK("https://www.nba.com/game/...-vs-...-0022200902/play-by-play?watchFullGame=true", "LAC vs SAC - Q3 10:14.00")</f>
        <v>LAC vs SAC - Q3 10:14.00</v>
      </c>
      <c r="M1063">
        <v>27.45</v>
      </c>
      <c r="N1063">
        <v>30.8</v>
      </c>
      <c r="O1063">
        <v>22.3</v>
      </c>
      <c r="P1063">
        <v>138</v>
      </c>
      <c r="Q1063">
        <v>237</v>
      </c>
      <c r="R1063">
        <v>30</v>
      </c>
      <c r="S1063">
        <v>22</v>
      </c>
    </row>
    <row r="1064" spans="1:19" hidden="1" x14ac:dyDescent="0.25">
      <c r="A1064">
        <v>22300085</v>
      </c>
      <c r="B1064" t="s">
        <v>26</v>
      </c>
      <c r="C1064" t="s">
        <v>19</v>
      </c>
      <c r="D1064">
        <v>109</v>
      </c>
      <c r="E1064">
        <v>105</v>
      </c>
      <c r="F1064">
        <v>4</v>
      </c>
      <c r="G1064">
        <v>4</v>
      </c>
      <c r="H1064" s="1">
        <v>3.1250000000000002E-3</v>
      </c>
      <c r="I1064">
        <v>2023</v>
      </c>
      <c r="J1064" t="s">
        <v>83</v>
      </c>
      <c r="K1064" s="2" t="str">
        <f>HYPERLINK("https://www.nba.com/stats/events?CFID=&amp;CFPARAMS=&amp;GameEventID=603&amp;GameID=0022300085&amp;Season=2023-24&amp;flag=1&amp;title=Leonard%2027'%203PT%20%20(23%20PTS)%20(P.%20George%201%20AST)", "27' 3PT  (23 PTS) (P. George 1 AST)")</f>
        <v>27' 3PT  (23 PTS) (P. George 1 AST)</v>
      </c>
      <c r="L1064" s="2" t="str">
        <f>HYPERLINK("https://www.nba.com/game/...-vs-...-0022300085/play-by-play?watchFullGame=true", "LAC vs UTA - Q4 04:30.00")</f>
        <v>LAC vs UTA - Q4 04:30.00</v>
      </c>
      <c r="M1064">
        <v>27.34</v>
      </c>
      <c r="N1064">
        <v>30.96</v>
      </c>
      <c r="O1064">
        <v>23.28</v>
      </c>
      <c r="P1064">
        <v>134</v>
      </c>
      <c r="Q1064">
        <v>239</v>
      </c>
      <c r="R1064">
        <v>30</v>
      </c>
      <c r="S1064">
        <v>23</v>
      </c>
    </row>
    <row r="1065" spans="1:19" hidden="1" x14ac:dyDescent="0.25">
      <c r="A1065">
        <v>22200438</v>
      </c>
      <c r="B1065" t="s">
        <v>26</v>
      </c>
      <c r="C1065" t="s">
        <v>19</v>
      </c>
      <c r="D1065">
        <v>37</v>
      </c>
      <c r="E1065">
        <v>45</v>
      </c>
      <c r="F1065">
        <v>8</v>
      </c>
      <c r="G1065">
        <v>2</v>
      </c>
      <c r="H1065" s="1">
        <v>4.31712962962963E-3</v>
      </c>
      <c r="I1065">
        <v>2022</v>
      </c>
      <c r="J1065" t="s">
        <v>83</v>
      </c>
      <c r="K1065" s="2" t="str">
        <f>HYPERLINK("https://www.nba.com/stats/events?CFID=&amp;CFPARAMS=&amp;GameEventID=214&amp;GameID=0022200438&amp;Season=2022-23&amp;flag=1&amp;title=Leonard%2026'%203PT%20running%20(8%20PTS)%20(T.%20Mann%202%20AST)", "26' 3PT running (8 PTS) (T. Mann 2 AST)")</f>
        <v>26' 3PT running (8 PTS) (T. Mann 2 AST)</v>
      </c>
      <c r="L1065" s="2" t="str">
        <f>HYPERLINK("https://www.nba.com/game/...-vs-...-0022200438/play-by-play?watchFullGame=true", "LAC vs WAS - Q2 06:13.00")</f>
        <v>LAC vs WAS - Q2 06:13.00</v>
      </c>
      <c r="M1065">
        <v>26.74</v>
      </c>
      <c r="N1065">
        <v>30.8</v>
      </c>
      <c r="O1065">
        <v>74.75</v>
      </c>
      <c r="P1065">
        <v>-124</v>
      </c>
      <c r="Q1065">
        <v>237</v>
      </c>
      <c r="R1065">
        <v>30</v>
      </c>
      <c r="S1065">
        <v>74</v>
      </c>
    </row>
    <row r="1066" spans="1:19" hidden="1" x14ac:dyDescent="0.25">
      <c r="A1066">
        <v>22000756</v>
      </c>
      <c r="B1066" t="s">
        <v>26</v>
      </c>
      <c r="C1066" t="s">
        <v>19</v>
      </c>
      <c r="D1066">
        <v>70</v>
      </c>
      <c r="E1066">
        <v>47</v>
      </c>
      <c r="F1066">
        <v>23</v>
      </c>
      <c r="G1066">
        <v>3</v>
      </c>
      <c r="H1066" s="1">
        <v>2.8819444444444444E-3</v>
      </c>
      <c r="I1066">
        <v>2020</v>
      </c>
      <c r="J1066" t="s">
        <v>83</v>
      </c>
      <c r="K1066" s="2" t="str">
        <f>HYPERLINK("https://www.nba.com/stats/events?CFID=&amp;CFPARAMS=&amp;GameEventID=429&amp;GameID=0022000756&amp;Season=2020-21&amp;flag=1&amp;title=Leonard%2026'%203PT%20pullup%20(13%20PTS)%20(R.%20Rondo%203%20AST)", "26' 3PT pullup (13 PTS) (R. Rondo 3 AST)")</f>
        <v>26' 3PT pullup (13 PTS) (R. Rondo 3 AST)</v>
      </c>
      <c r="L1066" s="2" t="str">
        <f>HYPERLINK("https://www.nba.com/game/...-vs-...-0022000756/play-by-play?watchFullGame=true", "LAC vs LAL - Q3 04:09.00")</f>
        <v>LAC vs LAL - Q3 04:09.00</v>
      </c>
      <c r="M1066">
        <v>26.63</v>
      </c>
      <c r="N1066">
        <v>30.96</v>
      </c>
      <c r="O1066">
        <v>26.29</v>
      </c>
      <c r="P1066">
        <v>119</v>
      </c>
      <c r="Q1066">
        <v>239</v>
      </c>
      <c r="R1066">
        <v>30</v>
      </c>
      <c r="S1066">
        <v>26</v>
      </c>
    </row>
    <row r="1067" spans="1:19" hidden="1" x14ac:dyDescent="0.25">
      <c r="A1067">
        <v>22301225</v>
      </c>
      <c r="B1067" t="s">
        <v>26</v>
      </c>
      <c r="C1067" t="s">
        <v>19</v>
      </c>
      <c r="D1067">
        <v>108</v>
      </c>
      <c r="E1067">
        <v>93</v>
      </c>
      <c r="F1067">
        <v>15</v>
      </c>
      <c r="G1067">
        <v>4</v>
      </c>
      <c r="H1067" s="1">
        <v>3.6689814814814814E-3</v>
      </c>
      <c r="I1067">
        <v>2023</v>
      </c>
      <c r="J1067" t="s">
        <v>83</v>
      </c>
      <c r="K1067" s="2" t="str">
        <f>HYPERLINK("https://www.nba.com/stats/events?CFID=&amp;CFPARAMS=&amp;GameEventID=602&amp;GameID=0022301225&amp;Season=2023-24&amp;flag=1&amp;title=Leonard%2026'%203PT%20pullup%20(39%20PTS)", "26' 3PT pullup (39 PTS)")</f>
        <v>26' 3PT pullup (39 PTS)</v>
      </c>
      <c r="L1067" s="2" t="str">
        <f>HYPERLINK("https://www.nba.com/game/...-vs-...-0022301225/play-by-play?watchFullGame=true", "LAC vs UTA - Q4 05:17.00")</f>
        <v>LAC vs UTA - Q4 05:17.00</v>
      </c>
      <c r="M1067">
        <v>26.57</v>
      </c>
      <c r="N1067">
        <v>30.17</v>
      </c>
      <c r="O1067">
        <v>23.77</v>
      </c>
      <c r="P1067">
        <v>131</v>
      </c>
      <c r="Q1067">
        <v>231</v>
      </c>
      <c r="R1067">
        <v>30</v>
      </c>
      <c r="S1067">
        <v>23</v>
      </c>
    </row>
    <row r="1068" spans="1:19" hidden="1" x14ac:dyDescent="0.25">
      <c r="A1068">
        <v>41900235</v>
      </c>
      <c r="B1068" t="s">
        <v>26</v>
      </c>
      <c r="C1068" t="s">
        <v>84</v>
      </c>
      <c r="D1068">
        <v>94</v>
      </c>
      <c r="E1068">
        <v>96</v>
      </c>
      <c r="F1068">
        <v>2</v>
      </c>
      <c r="G1068">
        <v>4</v>
      </c>
      <c r="H1068" s="1">
        <v>3.3564814814814816E-3</v>
      </c>
      <c r="I1068" t="s">
        <v>85</v>
      </c>
      <c r="J1068" t="s">
        <v>83</v>
      </c>
      <c r="K1068" s="2" t="str">
        <f>HYPERLINK("https://www.nba.com/stats/events?CFID=&amp;CFPARAMS=&amp;GameEventID=565&amp;GameID=0041900235&amp;Season=2019-20&amp;flag=1&amp;title=Leonard%2026'%203PT%20%20(29%20PTS)%20(P.%20George%205%20AST)", "26' 3PT  (29 PTS) (P. George 5 AST)")</f>
        <v>26' 3PT  (29 PTS) (P. George 5 AST)</v>
      </c>
      <c r="L1068" s="2" t="str">
        <f>HYPERLINK("https://www.nba.com/game/...-vs-...-0041900235/play-by-play?watchFullGame=true", "LAC vs DEN - Q4 04:50.00")</f>
        <v>LAC vs DEN - Q4 04:50.00</v>
      </c>
      <c r="M1068">
        <v>26.33</v>
      </c>
      <c r="N1068">
        <v>30.04</v>
      </c>
      <c r="O1068">
        <v>73.599999999999994</v>
      </c>
      <c r="P1068">
        <v>-118</v>
      </c>
      <c r="Q1068">
        <v>230</v>
      </c>
      <c r="R1068">
        <v>30</v>
      </c>
      <c r="S1068">
        <v>73</v>
      </c>
    </row>
    <row r="1069" spans="1:19" hidden="1" x14ac:dyDescent="0.25">
      <c r="A1069">
        <v>22200902</v>
      </c>
      <c r="B1069" t="s">
        <v>26</v>
      </c>
      <c r="C1069" t="s">
        <v>19</v>
      </c>
      <c r="D1069">
        <v>83</v>
      </c>
      <c r="E1069">
        <v>76</v>
      </c>
      <c r="F1069">
        <v>7</v>
      </c>
      <c r="G1069">
        <v>3</v>
      </c>
      <c r="H1069" s="1">
        <v>8.0208333333333329E-3</v>
      </c>
      <c r="I1069">
        <v>2022</v>
      </c>
      <c r="J1069" t="s">
        <v>83</v>
      </c>
      <c r="K1069" s="2" t="str">
        <f>HYPERLINK("https://www.nba.com/stats/events?CFID=&amp;CFPARAMS=&amp;GameEventID=353&amp;GameID=0022200902&amp;Season=2022-23&amp;flag=1&amp;title=Leonard%2026'%203PT%20%20(20%20PTS)%20(R.%20Westbrook%207%20AST)", "26' 3PT  (20 PTS) (R. Westbrook 7 AST)")</f>
        <v>26' 3PT  (20 PTS) (R. Westbrook 7 AST)</v>
      </c>
      <c r="L1069" s="2" t="str">
        <f>HYPERLINK("https://www.nba.com/game/...-vs-...-0022200902/play-by-play?watchFullGame=true", "LAC vs SAC - Q3 11:33.00")</f>
        <v>LAC vs SAC - Q3 11:33.00</v>
      </c>
      <c r="M1069">
        <v>26.3</v>
      </c>
      <c r="N1069">
        <v>30.14</v>
      </c>
      <c r="O1069">
        <v>24.75</v>
      </c>
      <c r="P1069">
        <v>126</v>
      </c>
      <c r="Q1069">
        <v>231</v>
      </c>
      <c r="R1069">
        <v>30</v>
      </c>
      <c r="S1069">
        <v>24</v>
      </c>
    </row>
    <row r="1070" spans="1:19" hidden="1" x14ac:dyDescent="0.25">
      <c r="A1070">
        <v>22201096</v>
      </c>
      <c r="B1070" t="s">
        <v>26</v>
      </c>
      <c r="C1070" t="s">
        <v>19</v>
      </c>
      <c r="D1070">
        <v>86</v>
      </c>
      <c r="E1070">
        <v>78</v>
      </c>
      <c r="F1070">
        <v>8</v>
      </c>
      <c r="G1070">
        <v>3</v>
      </c>
      <c r="H1070" s="1">
        <v>9.7222222222222219E-4</v>
      </c>
      <c r="I1070">
        <v>2022</v>
      </c>
      <c r="J1070" t="s">
        <v>83</v>
      </c>
      <c r="K1070" s="2" t="str">
        <f>HYPERLINK("https://www.nba.com/stats/events?CFID=&amp;CFPARAMS=&amp;GameEventID=459&amp;GameID=0022201096&amp;Season=2022-23&amp;flag=1&amp;title=Leonard%2026'%203PT%20running%20pullup%20(30%20PTS)", "26' 3PT running pullup (30 PTS)")</f>
        <v>26' 3PT running pullup (30 PTS)</v>
      </c>
      <c r="L1070" s="2" t="str">
        <f>HYPERLINK("https://www.nba.com/game/...-vs-...-0022201096/play-by-play?watchFullGame=true", "LAC vs OKC - Q3 01:24.00")</f>
        <v>LAC vs OKC - Q3 01:24.00</v>
      </c>
      <c r="M1070">
        <v>26.19</v>
      </c>
      <c r="N1070">
        <v>30.4</v>
      </c>
      <c r="O1070">
        <v>26.23</v>
      </c>
      <c r="P1070">
        <v>119</v>
      </c>
      <c r="Q1070">
        <v>233</v>
      </c>
      <c r="R1070">
        <v>30</v>
      </c>
      <c r="S1070">
        <v>26</v>
      </c>
    </row>
    <row r="1071" spans="1:19" hidden="1" x14ac:dyDescent="0.25">
      <c r="A1071">
        <v>42000222</v>
      </c>
      <c r="B1071" t="s">
        <v>26</v>
      </c>
      <c r="C1071" t="s">
        <v>19</v>
      </c>
      <c r="D1071">
        <v>53</v>
      </c>
      <c r="E1071">
        <v>60</v>
      </c>
      <c r="F1071">
        <v>7</v>
      </c>
      <c r="G1071">
        <v>2</v>
      </c>
      <c r="H1071" s="1">
        <v>7.5231481481481482E-4</v>
      </c>
      <c r="I1071" t="s">
        <v>94</v>
      </c>
      <c r="J1071" t="s">
        <v>83</v>
      </c>
      <c r="K1071" s="2" t="str">
        <f>HYPERLINK("https://www.nba.com/stats/events?CFID=&amp;CFPARAMS=&amp;GameEventID=293&amp;GameID=0042000222&amp;Season=2020-21&amp;flag=1&amp;title=Leonard%2026'%203PT%20step%20back%20(14%20PTS)", "26' 3PT step back (14 PTS)")</f>
        <v>26' 3PT step back (14 PTS)</v>
      </c>
      <c r="L1071" s="2" t="str">
        <f>HYPERLINK("https://www.nba.com/game/...-vs-...-0042000222/play-by-play?watchFullGame=true", "LAC vs UTA - Q2 01:05.00")</f>
        <v>LAC vs UTA - Q2 01:05.00</v>
      </c>
      <c r="M1071">
        <v>26.1</v>
      </c>
      <c r="N1071">
        <v>30.83</v>
      </c>
      <c r="O1071">
        <v>28.26</v>
      </c>
      <c r="P1071">
        <v>30</v>
      </c>
      <c r="Q1071">
        <v>28</v>
      </c>
      <c r="R1071">
        <v>30</v>
      </c>
      <c r="S1071">
        <v>28</v>
      </c>
    </row>
    <row r="1072" spans="1:19" hidden="1" x14ac:dyDescent="0.25">
      <c r="A1072">
        <v>22300708</v>
      </c>
      <c r="B1072" t="s">
        <v>26</v>
      </c>
      <c r="C1072" t="s">
        <v>19</v>
      </c>
      <c r="D1072">
        <v>41</v>
      </c>
      <c r="E1072">
        <v>36</v>
      </c>
      <c r="F1072">
        <v>5</v>
      </c>
      <c r="G1072">
        <v>2</v>
      </c>
      <c r="H1072" s="1">
        <v>1.9907407407407408E-3</v>
      </c>
      <c r="I1072">
        <v>2023</v>
      </c>
      <c r="J1072" t="s">
        <v>83</v>
      </c>
      <c r="K1072" s="2" t="str">
        <f>HYPERLINK("https://www.nba.com/stats/events?CFID=&amp;CFPARAMS=&amp;GameEventID=230&amp;GameID=0022300708&amp;Season=2023-24&amp;flag=1&amp;title=Leonard%2025'%203PT%20%20(9%20PTS)%20(T.%20Mann%201%20AST)", "25' 3PT  (9 PTS) (T. Mann 1 AST)")</f>
        <v>25' 3PT  (9 PTS) (T. Mann 1 AST)</v>
      </c>
      <c r="L1072" s="2" t="str">
        <f>HYPERLINK("https://www.nba.com/game/...-vs-...-0022300708/play-by-play?watchFullGame=true", "LAC vs MIA - Q2 02:52.00")</f>
        <v>LAC vs MIA - Q2 02:52.00</v>
      </c>
      <c r="M1072">
        <v>25.99</v>
      </c>
      <c r="N1072">
        <v>30.57</v>
      </c>
      <c r="O1072">
        <v>72.3</v>
      </c>
      <c r="P1072">
        <v>-112</v>
      </c>
      <c r="Q1072">
        <v>235</v>
      </c>
      <c r="R1072">
        <v>30</v>
      </c>
      <c r="S1072">
        <v>72</v>
      </c>
    </row>
    <row r="1073" spans="1:19" hidden="1" x14ac:dyDescent="0.25">
      <c r="A1073">
        <v>22200918</v>
      </c>
      <c r="B1073" t="s">
        <v>26</v>
      </c>
      <c r="C1073" t="s">
        <v>19</v>
      </c>
      <c r="D1073">
        <v>105</v>
      </c>
      <c r="E1073">
        <v>107</v>
      </c>
      <c r="F1073">
        <v>2</v>
      </c>
      <c r="G1073">
        <v>4</v>
      </c>
      <c r="H1073" s="1">
        <v>3.8194444444444443E-3</v>
      </c>
      <c r="I1073">
        <v>2022</v>
      </c>
      <c r="J1073" t="s">
        <v>83</v>
      </c>
      <c r="K1073" s="2" t="str">
        <f>HYPERLINK("https://www.nba.com/stats/events?CFID=&amp;CFPARAMS=&amp;GameEventID=576&amp;GameID=0022200918&amp;Season=2022-23&amp;flag=1&amp;title=Leonard%2025'%203PT%20pullup%20(26%20PTS)", "25' 3PT pullup (26 PTS)")</f>
        <v>25' 3PT pullup (26 PTS)</v>
      </c>
      <c r="L1073" s="2" t="str">
        <f>HYPERLINK("https://www.nba.com/game/...-vs-...-0022200918/play-by-play?watchFullGame=true", "LAC vs DEN - Q4 05:30.00")</f>
        <v>LAC vs DEN - Q4 05:30.00</v>
      </c>
      <c r="M1073">
        <v>25.89</v>
      </c>
      <c r="N1073">
        <v>30.31</v>
      </c>
      <c r="O1073">
        <v>27.21</v>
      </c>
      <c r="P1073">
        <v>114</v>
      </c>
      <c r="Q1073">
        <v>232</v>
      </c>
      <c r="R1073">
        <v>30</v>
      </c>
      <c r="S1073">
        <v>27</v>
      </c>
    </row>
    <row r="1074" spans="1:19" hidden="1" x14ac:dyDescent="0.25">
      <c r="A1074">
        <v>22300688</v>
      </c>
      <c r="B1074" t="s">
        <v>26</v>
      </c>
      <c r="C1074" t="s">
        <v>19</v>
      </c>
      <c r="D1074">
        <v>70</v>
      </c>
      <c r="E1074">
        <v>65</v>
      </c>
      <c r="F1074">
        <v>5</v>
      </c>
      <c r="G1074">
        <v>3</v>
      </c>
      <c r="H1074" s="1">
        <v>7.1527777777777779E-3</v>
      </c>
      <c r="I1074">
        <v>2023</v>
      </c>
      <c r="J1074" t="s">
        <v>83</v>
      </c>
      <c r="K1074" s="2" t="str">
        <f>HYPERLINK("https://www.nba.com/stats/events?CFID=&amp;CFPARAMS=&amp;GameEventID=342&amp;GameID=0022300688&amp;Season=2023-24&amp;flag=1&amp;title=Leonard%2025'%203PT%20%20(24%20PTS)%20(J.%20Harden%202%20AST)", "25' 3PT  (24 PTS) (J. Harden 2 AST)")</f>
        <v>25' 3PT  (24 PTS) (J. Harden 2 AST)</v>
      </c>
      <c r="L1074" s="2" t="str">
        <f>HYPERLINK("https://www.nba.com/game/...-vs-...-0022300688/play-by-play?watchFullGame=true", "LAC vs DET - Q3 10:18.00")</f>
        <v>LAC vs DET - Q3 10:18.00</v>
      </c>
      <c r="M1074">
        <v>25.83</v>
      </c>
      <c r="N1074">
        <v>30.31</v>
      </c>
      <c r="O1074">
        <v>27.45</v>
      </c>
      <c r="P1074">
        <v>113</v>
      </c>
      <c r="Q1074">
        <v>232</v>
      </c>
      <c r="R1074">
        <v>30</v>
      </c>
      <c r="S1074">
        <v>27</v>
      </c>
    </row>
    <row r="1075" spans="1:19" hidden="1" x14ac:dyDescent="0.25">
      <c r="A1075">
        <v>22201129</v>
      </c>
      <c r="B1075" t="s">
        <v>26</v>
      </c>
      <c r="C1075" t="s">
        <v>19</v>
      </c>
      <c r="D1075">
        <v>14</v>
      </c>
      <c r="E1075">
        <v>8</v>
      </c>
      <c r="F1075">
        <v>6</v>
      </c>
      <c r="G1075">
        <v>1</v>
      </c>
      <c r="H1075" s="1">
        <v>6.4236111111111108E-3</v>
      </c>
      <c r="I1075">
        <v>2022</v>
      </c>
      <c r="J1075" t="s">
        <v>83</v>
      </c>
      <c r="K1075" s="2" t="str">
        <f>HYPERLINK("https://www.nba.com/stats/events?CFID=&amp;CFPARAMS=&amp;GameEventID=33&amp;GameID=0022201129&amp;Season=2022-23&amp;flag=1&amp;title=Leonard%2025'%203PT%20%20(3%20PTS)%20(E.%20Gordon%201%20AST)", "25' 3PT  (3 PTS) (E. Gordon 1 AST)")</f>
        <v>25' 3PT  (3 PTS) (E. Gordon 1 AST)</v>
      </c>
      <c r="L1075" s="2" t="str">
        <f>HYPERLINK("https://www.nba.com/game/...-vs-...-0022201129/play-by-play?watchFullGame=true", "LAC vs CHI - Q1 09:15.00")</f>
        <v>LAC vs CHI - Q1 09:15.00</v>
      </c>
      <c r="M1075">
        <v>25.81</v>
      </c>
      <c r="N1075">
        <v>30.54</v>
      </c>
      <c r="O1075">
        <v>28.43</v>
      </c>
      <c r="P1075">
        <v>108</v>
      </c>
      <c r="Q1075">
        <v>235</v>
      </c>
      <c r="R1075">
        <v>30</v>
      </c>
      <c r="S1075">
        <v>28</v>
      </c>
    </row>
    <row r="1076" spans="1:19" hidden="1" x14ac:dyDescent="0.25">
      <c r="A1076">
        <v>41900236</v>
      </c>
      <c r="B1076" t="s">
        <v>26</v>
      </c>
      <c r="C1076" t="s">
        <v>84</v>
      </c>
      <c r="D1076">
        <v>60</v>
      </c>
      <c r="E1076">
        <v>47</v>
      </c>
      <c r="F1076">
        <v>13</v>
      </c>
      <c r="G1076">
        <v>2</v>
      </c>
      <c r="H1076" s="1">
        <v>7.6388888888888893E-4</v>
      </c>
      <c r="I1076" t="s">
        <v>85</v>
      </c>
      <c r="J1076" t="s">
        <v>83</v>
      </c>
      <c r="K1076" s="2" t="str">
        <f>HYPERLINK("https://www.nba.com/stats/events?CFID=&amp;CFPARAMS=&amp;GameEventID=298&amp;GameID=0041900236&amp;Season=2019-20&amp;flag=1&amp;title=Leonard%2026'%203PT%20%20(14%20PTS)%20(I.%20Zubac%201%20AST)", "26' 3PT  (14 PTS) (I. Zubac 1 AST)")</f>
        <v>26' 3PT  (14 PTS) (I. Zubac 1 AST)</v>
      </c>
      <c r="L1076" s="2" t="str">
        <f>HYPERLINK("https://www.nba.com/game/...-vs-...-0041900236/play-by-play?watchFullGame=true", "LAC vs DEN - Q2 01:06.00")</f>
        <v>LAC vs DEN - Q2 01:06.00</v>
      </c>
      <c r="M1076">
        <v>25.64</v>
      </c>
      <c r="N1076">
        <v>30.83</v>
      </c>
      <c r="O1076">
        <v>66.489999999999995</v>
      </c>
      <c r="P1076">
        <v>-82</v>
      </c>
      <c r="Q1076">
        <v>237</v>
      </c>
      <c r="R1076">
        <v>30</v>
      </c>
      <c r="S1076">
        <v>66</v>
      </c>
    </row>
    <row r="1077" spans="1:19" hidden="1" x14ac:dyDescent="0.25">
      <c r="A1077">
        <v>21901271</v>
      </c>
      <c r="B1077" t="s">
        <v>26</v>
      </c>
      <c r="C1077" t="s">
        <v>84</v>
      </c>
      <c r="D1077">
        <v>56</v>
      </c>
      <c r="E1077">
        <v>55</v>
      </c>
      <c r="F1077">
        <v>1</v>
      </c>
      <c r="G1077">
        <v>2</v>
      </c>
      <c r="H1077" s="1">
        <v>5.7523148148148147E-4</v>
      </c>
      <c r="I1077">
        <v>2019</v>
      </c>
      <c r="J1077" t="s">
        <v>83</v>
      </c>
      <c r="K1077" s="2" t="str">
        <f>HYPERLINK("https://www.nba.com/stats/events?CFID=&amp;CFPARAMS=&amp;GameEventID=321&amp;GameID=0021901271&amp;Season=2019-20&amp;flag=1&amp;title=Leonard%2026'%203PT%20%20(14%20PTS)", "26' 3PT  (14 PTS)")</f>
        <v>26' 3PT  (14 PTS)</v>
      </c>
      <c r="L1077" s="2" t="str">
        <f>HYPERLINK("https://www.nba.com/game/...-vs-...-0021901271/play-by-play?watchFullGame=true", "LAC vs DAL - Q2 00:49.70")</f>
        <v>LAC vs DAL - Q2 00:49.70</v>
      </c>
      <c r="M1077">
        <v>25.63</v>
      </c>
      <c r="N1077">
        <v>30.44</v>
      </c>
      <c r="O1077">
        <v>68.45</v>
      </c>
      <c r="P1077">
        <v>-92</v>
      </c>
      <c r="Q1077">
        <v>234</v>
      </c>
      <c r="R1077">
        <v>30</v>
      </c>
      <c r="S1077">
        <v>68</v>
      </c>
    </row>
    <row r="1078" spans="1:19" hidden="1" x14ac:dyDescent="0.25">
      <c r="A1078">
        <v>42200171</v>
      </c>
      <c r="B1078" t="s">
        <v>26</v>
      </c>
      <c r="C1078" t="s">
        <v>19</v>
      </c>
      <c r="D1078">
        <v>106</v>
      </c>
      <c r="E1078">
        <v>101</v>
      </c>
      <c r="F1078">
        <v>5</v>
      </c>
      <c r="G1078">
        <v>4</v>
      </c>
      <c r="H1078" s="1">
        <v>1.3888888888888889E-3</v>
      </c>
      <c r="I1078" t="s">
        <v>96</v>
      </c>
      <c r="J1078" t="s">
        <v>83</v>
      </c>
      <c r="K1078" s="2" t="str">
        <f>HYPERLINK("https://www.nba.com/stats/events?CFID=&amp;CFPARAMS=&amp;GameEventID=639&amp;GameID=0042200171&amp;Season=2022-23&amp;flag=1&amp;title=Leonard%2025'%203PT%20%20(38%20PTS)%20(E.%20Gordon%202%20AST)", "25' 3PT  (38 PTS) (E. Gordon 2 AST)")</f>
        <v>25' 3PT  (38 PTS) (E. Gordon 2 AST)</v>
      </c>
      <c r="L1078" s="2" t="str">
        <f>HYPERLINK("https://www.nba.com/game/...-vs-...-0042200171/play-by-play?watchFullGame=true", "LAC vs PHX - Q4 02:00.00")</f>
        <v>LAC vs PHX - Q4 02:00.00</v>
      </c>
      <c r="M1078">
        <v>25.63</v>
      </c>
      <c r="N1078">
        <v>30.83</v>
      </c>
      <c r="O1078">
        <v>69.36</v>
      </c>
      <c r="P1078">
        <v>30</v>
      </c>
      <c r="Q1078">
        <v>69</v>
      </c>
      <c r="R1078">
        <v>30</v>
      </c>
      <c r="S1078">
        <v>69</v>
      </c>
    </row>
    <row r="1079" spans="1:19" hidden="1" x14ac:dyDescent="0.25">
      <c r="A1079">
        <v>22200871</v>
      </c>
      <c r="B1079" t="s">
        <v>26</v>
      </c>
      <c r="C1079" t="s">
        <v>19</v>
      </c>
      <c r="D1079">
        <v>66</v>
      </c>
      <c r="E1079">
        <v>67</v>
      </c>
      <c r="F1079">
        <v>1</v>
      </c>
      <c r="G1079">
        <v>3</v>
      </c>
      <c r="H1079" s="1">
        <v>7.6620370370370366E-3</v>
      </c>
      <c r="I1079">
        <v>2022</v>
      </c>
      <c r="J1079" t="s">
        <v>83</v>
      </c>
      <c r="K1079" s="2" t="str">
        <f>HYPERLINK("https://www.nba.com/stats/events?CFID=&amp;CFPARAMS=&amp;GameEventID=346&amp;GameID=0022200871&amp;Season=2022-23&amp;flag=1&amp;title=Leonard%2025'%203PT%20running%20pullup%20(16%20PTS)%20(P.%20George%204%20AST)", "25' 3PT running pullup (16 PTS) (P. George 4 AST)")</f>
        <v>25' 3PT running pullup (16 PTS) (P. George 4 AST)</v>
      </c>
      <c r="L1079" s="2" t="str">
        <f>HYPERLINK("https://www.nba.com/game/...-vs-...-0022200871/play-by-play?watchFullGame=true", "LAC vs GSW - Q3 11:02.00")</f>
        <v>LAC vs GSW - Q3 11:02.00</v>
      </c>
      <c r="M1079">
        <v>25.49</v>
      </c>
      <c r="N1079">
        <v>30.93</v>
      </c>
      <c r="O1079">
        <v>31.86</v>
      </c>
      <c r="P1079">
        <v>91</v>
      </c>
      <c r="Q1079">
        <v>238</v>
      </c>
      <c r="R1079">
        <v>30</v>
      </c>
      <c r="S1079">
        <v>31</v>
      </c>
    </row>
    <row r="1080" spans="1:19" hidden="1" x14ac:dyDescent="0.25">
      <c r="A1080">
        <v>21901291</v>
      </c>
      <c r="B1080" t="s">
        <v>26</v>
      </c>
      <c r="C1080" t="s">
        <v>84</v>
      </c>
      <c r="D1080">
        <v>71</v>
      </c>
      <c r="E1080">
        <v>74</v>
      </c>
      <c r="F1080">
        <v>3</v>
      </c>
      <c r="G1080">
        <v>3</v>
      </c>
      <c r="H1080" s="1">
        <v>7.6157407407407406E-3</v>
      </c>
      <c r="I1080">
        <v>2019</v>
      </c>
      <c r="J1080" t="s">
        <v>83</v>
      </c>
      <c r="K1080" s="2" t="str">
        <f>HYPERLINK("https://www.nba.com/stats/events?CFID=&amp;CFPARAMS=&amp;GameEventID=345&amp;GameID=0021901291&amp;Season=2019-20&amp;flag=1&amp;title=Leonard%2025'%203PT%20%20(27%20PTS)", "25' 3PT  (27 PTS)")</f>
        <v>25' 3PT  (27 PTS)</v>
      </c>
      <c r="L1080" s="2" t="str">
        <f>HYPERLINK("https://www.nba.com/game/...-vs-...-0021901291/play-by-play?watchFullGame=true", "LAC vs BKN - Q3 10:58.00")</f>
        <v>LAC vs BKN - Q3 10:58.00</v>
      </c>
      <c r="M1080">
        <v>25.46</v>
      </c>
      <c r="N1080">
        <v>30.44</v>
      </c>
      <c r="O1080">
        <v>67.47</v>
      </c>
      <c r="P1080">
        <v>-87</v>
      </c>
      <c r="Q1080">
        <v>234</v>
      </c>
      <c r="R1080">
        <v>30</v>
      </c>
      <c r="S1080">
        <v>67</v>
      </c>
    </row>
    <row r="1081" spans="1:19" hidden="1" x14ac:dyDescent="0.25">
      <c r="A1081">
        <v>22000701</v>
      </c>
      <c r="B1081" t="s">
        <v>26</v>
      </c>
      <c r="C1081" t="s">
        <v>19</v>
      </c>
      <c r="D1081">
        <v>60</v>
      </c>
      <c r="E1081">
        <v>57</v>
      </c>
      <c r="F1081">
        <v>3</v>
      </c>
      <c r="G1081">
        <v>2</v>
      </c>
      <c r="H1081" s="1">
        <v>1.5277777777777779E-3</v>
      </c>
      <c r="I1081">
        <v>2020</v>
      </c>
      <c r="J1081" t="s">
        <v>83</v>
      </c>
      <c r="K1081" s="2" t="str">
        <f>HYPERLINK("https://www.nba.com/stats/events?CFID=&amp;CFPARAMS=&amp;GameEventID=280&amp;GameID=0022000701&amp;Season=2020-21&amp;flag=1&amp;title=Leonard%2025'%203PT%20step%20back%20(17%20PTS)", "25' 3PT step back (17 PTS)")</f>
        <v>25' 3PT step back (17 PTS)</v>
      </c>
      <c r="L1081" s="2" t="str">
        <f>HYPERLINK("https://www.nba.com/game/...-vs-...-0022000701/play-by-play?watchFullGame=true", "LAC vs PHI - Q2 02:12.00")</f>
        <v>LAC vs PHI - Q2 02:12.00</v>
      </c>
      <c r="M1081">
        <v>25.4</v>
      </c>
      <c r="N1081">
        <v>30.27</v>
      </c>
      <c r="O1081">
        <v>29.34</v>
      </c>
      <c r="P1081">
        <v>103</v>
      </c>
      <c r="Q1081">
        <v>232</v>
      </c>
      <c r="R1081">
        <v>30</v>
      </c>
      <c r="S1081">
        <v>29</v>
      </c>
    </row>
    <row r="1082" spans="1:19" hidden="1" x14ac:dyDescent="0.25">
      <c r="A1082">
        <v>22200871</v>
      </c>
      <c r="B1082" t="s">
        <v>26</v>
      </c>
      <c r="C1082" t="s">
        <v>19</v>
      </c>
      <c r="D1082">
        <v>76</v>
      </c>
      <c r="E1082">
        <v>73</v>
      </c>
      <c r="F1082">
        <v>3</v>
      </c>
      <c r="G1082">
        <v>3</v>
      </c>
      <c r="H1082" s="1">
        <v>6.2384259259259259E-3</v>
      </c>
      <c r="I1082">
        <v>2022</v>
      </c>
      <c r="J1082" t="s">
        <v>83</v>
      </c>
      <c r="K1082" s="2" t="str">
        <f>HYPERLINK("https://www.nba.com/stats/events?CFID=&amp;CFPARAMS=&amp;GameEventID=367&amp;GameID=0022200871&amp;Season=2022-23&amp;flag=1&amp;title=Leonard%2025'%203PT%20step%20back%20(24%20PTS)", "25' 3PT step back (24 PTS)")</f>
        <v>25' 3PT step back (24 PTS)</v>
      </c>
      <c r="L1082" s="2" t="str">
        <f>HYPERLINK("https://www.nba.com/game/...-vs-...-0022200871/play-by-play?watchFullGame=true", "LAC vs GSW - Q3 08:59.00")</f>
        <v>LAC vs GSW - Q3 08:59.00</v>
      </c>
      <c r="M1082">
        <v>25.29</v>
      </c>
      <c r="N1082">
        <v>30.27</v>
      </c>
      <c r="O1082">
        <v>29.9</v>
      </c>
      <c r="P1082">
        <v>100</v>
      </c>
      <c r="Q1082">
        <v>232</v>
      </c>
      <c r="R1082">
        <v>30</v>
      </c>
      <c r="S1082">
        <v>29</v>
      </c>
    </row>
    <row r="1083" spans="1:19" hidden="1" x14ac:dyDescent="0.25">
      <c r="A1083">
        <v>22200239</v>
      </c>
      <c r="B1083" t="s">
        <v>26</v>
      </c>
      <c r="C1083" t="s">
        <v>19</v>
      </c>
      <c r="D1083">
        <v>74</v>
      </c>
      <c r="E1083">
        <v>56</v>
      </c>
      <c r="F1083">
        <v>18</v>
      </c>
      <c r="G1083">
        <v>3</v>
      </c>
      <c r="H1083" s="1">
        <v>5.6481481481481478E-3</v>
      </c>
      <c r="I1083">
        <v>2022</v>
      </c>
      <c r="J1083" t="s">
        <v>83</v>
      </c>
      <c r="K1083" s="2" t="str">
        <f>HYPERLINK("https://www.nba.com/stats/events?CFID=&amp;CFPARAMS=&amp;GameEventID=350&amp;GameID=0022200239&amp;Season=2022-23&amp;flag=1&amp;title=Leonard%2025'%203PT%20pullup%20(9%20PTS)%20(M.%20Morris%20Sr.%202%20AST)", "25' 3PT pullup (9 PTS) (M. Morris Sr. 2 AST)")</f>
        <v>25' 3PT pullup (9 PTS) (M. Morris Sr. 2 AST)</v>
      </c>
      <c r="L1083" s="2" t="str">
        <f>HYPERLINK("https://www.nba.com/game/...-vs-...-0022200239/play-by-play?watchFullGame=true", "LAC vs SAS - Q3 08:08.00")</f>
        <v>LAC vs SAS - Q3 08:08.00</v>
      </c>
      <c r="M1083">
        <v>25.27</v>
      </c>
      <c r="N1083">
        <v>30.14</v>
      </c>
      <c r="O1083">
        <v>29.41</v>
      </c>
      <c r="P1083">
        <v>103</v>
      </c>
      <c r="Q1083">
        <v>231</v>
      </c>
      <c r="R1083">
        <v>30</v>
      </c>
      <c r="S1083">
        <v>29</v>
      </c>
    </row>
    <row r="1084" spans="1:19" hidden="1" x14ac:dyDescent="0.25">
      <c r="A1084">
        <v>22300873</v>
      </c>
      <c r="B1084" t="s">
        <v>26</v>
      </c>
      <c r="C1084" t="s">
        <v>19</v>
      </c>
      <c r="D1084">
        <v>5</v>
      </c>
      <c r="E1084">
        <v>16</v>
      </c>
      <c r="F1084">
        <v>11</v>
      </c>
      <c r="G1084">
        <v>1</v>
      </c>
      <c r="H1084" s="1">
        <v>5.1273148148148146E-3</v>
      </c>
      <c r="I1084">
        <v>2023</v>
      </c>
      <c r="J1084" t="s">
        <v>83</v>
      </c>
      <c r="K1084" s="2" t="str">
        <f>HYPERLINK("https://www.nba.com/stats/events?CFID=&amp;CFPARAMS=&amp;GameEventID=42&amp;GameID=0022300873&amp;Season=2023-24&amp;flag=1&amp;title=Leonard%2025'%203PT%20%20(5%20PTS)%20(J.%20Harden%201%20AST)", "25' 3PT  (5 PTS) (J. Harden 1 AST)")</f>
        <v>25' 3PT  (5 PTS) (J. Harden 1 AST)</v>
      </c>
      <c r="L1084" s="2" t="str">
        <f>HYPERLINK("https://www.nba.com/game/...-vs-...-0022300873/play-by-play?watchFullGame=true", "LAC vs MIN - Q1 07:23.00")</f>
        <v>LAC vs MIN - Q1 07:23.00</v>
      </c>
      <c r="M1084">
        <v>25.13</v>
      </c>
      <c r="N1084">
        <v>30.31</v>
      </c>
      <c r="O1084">
        <v>69.12</v>
      </c>
      <c r="P1084">
        <v>-96</v>
      </c>
      <c r="Q1084">
        <v>232</v>
      </c>
      <c r="R1084">
        <v>30</v>
      </c>
      <c r="S1084">
        <v>69</v>
      </c>
    </row>
    <row r="1085" spans="1:19" hidden="1" x14ac:dyDescent="0.25">
      <c r="A1085">
        <v>22200745</v>
      </c>
      <c r="B1085" t="s">
        <v>26</v>
      </c>
      <c r="C1085" t="s">
        <v>19</v>
      </c>
      <c r="D1085">
        <v>74</v>
      </c>
      <c r="E1085">
        <v>68</v>
      </c>
      <c r="F1085">
        <v>6</v>
      </c>
      <c r="G1085">
        <v>3</v>
      </c>
      <c r="H1085" s="1">
        <v>4.1087962962962962E-3</v>
      </c>
      <c r="I1085">
        <v>2022</v>
      </c>
      <c r="J1085" t="s">
        <v>83</v>
      </c>
      <c r="K1085" s="2" t="str">
        <f>HYPERLINK("https://www.nba.com/stats/events?CFID=&amp;CFPARAMS=&amp;GameEventID=352&amp;GameID=0022200745&amp;Season=2022-23&amp;flag=1&amp;title=Leonard%2024'%203PT%20step%20back%20(17%20PTS)%20(P.%20George%206%20AST)", "24' 3PT step back (17 PTS) (P. George 6 AST)")</f>
        <v>24' 3PT step back (17 PTS) (P. George 6 AST)</v>
      </c>
      <c r="L1085" s="2" t="str">
        <f>HYPERLINK("https://www.nba.com/game/...-vs-...-0022200745/play-by-play?watchFullGame=true", "LAC vs ATL - Q3 05:55.00")</f>
        <v>LAC vs ATL - Q3 05:55.00</v>
      </c>
      <c r="M1085">
        <v>24.9</v>
      </c>
      <c r="N1085">
        <v>30.04</v>
      </c>
      <c r="O1085">
        <v>30.88</v>
      </c>
      <c r="P1085">
        <v>96</v>
      </c>
      <c r="Q1085">
        <v>230</v>
      </c>
      <c r="R1085">
        <v>30</v>
      </c>
      <c r="S1085">
        <v>30</v>
      </c>
    </row>
    <row r="1086" spans="1:19" hidden="1" x14ac:dyDescent="0.25">
      <c r="A1086">
        <v>42000176</v>
      </c>
      <c r="B1086" t="s">
        <v>26</v>
      </c>
      <c r="C1086" t="s">
        <v>19</v>
      </c>
      <c r="D1086">
        <v>98</v>
      </c>
      <c r="E1086">
        <v>90</v>
      </c>
      <c r="F1086">
        <v>8</v>
      </c>
      <c r="G1086">
        <v>4</v>
      </c>
      <c r="H1086" s="1">
        <v>1.1689814814814816E-3</v>
      </c>
      <c r="I1086" t="s">
        <v>91</v>
      </c>
      <c r="J1086" t="s">
        <v>83</v>
      </c>
      <c r="K1086" s="2" t="str">
        <f>HYPERLINK("https://www.nba.com/stats/events?CFID=&amp;CFPARAMS=&amp;GameEventID=587&amp;GameID=0042000176&amp;Season=2020-21&amp;flag=1&amp;title=Leonard%2024'%203PT%20step%20back%20(45%20PTS)", "24' 3PT step back (45 PTS)")</f>
        <v>24' 3PT step back (45 PTS)</v>
      </c>
      <c r="L1086" s="2" t="str">
        <f>HYPERLINK("https://www.nba.com/game/...-vs-...-0042000176/play-by-play?watchFullGame=true", "LAC vs DAL - Q4 01:41.00")</f>
        <v>LAC vs DAL - Q4 01:41.00</v>
      </c>
      <c r="M1086">
        <v>24.83</v>
      </c>
      <c r="N1086">
        <v>30.83</v>
      </c>
      <c r="O1086">
        <v>35.36</v>
      </c>
      <c r="P1086">
        <v>30</v>
      </c>
      <c r="Q1086">
        <v>35</v>
      </c>
      <c r="R1086">
        <v>30</v>
      </c>
      <c r="S1086">
        <v>35</v>
      </c>
    </row>
    <row r="1087" spans="1:19" hidden="1" x14ac:dyDescent="0.25">
      <c r="A1087">
        <v>22400943</v>
      </c>
      <c r="B1087" t="s">
        <v>26</v>
      </c>
      <c r="C1087" t="s">
        <v>19</v>
      </c>
      <c r="D1087">
        <v>72</v>
      </c>
      <c r="E1087">
        <v>75</v>
      </c>
      <c r="F1087">
        <v>3</v>
      </c>
      <c r="G1087">
        <v>3</v>
      </c>
      <c r="H1087" s="1">
        <v>4.1435185185185186E-3</v>
      </c>
      <c r="I1087">
        <v>2024</v>
      </c>
      <c r="J1087" t="s">
        <v>83</v>
      </c>
      <c r="K1087" s="2" t="str">
        <f>HYPERLINK("https://www.nba.com/stats/events?CFID=&amp;CFPARAMS=&amp;GameEventID=382&amp;GameID=0022400943&amp;Season=2024-25&amp;flag=1&amp;title=Leonard%2024'%203PT%20step%20back%20(23%20PTS)%20(B.%20Bogdanovic%201%20AST)", "24' 3PT step back (23 PTS) (B. Bogdanovic 1 AST)")</f>
        <v>24' 3PT step back (23 PTS) (B. Bogdanovic 1 AST)</v>
      </c>
      <c r="L1087" s="2" t="str">
        <f>HYPERLINK("https://www.nba.com/game/...-vs-...-0022400943/play-by-play?watchFullGame=true", "LAC vs NOP - Q3 05:58.00")</f>
        <v>LAC vs NOP - Q3 05:58.00</v>
      </c>
      <c r="M1087">
        <v>24.77</v>
      </c>
      <c r="N1087">
        <v>30.7</v>
      </c>
      <c r="O1087">
        <v>35.049999999999997</v>
      </c>
      <c r="P1087">
        <v>75</v>
      </c>
      <c r="Q1087">
        <v>236</v>
      </c>
      <c r="R1087">
        <v>30</v>
      </c>
      <c r="S1087">
        <v>35</v>
      </c>
    </row>
    <row r="1088" spans="1:19" hidden="1" x14ac:dyDescent="0.25">
      <c r="A1088">
        <v>22300160</v>
      </c>
      <c r="B1088" t="s">
        <v>26</v>
      </c>
      <c r="C1088" t="s">
        <v>19</v>
      </c>
      <c r="D1088">
        <v>60</v>
      </c>
      <c r="E1088">
        <v>60</v>
      </c>
      <c r="F1088">
        <v>0</v>
      </c>
      <c r="G1088">
        <v>3</v>
      </c>
      <c r="H1088" s="1">
        <v>3.449074074074074E-3</v>
      </c>
      <c r="I1088">
        <v>2023</v>
      </c>
      <c r="J1088" t="s">
        <v>83</v>
      </c>
      <c r="K1088" s="2" t="str">
        <f>HYPERLINK("https://www.nba.com/stats/events?CFID=&amp;CFPARAMS=&amp;GameEventID=402&amp;GameID=0022300160&amp;Season=2023-24&amp;flag=1&amp;title=Leonard%2024'%203PT%20step%20back%20(13%20PTS)", "24' 3PT step back (13 PTS)")</f>
        <v>24' 3PT step back (13 PTS)</v>
      </c>
      <c r="L1088" s="2" t="str">
        <f>HYPERLINK("https://www.nba.com/game/...-vs-...-0022300160/play-by-play?watchFullGame=true", "LAC vs BKN - Q3 04:58.00")</f>
        <v>LAC vs BKN - Q3 04:58.00</v>
      </c>
      <c r="M1088">
        <v>24.76</v>
      </c>
      <c r="N1088">
        <v>30.44</v>
      </c>
      <c r="O1088">
        <v>66.42</v>
      </c>
      <c r="P1088">
        <v>-82</v>
      </c>
      <c r="Q1088">
        <v>234</v>
      </c>
      <c r="R1088">
        <v>30</v>
      </c>
      <c r="S1088">
        <v>66</v>
      </c>
    </row>
    <row r="1089" spans="1:19" hidden="1" x14ac:dyDescent="0.25">
      <c r="A1089">
        <v>22000554</v>
      </c>
      <c r="B1089" t="s">
        <v>26</v>
      </c>
      <c r="C1089" t="s">
        <v>19</v>
      </c>
      <c r="D1089">
        <v>25</v>
      </c>
      <c r="E1089">
        <v>25</v>
      </c>
      <c r="F1089">
        <v>0</v>
      </c>
      <c r="G1089">
        <v>2</v>
      </c>
      <c r="H1089" s="1">
        <v>8.1250000000000003E-3</v>
      </c>
      <c r="I1089">
        <v>2020</v>
      </c>
      <c r="J1089" t="s">
        <v>83</v>
      </c>
      <c r="K1089" s="2" t="str">
        <f>HYPERLINK("https://www.nba.com/stats/events?CFID=&amp;CFPARAMS=&amp;GameEventID=172&amp;GameID=0022000554&amp;Season=2020-21&amp;flag=1&amp;title=Leonard%2028'%203PT%20%20(5%20PTS)%20(L.%20Williams%201%20AST)", "28' 3PT  (5 PTS) (L. Williams 1 AST)")</f>
        <v>28' 3PT  (5 PTS) (L. Williams 1 AST)</v>
      </c>
      <c r="L1089" s="2" t="str">
        <f>HYPERLINK("https://www.nba.com/game/...-vs-...-0022000554/play-by-play?watchFullGame=true", "LAC vs WAS - Q2 11:42.00")</f>
        <v>LAC vs WAS - Q2 11:42.00</v>
      </c>
      <c r="M1089">
        <v>28.4</v>
      </c>
      <c r="N1089">
        <v>31.49</v>
      </c>
      <c r="O1089">
        <v>79.239999999999995</v>
      </c>
      <c r="P1089">
        <v>-146</v>
      </c>
      <c r="Q1089">
        <v>243</v>
      </c>
      <c r="R1089">
        <v>31</v>
      </c>
      <c r="S1089">
        <v>79</v>
      </c>
    </row>
    <row r="1090" spans="1:19" hidden="1" x14ac:dyDescent="0.25">
      <c r="A1090">
        <v>21900603</v>
      </c>
      <c r="B1090" t="s">
        <v>26</v>
      </c>
      <c r="C1090" t="s">
        <v>84</v>
      </c>
      <c r="D1090">
        <v>17</v>
      </c>
      <c r="E1090">
        <v>14</v>
      </c>
      <c r="F1090">
        <v>3</v>
      </c>
      <c r="G1090">
        <v>1</v>
      </c>
      <c r="H1090" s="1">
        <v>4.6643518518518518E-3</v>
      </c>
      <c r="I1090">
        <v>2019</v>
      </c>
      <c r="J1090" t="s">
        <v>83</v>
      </c>
      <c r="K1090" s="2" t="str">
        <f>HYPERLINK("https://www.nba.com/stats/events?CFID=&amp;CFPARAMS=&amp;GameEventID=67&amp;GameID=0021900603&amp;Season=2019-20&amp;flag=1&amp;title=Leonard%2027'%203PT%20%20(7%20PTS)%20(P.%20Beverley%204%20AST)", "27' 3PT  (7 PTS) (P. Beverley 4 AST)")</f>
        <v>27' 3PT  (7 PTS) (P. Beverley 4 AST)</v>
      </c>
      <c r="L1090" s="2" t="str">
        <f>HYPERLINK("https://www.nba.com/game/...-vs-...-0021900603/play-by-play?watchFullGame=true", "LAC vs CLE - Q1 06:43.00")</f>
        <v>LAC vs CLE - Q1 06:43.00</v>
      </c>
      <c r="M1090">
        <v>27.43</v>
      </c>
      <c r="N1090">
        <v>31.06</v>
      </c>
      <c r="O1090">
        <v>74.69</v>
      </c>
      <c r="P1090">
        <v>-123</v>
      </c>
      <c r="Q1090">
        <v>239</v>
      </c>
      <c r="R1090">
        <v>31</v>
      </c>
      <c r="S1090">
        <v>74</v>
      </c>
    </row>
    <row r="1091" spans="1:19" hidden="1" x14ac:dyDescent="0.25">
      <c r="A1091">
        <v>21901291</v>
      </c>
      <c r="B1091" t="s">
        <v>26</v>
      </c>
      <c r="C1091" t="s">
        <v>84</v>
      </c>
      <c r="D1091">
        <v>74</v>
      </c>
      <c r="E1091">
        <v>74</v>
      </c>
      <c r="F1091">
        <v>0</v>
      </c>
      <c r="G1091">
        <v>3</v>
      </c>
      <c r="H1091" s="1">
        <v>6.7592592592592591E-3</v>
      </c>
      <c r="I1091">
        <v>2019</v>
      </c>
      <c r="J1091" t="s">
        <v>83</v>
      </c>
      <c r="K1091" s="2" t="str">
        <f>HYPERLINK("https://www.nba.com/stats/events?CFID=&amp;CFPARAMS=&amp;GameEventID=358&amp;GameID=0021901291&amp;Season=2019-20&amp;flag=1&amp;title=Leonard%2027'%203PT%20%20(30%20PTS)%20(I.%20Zubac%201%20AST)", "27' 3PT  (30 PTS) (I. Zubac 1 AST)")</f>
        <v>27' 3PT  (30 PTS) (I. Zubac 1 AST)</v>
      </c>
      <c r="L1091" s="2" t="str">
        <f>HYPERLINK("https://www.nba.com/game/...-vs-...-0021901291/play-by-play?watchFullGame=true", "LAC vs BKN - Q3 09:44.00")</f>
        <v>LAC vs BKN - Q3 09:44.00</v>
      </c>
      <c r="M1091">
        <v>27.16</v>
      </c>
      <c r="N1091">
        <v>31.75</v>
      </c>
      <c r="O1091">
        <v>29.48</v>
      </c>
      <c r="P1091">
        <v>103</v>
      </c>
      <c r="Q1091">
        <v>246</v>
      </c>
      <c r="R1091">
        <v>31</v>
      </c>
      <c r="S1091">
        <v>29</v>
      </c>
    </row>
    <row r="1092" spans="1:19" hidden="1" x14ac:dyDescent="0.25">
      <c r="A1092">
        <v>22200902</v>
      </c>
      <c r="B1092" t="s">
        <v>26</v>
      </c>
      <c r="C1092" t="s">
        <v>19</v>
      </c>
      <c r="D1092">
        <v>95</v>
      </c>
      <c r="E1092">
        <v>88</v>
      </c>
      <c r="F1092">
        <v>7</v>
      </c>
      <c r="G1092">
        <v>3</v>
      </c>
      <c r="H1092" s="1">
        <v>5.138888888888889E-3</v>
      </c>
      <c r="I1092">
        <v>2022</v>
      </c>
      <c r="J1092" t="s">
        <v>83</v>
      </c>
      <c r="K1092" s="2" t="str">
        <f>HYPERLINK("https://www.nba.com/stats/events?CFID=&amp;CFPARAMS=&amp;GameEventID=397&amp;GameID=0022200902&amp;Season=2022-23&amp;flag=1&amp;title=Leonard%2026'%203PT%20step%20back%20(29%20PTS)", "26' 3PT step back (29 PTS)")</f>
        <v>26' 3PT step back (29 PTS)</v>
      </c>
      <c r="L1092" s="2" t="str">
        <f>HYPERLINK("https://www.nba.com/game/...-vs-...-0022200902/play-by-play?watchFullGame=true", "LAC vs SAC - Q3 07:24.00")</f>
        <v>LAC vs SAC - Q3 07:24.00</v>
      </c>
      <c r="M1092">
        <v>26.9</v>
      </c>
      <c r="N1092">
        <v>31.32</v>
      </c>
      <c r="O1092">
        <v>73.53</v>
      </c>
      <c r="P1092">
        <v>-118</v>
      </c>
      <c r="Q1092">
        <v>242</v>
      </c>
      <c r="R1092">
        <v>31</v>
      </c>
      <c r="S1092">
        <v>73</v>
      </c>
    </row>
    <row r="1093" spans="1:19" hidden="1" x14ac:dyDescent="0.25">
      <c r="A1093">
        <v>42000224</v>
      </c>
      <c r="B1093" t="s">
        <v>26</v>
      </c>
      <c r="C1093" t="s">
        <v>19</v>
      </c>
      <c r="D1093">
        <v>58</v>
      </c>
      <c r="E1093">
        <v>34</v>
      </c>
      <c r="F1093">
        <v>24</v>
      </c>
      <c r="G1093">
        <v>2</v>
      </c>
      <c r="H1093" s="1">
        <v>1.8865740740740742E-3</v>
      </c>
      <c r="I1093" t="s">
        <v>94</v>
      </c>
      <c r="J1093" t="s">
        <v>83</v>
      </c>
      <c r="K1093" s="2" t="str">
        <f>HYPERLINK("https://www.nba.com/stats/events?CFID=&amp;CFPARAMS=&amp;GameEventID=273&amp;GameID=0042000224&amp;Season=2020-21&amp;flag=1&amp;title=Leonard%2026'%203PT%20step%20back%20(17%20PTS)", "26' 3PT step back (17 PTS)")</f>
        <v>26' 3PT step back (17 PTS)</v>
      </c>
      <c r="L1093" s="2" t="str">
        <f>HYPERLINK("https://www.nba.com/game/...-vs-...-0042000224/play-by-play?watchFullGame=true", "LAC vs UTA - Q2 02:43.00")</f>
        <v>LAC vs UTA - Q2 02:43.00</v>
      </c>
      <c r="M1093">
        <v>26.75</v>
      </c>
      <c r="N1093">
        <v>31.59</v>
      </c>
      <c r="O1093">
        <v>71.739999999999995</v>
      </c>
      <c r="P1093">
        <v>31</v>
      </c>
      <c r="Q1093">
        <v>71</v>
      </c>
      <c r="R1093">
        <v>31</v>
      </c>
      <c r="S1093">
        <v>71</v>
      </c>
    </row>
    <row r="1094" spans="1:19" hidden="1" x14ac:dyDescent="0.25">
      <c r="A1094">
        <v>22300235</v>
      </c>
      <c r="B1094" t="s">
        <v>26</v>
      </c>
      <c r="C1094" t="s">
        <v>19</v>
      </c>
      <c r="D1094">
        <v>59</v>
      </c>
      <c r="E1094">
        <v>52</v>
      </c>
      <c r="F1094">
        <v>7</v>
      </c>
      <c r="G1094">
        <v>3</v>
      </c>
      <c r="H1094" s="1">
        <v>7.1643518518518514E-3</v>
      </c>
      <c r="I1094">
        <v>2023</v>
      </c>
      <c r="J1094" t="s">
        <v>83</v>
      </c>
      <c r="K1094" s="2" t="str">
        <f>HYPERLINK("https://www.nba.com/stats/events?CFID=&amp;CFPARAMS=&amp;GameEventID=373&amp;GameID=0022300235&amp;Season=2023-24&amp;flag=1&amp;title=Leonard%2026'%203PT%20%20(14%20PTS)%20(P.%20George%202%20AST)", "26' 3PT  (14 PTS) (P. George 2 AST)")</f>
        <v>26' 3PT  (14 PTS) (P. George 2 AST)</v>
      </c>
      <c r="L1094" s="2" t="str">
        <f>HYPERLINK("https://www.nba.com/game/...-vs-...-0022300235/play-by-play?watchFullGame=true", "LAC vs SAS - Q3 10:19.00")</f>
        <v>LAC vs SAS - Q3 10:19.00</v>
      </c>
      <c r="M1094">
        <v>26.46</v>
      </c>
      <c r="N1094">
        <v>31.88</v>
      </c>
      <c r="O1094">
        <v>68.87</v>
      </c>
      <c r="P1094">
        <v>-94</v>
      </c>
      <c r="Q1094">
        <v>247</v>
      </c>
      <c r="R1094">
        <v>31</v>
      </c>
      <c r="S1094">
        <v>68</v>
      </c>
    </row>
    <row r="1095" spans="1:19" hidden="1" x14ac:dyDescent="0.25">
      <c r="A1095">
        <v>22300037</v>
      </c>
      <c r="B1095" t="s">
        <v>26</v>
      </c>
      <c r="C1095" t="s">
        <v>19</v>
      </c>
      <c r="D1095">
        <v>36</v>
      </c>
      <c r="E1095">
        <v>35</v>
      </c>
      <c r="F1095">
        <v>1</v>
      </c>
      <c r="G1095">
        <v>2</v>
      </c>
      <c r="H1095" s="1">
        <v>4.7453703703703703E-3</v>
      </c>
      <c r="I1095">
        <v>2023</v>
      </c>
      <c r="J1095" t="s">
        <v>83</v>
      </c>
      <c r="K1095" s="2" t="str">
        <f>HYPERLINK("https://www.nba.com/stats/events?CFID=&amp;CFPARAMS=&amp;GameEventID=233&amp;GameID=0022300037&amp;Season=2023-24&amp;flag=1&amp;title=Leonard%2026'%203PT%20%20(6%20PTS)%20(P.%20George%201%20AST)", "26' 3PT  (6 PTS) (P. George 1 AST)")</f>
        <v>26' 3PT  (6 PTS) (P. George 1 AST)</v>
      </c>
      <c r="L1095" s="2" t="str">
        <f>HYPERLINK("https://www.nba.com/game/...-vs-...-0022300037/play-by-play?watchFullGame=true", "LAC vs HOU - Q2 06:50.00")</f>
        <v>LAC vs HOU - Q2 06:50.00</v>
      </c>
      <c r="M1095">
        <v>26.15</v>
      </c>
      <c r="N1095">
        <v>31.59</v>
      </c>
      <c r="O1095">
        <v>68.63</v>
      </c>
      <c r="P1095">
        <v>-93</v>
      </c>
      <c r="Q1095">
        <v>244</v>
      </c>
      <c r="R1095">
        <v>31</v>
      </c>
      <c r="S1095">
        <v>68</v>
      </c>
    </row>
    <row r="1096" spans="1:19" hidden="1" x14ac:dyDescent="0.25">
      <c r="A1096">
        <v>22200810</v>
      </c>
      <c r="B1096" t="s">
        <v>26</v>
      </c>
      <c r="C1096" t="s">
        <v>19</v>
      </c>
      <c r="D1096">
        <v>114</v>
      </c>
      <c r="E1096">
        <v>113</v>
      </c>
      <c r="F1096">
        <v>1</v>
      </c>
      <c r="G1096">
        <v>4</v>
      </c>
      <c r="H1096" s="1">
        <v>1.9212962962962964E-3</v>
      </c>
      <c r="I1096">
        <v>2022</v>
      </c>
      <c r="J1096" t="s">
        <v>83</v>
      </c>
      <c r="K1096" s="2" t="str">
        <f>HYPERLINK("https://www.nba.com/stats/events?CFID=&amp;CFPARAMS=&amp;GameEventID=612&amp;GameID=0022200810&amp;Season=2022-23&amp;flag=1&amp;title=Leonard%2026'%203PT%20%20(22%20PTS)%20(R.%20Jackson%201%20AST)", "26' 3PT  (22 PTS) (R. Jackson 1 AST)")</f>
        <v>26' 3PT  (22 PTS) (R. Jackson 1 AST)</v>
      </c>
      <c r="L1096" s="2" t="str">
        <f>HYPERLINK("https://www.nba.com/game/...-vs-...-0022200810/play-by-play?watchFullGame=true", "LAC vs BKN - Q4 02:46.00")</f>
        <v>LAC vs BKN - Q4 02:46.00</v>
      </c>
      <c r="M1096">
        <v>26.14</v>
      </c>
      <c r="N1096">
        <v>31.62</v>
      </c>
      <c r="O1096">
        <v>68.38</v>
      </c>
      <c r="P1096">
        <v>-92</v>
      </c>
      <c r="Q1096">
        <v>245</v>
      </c>
      <c r="R1096">
        <v>31</v>
      </c>
      <c r="S1096">
        <v>68</v>
      </c>
    </row>
    <row r="1097" spans="1:19" hidden="1" x14ac:dyDescent="0.25">
      <c r="A1097">
        <v>21901307</v>
      </c>
      <c r="B1097" t="s">
        <v>26</v>
      </c>
      <c r="C1097" t="s">
        <v>84</v>
      </c>
      <c r="D1097">
        <v>49</v>
      </c>
      <c r="E1097">
        <v>51</v>
      </c>
      <c r="F1097">
        <v>2</v>
      </c>
      <c r="G1097">
        <v>2</v>
      </c>
      <c r="H1097" s="1">
        <v>1.0879629629629629E-3</v>
      </c>
      <c r="I1097">
        <v>2019</v>
      </c>
      <c r="J1097" t="s">
        <v>83</v>
      </c>
      <c r="K1097" s="2" t="str">
        <f>HYPERLINK("https://www.nba.com/stats/events?CFID=&amp;CFPARAMS=&amp;GameEventID=299&amp;GameID=0021901307&amp;Season=2019-20&amp;flag=1&amp;title=Leonard%2026'%203PT%20%20(14%20PTS)%20(L.%20Williams%202%20AST)", "26' 3PT  (14 PTS) (L. Williams 2 AST)")</f>
        <v>26' 3PT  (14 PTS) (L. Williams 2 AST)</v>
      </c>
      <c r="L1097" s="2" t="str">
        <f>HYPERLINK("https://www.nba.com/game/...-vs-...-0021901307/play-by-play?watchFullGame=true", "LAC vs DEN - Q2 01:34.00")</f>
        <v>LAC vs DEN - Q2 01:34.00</v>
      </c>
      <c r="M1097">
        <v>26.13</v>
      </c>
      <c r="N1097">
        <v>31.49</v>
      </c>
      <c r="O1097">
        <v>34.14</v>
      </c>
      <c r="P1097">
        <v>79</v>
      </c>
      <c r="Q1097">
        <v>243</v>
      </c>
      <c r="R1097">
        <v>31</v>
      </c>
      <c r="S1097">
        <v>34</v>
      </c>
    </row>
    <row r="1098" spans="1:19" hidden="1" x14ac:dyDescent="0.25">
      <c r="A1098">
        <v>22200970</v>
      </c>
      <c r="B1098" t="s">
        <v>26</v>
      </c>
      <c r="C1098" t="s">
        <v>19</v>
      </c>
      <c r="D1098">
        <v>58</v>
      </c>
      <c r="E1098">
        <v>52</v>
      </c>
      <c r="F1098">
        <v>6</v>
      </c>
      <c r="G1098">
        <v>2</v>
      </c>
      <c r="H1098" s="1">
        <v>2.476851851851852E-3</v>
      </c>
      <c r="I1098">
        <v>2022</v>
      </c>
      <c r="J1098" t="s">
        <v>83</v>
      </c>
      <c r="K1098" s="2" t="str">
        <f>HYPERLINK("https://www.nba.com/stats/events?CFID=&amp;CFPARAMS=&amp;GameEventID=261&amp;GameID=0022200970&amp;Season=2022-23&amp;flag=1&amp;title=Leonard%2026'%203PT%20pullup%20(12%20PTS)", "26' 3PT pullup (12 PTS)")</f>
        <v>26' 3PT pullup (12 PTS)</v>
      </c>
      <c r="L1098" s="2" t="str">
        <f>HYPERLINK("https://www.nba.com/game/...-vs-...-0022200970/play-by-play?watchFullGame=true", "LAC vs MEM - Q2 03:34.00")</f>
        <v>LAC vs MEM - Q2 03:34.00</v>
      </c>
      <c r="M1098">
        <v>26.06</v>
      </c>
      <c r="N1098">
        <v>31.85</v>
      </c>
      <c r="O1098">
        <v>66.67</v>
      </c>
      <c r="P1098">
        <v>-83</v>
      </c>
      <c r="Q1098">
        <v>247</v>
      </c>
      <c r="R1098">
        <v>31</v>
      </c>
      <c r="S1098">
        <v>66</v>
      </c>
    </row>
    <row r="1099" spans="1:19" hidden="1" x14ac:dyDescent="0.25">
      <c r="A1099">
        <v>22200649</v>
      </c>
      <c r="B1099" t="s">
        <v>26</v>
      </c>
      <c r="C1099" t="s">
        <v>19</v>
      </c>
      <c r="D1099">
        <v>76</v>
      </c>
      <c r="E1099">
        <v>77</v>
      </c>
      <c r="F1099">
        <v>1</v>
      </c>
      <c r="G1099">
        <v>3</v>
      </c>
      <c r="H1099" s="1">
        <v>3.6574074074074074E-3</v>
      </c>
      <c r="I1099">
        <v>2022</v>
      </c>
      <c r="J1099" t="s">
        <v>83</v>
      </c>
      <c r="K1099" s="2" t="str">
        <f>HYPERLINK("https://www.nba.com/stats/events?CFID=&amp;CFPARAMS=&amp;GameEventID=399&amp;GameID=0022200649&amp;Season=2022-23&amp;flag=1&amp;title=Leonard%2026'%203PT%20%20(20%20PTS)%20(N.%20Powell%203%20AST)", "26' 3PT  (20 PTS) (N. Powell 3 AST)")</f>
        <v>26' 3PT  (20 PTS) (N. Powell 3 AST)</v>
      </c>
      <c r="L1099" s="2" t="str">
        <f>HYPERLINK("https://www.nba.com/game/...-vs-...-0022200649/play-by-play?watchFullGame=true", "LAC vs HOU - Q3 05:16.00")</f>
        <v>LAC vs HOU - Q3 05:16.00</v>
      </c>
      <c r="M1099">
        <v>26.05</v>
      </c>
      <c r="N1099">
        <v>31.32</v>
      </c>
      <c r="O1099">
        <v>30.64</v>
      </c>
      <c r="P1099">
        <v>97</v>
      </c>
      <c r="Q1099">
        <v>242</v>
      </c>
      <c r="R1099">
        <v>31</v>
      </c>
      <c r="S1099">
        <v>30</v>
      </c>
    </row>
    <row r="1100" spans="1:19" hidden="1" x14ac:dyDescent="0.25">
      <c r="A1100">
        <v>22300074</v>
      </c>
      <c r="B1100" t="s">
        <v>26</v>
      </c>
      <c r="C1100" t="s">
        <v>19</v>
      </c>
      <c r="D1100">
        <v>96</v>
      </c>
      <c r="E1100">
        <v>66</v>
      </c>
      <c r="F1100">
        <v>30</v>
      </c>
      <c r="G1100">
        <v>3</v>
      </c>
      <c r="H1100" s="1">
        <v>2.7314814814814814E-3</v>
      </c>
      <c r="I1100">
        <v>2023</v>
      </c>
      <c r="J1100" t="s">
        <v>83</v>
      </c>
      <c r="K1100" s="2" t="str">
        <f>HYPERLINK("https://www.nba.com/stats/events?CFID=&amp;CFPARAMS=&amp;GameEventID=459&amp;GameID=0022300074&amp;Season=2023-24&amp;flag=1&amp;title=Leonard%2025'%203PT%20pullup%20(21%20PTS)", "25' 3PT pullup (21 PTS)")</f>
        <v>25' 3PT pullup (21 PTS)</v>
      </c>
      <c r="L1100" s="2" t="str">
        <f>HYPERLINK("https://www.nba.com/game/...-vs-...-0022300074/play-by-play?watchFullGame=true", "LAC vs POR - Q3 03:56.00")</f>
        <v>LAC vs POR - Q3 03:56.00</v>
      </c>
      <c r="M1100">
        <v>25.96</v>
      </c>
      <c r="N1100">
        <v>31.46</v>
      </c>
      <c r="O1100">
        <v>31.86</v>
      </c>
      <c r="P1100">
        <v>91</v>
      </c>
      <c r="Q1100">
        <v>243</v>
      </c>
      <c r="R1100">
        <v>31</v>
      </c>
      <c r="S1100">
        <v>31</v>
      </c>
    </row>
    <row r="1101" spans="1:19" hidden="1" x14ac:dyDescent="0.25">
      <c r="A1101">
        <v>22000736</v>
      </c>
      <c r="B1101" t="s">
        <v>26</v>
      </c>
      <c r="C1101" t="s">
        <v>19</v>
      </c>
      <c r="D1101">
        <v>69</v>
      </c>
      <c r="E1101">
        <v>76</v>
      </c>
      <c r="F1101">
        <v>7</v>
      </c>
      <c r="G1101">
        <v>3</v>
      </c>
      <c r="H1101" s="1">
        <v>2.9050925925925928E-3</v>
      </c>
      <c r="I1101">
        <v>2020</v>
      </c>
      <c r="J1101" t="s">
        <v>83</v>
      </c>
      <c r="K1101" s="2" t="str">
        <f>HYPERLINK("https://www.nba.com/stats/events?CFID=&amp;CFPARAMS=&amp;GameEventID=389&amp;GameID=0022000736&amp;Season=2020-21&amp;flag=1&amp;title=Leonard%2025'%203PT%20%20(20%20PTS)%20(T.%20Mann%201%20AST)", "25' 3PT  (20 PTS) (T. Mann 1 AST)")</f>
        <v>25' 3PT  (20 PTS) (T. Mann 1 AST)</v>
      </c>
      <c r="L1101" s="2" t="str">
        <f>HYPERLINK("https://www.nba.com/game/...-vs-...-0022000736/play-by-play?watchFullGame=true", "LAC vs DEN - Q3 04:11.00")</f>
        <v>LAC vs DEN - Q3 04:11.00</v>
      </c>
      <c r="M1101">
        <v>25.92</v>
      </c>
      <c r="N1101">
        <v>31.75</v>
      </c>
      <c r="O1101">
        <v>33.65</v>
      </c>
      <c r="P1101">
        <v>82</v>
      </c>
      <c r="Q1101">
        <v>246</v>
      </c>
      <c r="R1101">
        <v>31</v>
      </c>
      <c r="S1101">
        <v>33</v>
      </c>
    </row>
    <row r="1102" spans="1:19" hidden="1" x14ac:dyDescent="0.25">
      <c r="A1102">
        <v>42000176</v>
      </c>
      <c r="B1102" t="s">
        <v>26</v>
      </c>
      <c r="C1102" t="s">
        <v>19</v>
      </c>
      <c r="D1102">
        <v>65</v>
      </c>
      <c r="E1102">
        <v>67</v>
      </c>
      <c r="F1102">
        <v>2</v>
      </c>
      <c r="G1102">
        <v>3</v>
      </c>
      <c r="H1102" s="1">
        <v>3.6226851851851854E-3</v>
      </c>
      <c r="I1102" t="s">
        <v>91</v>
      </c>
      <c r="J1102" t="s">
        <v>83</v>
      </c>
      <c r="K1102" s="2" t="str">
        <f>HYPERLINK("https://www.nba.com/stats/events?CFID=&amp;CFPARAMS=&amp;GameEventID=393&amp;GameID=0042000176&amp;Season=2020-21&amp;flag=1&amp;title=Leonard%2025'%203PT%20pullup%20(25%20PTS)", "25' 3PT pullup (25 PTS)")</f>
        <v>25' 3PT pullup (25 PTS)</v>
      </c>
      <c r="L1102" s="2" t="str">
        <f>HYPERLINK("https://www.nba.com/game/...-vs-...-0042000176/play-by-play?watchFullGame=true", "LAC vs DAL - Q3 05:13.00")</f>
        <v>LAC vs DAL - Q3 05:13.00</v>
      </c>
      <c r="M1102">
        <v>25.91</v>
      </c>
      <c r="N1102">
        <v>31.88</v>
      </c>
      <c r="O1102">
        <v>65.510000000000005</v>
      </c>
      <c r="P1102">
        <v>31</v>
      </c>
      <c r="Q1102">
        <v>65</v>
      </c>
      <c r="R1102">
        <v>31</v>
      </c>
      <c r="S1102">
        <v>65</v>
      </c>
    </row>
    <row r="1103" spans="1:19" hidden="1" x14ac:dyDescent="0.25">
      <c r="A1103">
        <v>22200902</v>
      </c>
      <c r="B1103" t="s">
        <v>26</v>
      </c>
      <c r="C1103" t="s">
        <v>19</v>
      </c>
      <c r="D1103">
        <v>92</v>
      </c>
      <c r="E1103">
        <v>83</v>
      </c>
      <c r="F1103">
        <v>9</v>
      </c>
      <c r="G1103">
        <v>3</v>
      </c>
      <c r="H1103" s="1">
        <v>5.8101851851851856E-3</v>
      </c>
      <c r="I1103">
        <v>2022</v>
      </c>
      <c r="J1103" t="s">
        <v>83</v>
      </c>
      <c r="K1103" s="2" t="str">
        <f>HYPERLINK("https://www.nba.com/stats/events?CFID=&amp;CFPARAMS=&amp;GameEventID=388&amp;GameID=0022200902&amp;Season=2022-23&amp;flag=1&amp;title=Leonard%2025'%203PT%20%20(26%20PTS)%20(R.%20Westbrook%2010%20AST)", "25' 3PT  (26 PTS) (R. Westbrook 10 AST)")</f>
        <v>25' 3PT  (26 PTS) (R. Westbrook 10 AST)</v>
      </c>
      <c r="L1103" s="2" t="str">
        <f>HYPERLINK("https://www.nba.com/game/...-vs-...-0022200902/play-by-play?watchFullGame=true", "LAC vs SAC - Q3 08:22.00")</f>
        <v>LAC vs SAC - Q3 08:22.00</v>
      </c>
      <c r="M1103">
        <v>25.86</v>
      </c>
      <c r="N1103">
        <v>31.59</v>
      </c>
      <c r="O1103">
        <v>33.090000000000003</v>
      </c>
      <c r="P1103">
        <v>85</v>
      </c>
      <c r="Q1103">
        <v>244</v>
      </c>
      <c r="R1103">
        <v>31</v>
      </c>
      <c r="S1103">
        <v>33</v>
      </c>
    </row>
    <row r="1104" spans="1:19" hidden="1" x14ac:dyDescent="0.25">
      <c r="A1104">
        <v>22000387</v>
      </c>
      <c r="B1104" t="s">
        <v>26</v>
      </c>
      <c r="C1104" t="s">
        <v>19</v>
      </c>
      <c r="D1104">
        <v>112</v>
      </c>
      <c r="E1104">
        <v>99</v>
      </c>
      <c r="F1104">
        <v>13</v>
      </c>
      <c r="G1104">
        <v>4</v>
      </c>
      <c r="H1104" s="1">
        <v>8.6805555555555551E-4</v>
      </c>
      <c r="I1104">
        <v>2020</v>
      </c>
      <c r="J1104" t="s">
        <v>83</v>
      </c>
      <c r="K1104" s="2" t="str">
        <f>HYPERLINK("https://www.nba.com/stats/events?CFID=&amp;CFPARAMS=&amp;GameEventID=646&amp;GameID=0022000387&amp;Season=2020-21&amp;flag=1&amp;title=Leonard%2025'%203PT%20step%20back%20(36%20PTS)", "25' 3PT step back (36 PTS)")</f>
        <v>25' 3PT step back (36 PTS)</v>
      </c>
      <c r="L1104" s="2" t="str">
        <f>HYPERLINK("https://www.nba.com/game/...-vs-...-0022000387/play-by-play?watchFullGame=true", "LAC vs MIN - Q4 01:15.00")</f>
        <v>LAC vs MIN - Q4 01:15.00</v>
      </c>
      <c r="M1104">
        <v>25.67</v>
      </c>
      <c r="N1104">
        <v>31.62</v>
      </c>
      <c r="O1104">
        <v>65.510000000000005</v>
      </c>
      <c r="P1104">
        <v>-78</v>
      </c>
      <c r="Q1104">
        <v>245</v>
      </c>
      <c r="R1104">
        <v>31</v>
      </c>
      <c r="S1104">
        <v>65</v>
      </c>
    </row>
    <row r="1105" spans="1:19" hidden="1" x14ac:dyDescent="0.25">
      <c r="A1105">
        <v>22300052</v>
      </c>
      <c r="B1105" t="s">
        <v>26</v>
      </c>
      <c r="C1105" t="s">
        <v>19</v>
      </c>
      <c r="D1105">
        <v>50</v>
      </c>
      <c r="E1105">
        <v>54</v>
      </c>
      <c r="F1105">
        <v>4</v>
      </c>
      <c r="G1105">
        <v>2</v>
      </c>
      <c r="H1105" s="1">
        <v>1.8171296296296297E-3</v>
      </c>
      <c r="I1105">
        <v>2023</v>
      </c>
      <c r="J1105" t="s">
        <v>83</v>
      </c>
      <c r="K1105" s="2" t="str">
        <f>HYPERLINK("https://www.nba.com/stats/events?CFID=&amp;CFPARAMS=&amp;GameEventID=288&amp;GameID=0022300052&amp;Season=2023-24&amp;flag=1&amp;title=Leonard%2025'%203PT%20pullup%20(10%20PTS)", "25' 3PT pullup (10 PTS)")</f>
        <v>25' 3PT pullup (10 PTS)</v>
      </c>
      <c r="L1105" s="2" t="str">
        <f>HYPERLINK("https://www.nba.com/game/...-vs-...-0022300052/play-by-play?watchFullGame=true", "LAC vs NOP - Q2 02:37.00")</f>
        <v>LAC vs NOP - Q2 02:37.00</v>
      </c>
      <c r="M1105">
        <v>25.59</v>
      </c>
      <c r="N1105">
        <v>31.59</v>
      </c>
      <c r="O1105">
        <v>34.799999999999997</v>
      </c>
      <c r="P1105">
        <v>76</v>
      </c>
      <c r="Q1105">
        <v>244</v>
      </c>
      <c r="R1105">
        <v>31</v>
      </c>
      <c r="S1105">
        <v>34</v>
      </c>
    </row>
    <row r="1106" spans="1:19" hidden="1" x14ac:dyDescent="0.25">
      <c r="A1106">
        <v>22300325</v>
      </c>
      <c r="B1106" t="s">
        <v>26</v>
      </c>
      <c r="C1106" t="s">
        <v>19</v>
      </c>
      <c r="D1106">
        <v>8</v>
      </c>
      <c r="E1106">
        <v>12</v>
      </c>
      <c r="F1106">
        <v>4</v>
      </c>
      <c r="G1106">
        <v>1</v>
      </c>
      <c r="H1106" s="1">
        <v>4.9652777777777777E-3</v>
      </c>
      <c r="I1106">
        <v>2023</v>
      </c>
      <c r="J1106" t="s">
        <v>83</v>
      </c>
      <c r="K1106" s="2" t="str">
        <f>HYPERLINK("https://www.nba.com/stats/events?CFID=&amp;CFPARAMS=&amp;GameEventID=67&amp;GameID=0022300325&amp;Season=2023-24&amp;flag=1&amp;title=Leonard%2025'%203PT%20%20(3%20PTS)%20(J.%20Harden%202%20AST)", "25' 3PT  (3 PTS) (J. Harden 2 AST)")</f>
        <v>25' 3PT  (3 PTS) (J. Harden 2 AST)</v>
      </c>
      <c r="L1106" s="2" t="str">
        <f>HYPERLINK("https://www.nba.com/game/...-vs-...-0022300325/play-by-play?watchFullGame=true", "LAC vs GSW - Q1 07:09.00")</f>
        <v>LAC vs GSW - Q1 07:09.00</v>
      </c>
      <c r="M1106">
        <v>25.49</v>
      </c>
      <c r="N1106">
        <v>31.59</v>
      </c>
      <c r="O1106">
        <v>35.54</v>
      </c>
      <c r="P1106">
        <v>72</v>
      </c>
      <c r="Q1106">
        <v>244</v>
      </c>
      <c r="R1106">
        <v>31</v>
      </c>
      <c r="S1106">
        <v>35</v>
      </c>
    </row>
    <row r="1107" spans="1:19" hidden="1" x14ac:dyDescent="0.25">
      <c r="A1107">
        <v>22200766</v>
      </c>
      <c r="B1107" t="s">
        <v>26</v>
      </c>
      <c r="C1107" t="s">
        <v>19</v>
      </c>
      <c r="D1107">
        <v>3</v>
      </c>
      <c r="E1107">
        <v>5</v>
      </c>
      <c r="F1107">
        <v>2</v>
      </c>
      <c r="G1107">
        <v>1</v>
      </c>
      <c r="H1107" s="1">
        <v>6.9560185185185185E-3</v>
      </c>
      <c r="I1107">
        <v>2022</v>
      </c>
      <c r="J1107" t="s">
        <v>83</v>
      </c>
      <c r="K1107" s="2" t="str">
        <f>HYPERLINK("https://www.nba.com/stats/events?CFID=&amp;CFPARAMS=&amp;GameEventID=22&amp;GameID=0022200766&amp;Season=2022-23&amp;flag=1&amp;title=Leonard%2025'%203PT%20%20(3%20PTS)%20(P.%20George%201%20AST)", "25' 3PT  (3 PTS) (P. George 1 AST)")</f>
        <v>25' 3PT  (3 PTS) (P. George 1 AST)</v>
      </c>
      <c r="L1107" s="2" t="str">
        <f>HYPERLINK("https://www.nba.com/game/...-vs-...-0022200766/play-by-play?watchFullGame=true", "LAC vs CHI - Q1 10:01.00")</f>
        <v>LAC vs CHI - Q1 10:01.00</v>
      </c>
      <c r="M1107">
        <v>25.45</v>
      </c>
      <c r="N1107">
        <v>31.62</v>
      </c>
      <c r="O1107">
        <v>36.03</v>
      </c>
      <c r="P1107">
        <v>70</v>
      </c>
      <c r="Q1107">
        <v>245</v>
      </c>
      <c r="R1107">
        <v>31</v>
      </c>
      <c r="S1107">
        <v>36</v>
      </c>
    </row>
    <row r="1108" spans="1:19" hidden="1" x14ac:dyDescent="0.25">
      <c r="A1108">
        <v>22000488</v>
      </c>
      <c r="B1108" t="s">
        <v>26</v>
      </c>
      <c r="C1108" t="s">
        <v>19</v>
      </c>
      <c r="D1108">
        <v>92</v>
      </c>
      <c r="E1108">
        <v>74</v>
      </c>
      <c r="F1108">
        <v>18</v>
      </c>
      <c r="G1108">
        <v>3</v>
      </c>
      <c r="H1108" s="1">
        <v>4.0856481481481481E-3</v>
      </c>
      <c r="I1108">
        <v>2020</v>
      </c>
      <c r="J1108" t="s">
        <v>83</v>
      </c>
      <c r="K1108" s="2" t="str">
        <f>HYPERLINK("https://www.nba.com/stats/events?CFID=&amp;CFPARAMS=&amp;GameEventID=393&amp;GameID=0022000488&amp;Season=2020-21&amp;flag=1&amp;title=Leonard%2025'%203PT%20pullup%20(26%20PTS)", "25' 3PT pullup (26 PTS)")</f>
        <v>25' 3PT pullup (26 PTS)</v>
      </c>
      <c r="L1108" s="2" t="str">
        <f>HYPERLINK("https://www.nba.com/game/...-vs-...-0022000488/play-by-play?watchFullGame=true", "LAC vs WAS - Q3 05:53.00")</f>
        <v>LAC vs WAS - Q3 05:53.00</v>
      </c>
      <c r="M1108">
        <v>25.34</v>
      </c>
      <c r="N1108">
        <v>31.62</v>
      </c>
      <c r="O1108">
        <v>36.83</v>
      </c>
      <c r="P1108">
        <v>66</v>
      </c>
      <c r="Q1108">
        <v>245</v>
      </c>
      <c r="R1108">
        <v>31</v>
      </c>
      <c r="S1108">
        <v>36</v>
      </c>
    </row>
    <row r="1109" spans="1:19" hidden="1" x14ac:dyDescent="0.25">
      <c r="A1109">
        <v>22000251</v>
      </c>
      <c r="B1109" t="s">
        <v>26</v>
      </c>
      <c r="C1109" t="s">
        <v>19</v>
      </c>
      <c r="D1109">
        <v>75</v>
      </c>
      <c r="E1109">
        <v>67</v>
      </c>
      <c r="F1109">
        <v>8</v>
      </c>
      <c r="G1109">
        <v>3</v>
      </c>
      <c r="H1109" s="1">
        <v>2.7083333333333334E-3</v>
      </c>
      <c r="I1109">
        <v>2020</v>
      </c>
      <c r="J1109" t="s">
        <v>83</v>
      </c>
      <c r="K1109" s="2" t="str">
        <f>HYPERLINK("https://www.nba.com/stats/events?CFID=&amp;CFPARAMS=&amp;GameEventID=397&amp;GameID=0022000251&amp;Season=2020-21&amp;flag=1&amp;title=Leonard%2025'%203PT%20pullup%20(26%20PTS)%20(L.%20Kennard%202%20AST)", "25' 3PT pullup (26 PTS) (L. Kennard 2 AST)")</f>
        <v>25' 3PT pullup (26 PTS) (L. Kennard 2 AST)</v>
      </c>
      <c r="L1109" s="2" t="str">
        <f>HYPERLINK("https://www.nba.com/game/...-vs-...-0022000251/play-by-play?watchFullGame=true", "LAC vs OKC - Q3 03:54.00")</f>
        <v>LAC vs OKC - Q3 03:54.00</v>
      </c>
      <c r="M1109">
        <v>25.28</v>
      </c>
      <c r="N1109">
        <v>31.62</v>
      </c>
      <c r="O1109">
        <v>37.32</v>
      </c>
      <c r="P1109">
        <v>63</v>
      </c>
      <c r="Q1109">
        <v>245</v>
      </c>
      <c r="R1109">
        <v>31</v>
      </c>
      <c r="S1109">
        <v>37</v>
      </c>
    </row>
    <row r="1110" spans="1:19" hidden="1" x14ac:dyDescent="0.25">
      <c r="A1110">
        <v>21900251</v>
      </c>
      <c r="B1110" t="s">
        <v>26</v>
      </c>
      <c r="C1110" t="s">
        <v>84</v>
      </c>
      <c r="D1110">
        <v>62</v>
      </c>
      <c r="E1110">
        <v>43</v>
      </c>
      <c r="F1110">
        <v>19</v>
      </c>
      <c r="G1110">
        <v>2</v>
      </c>
      <c r="H1110" s="1">
        <v>8.7962962962962959E-5</v>
      </c>
      <c r="I1110">
        <v>2019</v>
      </c>
      <c r="J1110" t="s">
        <v>83</v>
      </c>
      <c r="K1110" s="2" t="str">
        <f>HYPERLINK("https://www.nba.com/stats/events?CFID=&amp;CFPARAMS=&amp;GameEventID=354&amp;GameID=0021900251&amp;Season=2019-20&amp;flag=1&amp;title=Leonard%2025'%203PT%20%20(13%20PTS)", "25' 3PT  (13 PTS)")</f>
        <v>25' 3PT  (13 PTS)</v>
      </c>
      <c r="L1110" s="2" t="str">
        <f>HYPERLINK("https://www.nba.com/game/...-vs-...-0021900251/play-by-play?watchFullGame=true", "LAC vs DAL - Q2 00:07.60")</f>
        <v>LAC vs DAL - Q2 00:07.60</v>
      </c>
      <c r="M1110">
        <v>25.12</v>
      </c>
      <c r="N1110">
        <v>31.49</v>
      </c>
      <c r="O1110">
        <v>56.69</v>
      </c>
      <c r="P1110">
        <v>-33</v>
      </c>
      <c r="Q1110">
        <v>243</v>
      </c>
      <c r="R1110">
        <v>31</v>
      </c>
      <c r="S1110">
        <v>56</v>
      </c>
    </row>
    <row r="1111" spans="1:19" hidden="1" x14ac:dyDescent="0.25">
      <c r="A1111">
        <v>21900589</v>
      </c>
      <c r="B1111" t="s">
        <v>26</v>
      </c>
      <c r="C1111" t="s">
        <v>84</v>
      </c>
      <c r="D1111">
        <v>47</v>
      </c>
      <c r="E1111">
        <v>57</v>
      </c>
      <c r="F1111">
        <v>10</v>
      </c>
      <c r="G1111">
        <v>2</v>
      </c>
      <c r="H1111" s="1">
        <v>2.2106481481481482E-3</v>
      </c>
      <c r="I1111">
        <v>2019</v>
      </c>
      <c r="J1111" t="s">
        <v>83</v>
      </c>
      <c r="K1111" s="2" t="str">
        <f>HYPERLINK("https://www.nba.com/stats/events?CFID=&amp;CFPARAMS=&amp;GameEventID=275&amp;GameID=0021900589&amp;Season=2019-20&amp;flag=1&amp;title=Leonard%2025'%203PT%20%20(13%20PTS)", "25' 3PT  (13 PTS)")</f>
        <v>25' 3PT  (13 PTS)</v>
      </c>
      <c r="L1111" s="2" t="str">
        <f>HYPERLINK("https://www.nba.com/game/...-vs-...-0021900589/play-by-play?watchFullGame=true", "LAC vs DEN - Q2 03:11.00")</f>
        <v>LAC vs DEN - Q2 03:11.00</v>
      </c>
      <c r="M1111">
        <v>25.1</v>
      </c>
      <c r="N1111">
        <v>31.36</v>
      </c>
      <c r="O1111">
        <v>41.98</v>
      </c>
      <c r="P1111">
        <v>40</v>
      </c>
      <c r="Q1111">
        <v>242</v>
      </c>
      <c r="R1111">
        <v>31</v>
      </c>
      <c r="S1111">
        <v>41</v>
      </c>
    </row>
    <row r="1112" spans="1:19" hidden="1" x14ac:dyDescent="0.25">
      <c r="A1112">
        <v>22000387</v>
      </c>
      <c r="B1112" t="s">
        <v>26</v>
      </c>
      <c r="C1112" t="s">
        <v>19</v>
      </c>
      <c r="D1112">
        <v>75</v>
      </c>
      <c r="E1112">
        <v>69</v>
      </c>
      <c r="F1112">
        <v>6</v>
      </c>
      <c r="G1112">
        <v>3</v>
      </c>
      <c r="H1112" s="1">
        <v>1.7013888888888888E-3</v>
      </c>
      <c r="I1112">
        <v>2020</v>
      </c>
      <c r="J1112" t="s">
        <v>83</v>
      </c>
      <c r="K1112" s="2" t="str">
        <f>HYPERLINK("https://www.nba.com/stats/events?CFID=&amp;CFPARAMS=&amp;GameEventID=463&amp;GameID=0022000387&amp;Season=2020-21&amp;flag=1&amp;title=Leonard%2025'%203PT%20pullup%20(22%20PTS)", "25' 3PT pullup (22 PTS)")</f>
        <v>25' 3PT pullup (22 PTS)</v>
      </c>
      <c r="L1112" s="2" t="str">
        <f>HYPERLINK("https://www.nba.com/game/...-vs-...-0022000387/play-by-play?watchFullGame=true", "LAC vs MIN - Q3 02:27.00")</f>
        <v>LAC vs MIN - Q3 02:27.00</v>
      </c>
      <c r="M1112">
        <v>25.04</v>
      </c>
      <c r="N1112">
        <v>31.88</v>
      </c>
      <c r="O1112">
        <v>41.98</v>
      </c>
      <c r="P1112">
        <v>40</v>
      </c>
      <c r="Q1112">
        <v>247</v>
      </c>
      <c r="R1112">
        <v>31</v>
      </c>
      <c r="S1112">
        <v>41</v>
      </c>
    </row>
    <row r="1113" spans="1:19" hidden="1" x14ac:dyDescent="0.25">
      <c r="A1113">
        <v>22201162</v>
      </c>
      <c r="B1113" t="s">
        <v>26</v>
      </c>
      <c r="C1113" t="s">
        <v>19</v>
      </c>
      <c r="D1113">
        <v>97</v>
      </c>
      <c r="E1113">
        <v>99</v>
      </c>
      <c r="F1113">
        <v>2</v>
      </c>
      <c r="G1113">
        <v>4</v>
      </c>
      <c r="H1113" s="1">
        <v>5.9722222222222225E-3</v>
      </c>
      <c r="I1113">
        <v>2022</v>
      </c>
      <c r="J1113" t="s">
        <v>83</v>
      </c>
      <c r="K1113" s="2" t="str">
        <f>HYPERLINK("https://www.nba.com/stats/events?CFID=&amp;CFPARAMS=&amp;GameEventID=530&amp;GameID=0022201162&amp;Season=2022-23&amp;flag=1&amp;title=Leonard%2024'%203PT%20%20(29%20PTS)%20(R.%20Westbrook%207%20AST)", "24' 3PT  (29 PTS) (R. Westbrook 7 AST)")</f>
        <v>24' 3PT  (29 PTS) (R. Westbrook 7 AST)</v>
      </c>
      <c r="L1113" s="2" t="str">
        <f>HYPERLINK("https://www.nba.com/game/...-vs-...-0022201162/play-by-play?watchFullGame=true", "LAC vs NOP - Q4 08:36.00")</f>
        <v>LAC vs NOP - Q4 08:36.00</v>
      </c>
      <c r="M1113">
        <v>24.78</v>
      </c>
      <c r="N1113">
        <v>31.88</v>
      </c>
      <c r="O1113">
        <v>46.57</v>
      </c>
      <c r="P1113">
        <v>17</v>
      </c>
      <c r="Q1113">
        <v>247</v>
      </c>
      <c r="R1113">
        <v>31</v>
      </c>
      <c r="S1113">
        <v>46</v>
      </c>
    </row>
    <row r="1114" spans="1:19" hidden="1" x14ac:dyDescent="0.25">
      <c r="A1114">
        <v>22300716</v>
      </c>
      <c r="B1114" t="s">
        <v>26</v>
      </c>
      <c r="C1114" t="s">
        <v>19</v>
      </c>
      <c r="D1114">
        <v>137</v>
      </c>
      <c r="E1114">
        <v>130</v>
      </c>
      <c r="F1114">
        <v>7</v>
      </c>
      <c r="G1114">
        <v>4</v>
      </c>
      <c r="H1114" s="1">
        <v>1.238425925925926E-3</v>
      </c>
      <c r="I1114">
        <v>2023</v>
      </c>
      <c r="J1114" t="s">
        <v>83</v>
      </c>
      <c r="K1114" s="2" t="str">
        <f>HYPERLINK("https://www.nba.com/stats/events?CFID=&amp;CFPARAMS=&amp;GameEventID=618&amp;GameID=0022300716&amp;Season=2023-24&amp;flag=1&amp;title=Leonard%2024'%203PT%20pullup%20(34%20PTS)%20(P.%20George%205%20AST)", "24' 3PT pullup (34 PTS) (P. George 5 AST)")</f>
        <v>24' 3PT pullup (34 PTS) (P. George 5 AST)</v>
      </c>
      <c r="L1114" s="2" t="str">
        <f>HYPERLINK("https://www.nba.com/game/...-vs-...-0022300716/play-by-play?watchFullGame=true", "LAC vs ATL - Q4 01:47.00")</f>
        <v>LAC vs ATL - Q4 01:47.00</v>
      </c>
      <c r="M1114">
        <v>24.75</v>
      </c>
      <c r="N1114">
        <v>31.09</v>
      </c>
      <c r="O1114">
        <v>62.25</v>
      </c>
      <c r="P1114">
        <v>-61</v>
      </c>
      <c r="Q1114">
        <v>240</v>
      </c>
      <c r="R1114">
        <v>31</v>
      </c>
      <c r="S1114">
        <v>62</v>
      </c>
    </row>
    <row r="1115" spans="1:19" hidden="1" x14ac:dyDescent="0.25">
      <c r="A1115">
        <v>42000173</v>
      </c>
      <c r="B1115" t="s">
        <v>26</v>
      </c>
      <c r="C1115" t="s">
        <v>19</v>
      </c>
      <c r="D1115">
        <v>97</v>
      </c>
      <c r="E1115">
        <v>91</v>
      </c>
      <c r="F1115">
        <v>6</v>
      </c>
      <c r="G1115">
        <v>4</v>
      </c>
      <c r="H1115" s="1">
        <v>5.5092592592592589E-3</v>
      </c>
      <c r="I1115" t="s">
        <v>91</v>
      </c>
      <c r="J1115" t="s">
        <v>83</v>
      </c>
      <c r="K1115" s="2" t="str">
        <f>HYPERLINK("https://www.nba.com/stats/events?CFID=&amp;CFPARAMS=&amp;GameEventID=491&amp;GameID=0042000173&amp;Season=2020-21&amp;flag=1&amp;title=Leonard%2024'%203PT%20%20(30%20PTS)%20(R.%20Rondo%207%20AST)", "24' 3PT  (30 PTS) (R. Rondo 7 AST)")</f>
        <v>24' 3PT  (30 PTS) (R. Rondo 7 AST)</v>
      </c>
      <c r="L1115" s="2" t="str">
        <f>HYPERLINK("https://www.nba.com/game/...-vs-...-0042000173/play-by-play?watchFullGame=true", "LAC vs DAL - Q4 07:56.00")</f>
        <v>LAC vs DAL - Q4 07:56.00</v>
      </c>
      <c r="M1115">
        <v>24.61</v>
      </c>
      <c r="N1115">
        <v>31.75</v>
      </c>
      <c r="O1115">
        <v>48.84</v>
      </c>
      <c r="P1115">
        <v>31</v>
      </c>
      <c r="Q1115">
        <v>48</v>
      </c>
      <c r="R1115">
        <v>31</v>
      </c>
      <c r="S1115">
        <v>48</v>
      </c>
    </row>
    <row r="1116" spans="1:19" hidden="1" x14ac:dyDescent="0.25">
      <c r="A1116">
        <v>22000605</v>
      </c>
      <c r="B1116" t="s">
        <v>26</v>
      </c>
      <c r="C1116" t="s">
        <v>19</v>
      </c>
      <c r="D1116">
        <v>75</v>
      </c>
      <c r="E1116">
        <v>65</v>
      </c>
      <c r="F1116">
        <v>10</v>
      </c>
      <c r="G1116">
        <v>3</v>
      </c>
      <c r="H1116" s="1">
        <v>3.2291666666666666E-3</v>
      </c>
      <c r="I1116">
        <v>2020</v>
      </c>
      <c r="J1116" t="s">
        <v>83</v>
      </c>
      <c r="K1116" s="2" t="str">
        <f>HYPERLINK("https://www.nba.com/stats/events?CFID=&amp;CFPARAMS=&amp;GameEventID=342&amp;GameID=0022000605&amp;Season=2020-21&amp;flag=1&amp;title=Leonard%2024'%203PT%20%20(13%20PTS)", "24' 3PT  (13 PTS)")</f>
        <v>24' 3PT  (13 PTS)</v>
      </c>
      <c r="L1116" s="2" t="str">
        <f>HYPERLINK("https://www.nba.com/game/...-vs-...-0022000605/play-by-play?watchFullGame=true", "LAC vs DAL - Q3 04:39.00")</f>
        <v>LAC vs DAL - Q3 04:39.00</v>
      </c>
      <c r="M1116">
        <v>24.57</v>
      </c>
      <c r="N1116">
        <v>31.49</v>
      </c>
      <c r="O1116">
        <v>43.45</v>
      </c>
      <c r="P1116">
        <v>33</v>
      </c>
      <c r="Q1116">
        <v>243</v>
      </c>
      <c r="R1116">
        <v>31</v>
      </c>
      <c r="S1116">
        <v>43</v>
      </c>
    </row>
    <row r="1117" spans="1:19" hidden="1" x14ac:dyDescent="0.25">
      <c r="A1117">
        <v>22300658</v>
      </c>
      <c r="B1117" t="s">
        <v>26</v>
      </c>
      <c r="C1117" t="s">
        <v>19</v>
      </c>
      <c r="D1117">
        <v>70</v>
      </c>
      <c r="E1117">
        <v>69</v>
      </c>
      <c r="F1117">
        <v>1</v>
      </c>
      <c r="G1117">
        <v>3</v>
      </c>
      <c r="H1117" s="1">
        <v>3.5995370370370369E-3</v>
      </c>
      <c r="I1117">
        <v>2023</v>
      </c>
      <c r="J1117" t="s">
        <v>83</v>
      </c>
      <c r="K1117" s="2" t="str">
        <f>HYPERLINK("https://www.nba.com/stats/events?CFID=&amp;CFPARAMS=&amp;GameEventID=416&amp;GameID=0022300658&amp;Season=2023-24&amp;flag=1&amp;title=Leonard%2024'%203PT%20%20(21%20PTS)%20(P.%20George%202%20AST)", "24' 3PT  (21 PTS) (P. George 2 AST)")</f>
        <v>24' 3PT  (21 PTS) (P. George 2 AST)</v>
      </c>
      <c r="L1117" s="2" t="str">
        <f>HYPERLINK("https://www.nba.com/game/...-vs-...-0022300658/play-by-play?watchFullGame=true", "LAC vs CLE - Q3 05:11.00")</f>
        <v>LAC vs CLE - Q3 05:11.00</v>
      </c>
      <c r="M1117">
        <v>24.29</v>
      </c>
      <c r="N1117">
        <v>31.23</v>
      </c>
      <c r="O1117">
        <v>56.13</v>
      </c>
      <c r="P1117">
        <v>-31</v>
      </c>
      <c r="Q1117">
        <v>241</v>
      </c>
      <c r="R1117">
        <v>31</v>
      </c>
      <c r="S1117">
        <v>56</v>
      </c>
    </row>
    <row r="1118" spans="1:19" hidden="1" x14ac:dyDescent="0.25">
      <c r="A1118">
        <v>21900051</v>
      </c>
      <c r="B1118" t="s">
        <v>26</v>
      </c>
      <c r="C1118" t="s">
        <v>84</v>
      </c>
      <c r="D1118">
        <v>60</v>
      </c>
      <c r="E1118">
        <v>54</v>
      </c>
      <c r="F1118">
        <v>6</v>
      </c>
      <c r="G1118">
        <v>3</v>
      </c>
      <c r="H1118" s="1">
        <v>7.858796296296296E-3</v>
      </c>
      <c r="I1118">
        <v>2019</v>
      </c>
      <c r="J1118" t="s">
        <v>83</v>
      </c>
      <c r="K1118" s="2" t="str">
        <f>HYPERLINK("https://www.nba.com/stats/events?CFID=&amp;CFPARAMS=&amp;GameEventID=359&amp;GameID=0021900051&amp;Season=2019-20&amp;flag=1&amp;title=[LAC]%20Leonard%203pt%20shot:%20Made%20(18%20PTS)%20assist:%20Shamet%20(2%20AST)", "[LAC] Leonard 3pt shot: Made (18 PTS) assist: Shamet (2 AST)")</f>
        <v>[LAC] Leonard 3pt shot: Made (18 PTS) assist: Shamet (2 AST)</v>
      </c>
      <c r="L1118" s="2" t="str">
        <f>HYPERLINK("https://www.nba.com/game/...-vs-...-0021900051/play-by-play?watchFullGame=true", "LAC vs CHA - Q3 11:19.00")</f>
        <v>LAC vs CHA - Q3 11:19.00</v>
      </c>
      <c r="M1118">
        <v>29.39</v>
      </c>
      <c r="N1118">
        <v>32.770000000000003</v>
      </c>
      <c r="O1118">
        <v>22.97</v>
      </c>
      <c r="P1118">
        <v>135</v>
      </c>
      <c r="Q1118">
        <v>256</v>
      </c>
      <c r="R1118">
        <v>32</v>
      </c>
      <c r="S1118">
        <v>22</v>
      </c>
    </row>
    <row r="1119" spans="1:19" hidden="1" x14ac:dyDescent="0.25">
      <c r="A1119">
        <v>21900523</v>
      </c>
      <c r="B1119" t="s">
        <v>26</v>
      </c>
      <c r="C1119" t="s">
        <v>84</v>
      </c>
      <c r="D1119">
        <v>55</v>
      </c>
      <c r="E1119">
        <v>63</v>
      </c>
      <c r="F1119">
        <v>8</v>
      </c>
      <c r="G1119">
        <v>2</v>
      </c>
      <c r="H1119" s="1">
        <v>9.9537037037037042E-4</v>
      </c>
      <c r="I1119">
        <v>2019</v>
      </c>
      <c r="J1119" t="s">
        <v>83</v>
      </c>
      <c r="K1119" s="2" t="str">
        <f>HYPERLINK("https://www.nba.com/stats/events?CFID=&amp;CFPARAMS=&amp;GameEventID=340&amp;GameID=0021900523&amp;Season=2019-20&amp;flag=1&amp;title=Leonard%2027'%203PT%20%20(16%20PTS)", "27' 3PT  (16 PTS)")</f>
        <v>27' 3PT  (16 PTS)</v>
      </c>
      <c r="L1119" s="2" t="str">
        <f>HYPERLINK("https://www.nba.com/game/...-vs-...-0021900523/play-by-play?watchFullGame=true", "LAC vs MEM - Q2 01:26.00")</f>
        <v>LAC vs MEM - Q2 01:26.00</v>
      </c>
      <c r="M1119">
        <v>27.37</v>
      </c>
      <c r="N1119">
        <v>32.770000000000003</v>
      </c>
      <c r="O1119">
        <v>33.51</v>
      </c>
      <c r="P1119">
        <v>82</v>
      </c>
      <c r="Q1119">
        <v>256</v>
      </c>
      <c r="R1119">
        <v>32</v>
      </c>
      <c r="S1119">
        <v>33</v>
      </c>
    </row>
    <row r="1120" spans="1:19" hidden="1" x14ac:dyDescent="0.25">
      <c r="A1120">
        <v>22300526</v>
      </c>
      <c r="B1120" t="s">
        <v>26</v>
      </c>
      <c r="C1120" t="s">
        <v>19</v>
      </c>
      <c r="D1120">
        <v>47</v>
      </c>
      <c r="E1120">
        <v>44</v>
      </c>
      <c r="F1120">
        <v>3</v>
      </c>
      <c r="G1120">
        <v>2</v>
      </c>
      <c r="H1120" s="1">
        <v>3.472222222222222E-3</v>
      </c>
      <c r="I1120">
        <v>2023</v>
      </c>
      <c r="J1120" t="s">
        <v>83</v>
      </c>
      <c r="K1120" s="2" t="str">
        <f>HYPERLINK("https://www.nba.com/stats/events?CFID=&amp;CFPARAMS=&amp;GameEventID=228&amp;GameID=0022300526&amp;Season=2023-24&amp;flag=1&amp;title=Leonard%2027'%203PT%20%20(12%20PTS)%20(J.%20Harden%204%20AST)", "27' 3PT  (12 PTS) (J. Harden 4 AST)")</f>
        <v>27' 3PT  (12 PTS) (J. Harden 4 AST)</v>
      </c>
      <c r="L1120" s="2" t="str">
        <f>HYPERLINK("https://www.nba.com/game/...-vs-...-0022300526/play-by-play?watchFullGame=true", "LAC vs TOR - Q2 05:00.00")</f>
        <v>LAC vs TOR - Q2 05:00.00</v>
      </c>
      <c r="M1120">
        <v>27.08</v>
      </c>
      <c r="N1120">
        <v>32.64</v>
      </c>
      <c r="O1120">
        <v>31.37</v>
      </c>
      <c r="P1120">
        <v>93</v>
      </c>
      <c r="Q1120">
        <v>254</v>
      </c>
      <c r="R1120">
        <v>32</v>
      </c>
      <c r="S1120">
        <v>31</v>
      </c>
    </row>
    <row r="1121" spans="1:19" hidden="1" x14ac:dyDescent="0.25">
      <c r="A1121">
        <v>22200408</v>
      </c>
      <c r="B1121" t="s">
        <v>26</v>
      </c>
      <c r="C1121" t="s">
        <v>19</v>
      </c>
      <c r="D1121">
        <v>61</v>
      </c>
      <c r="E1121">
        <v>48</v>
      </c>
      <c r="F1121">
        <v>13</v>
      </c>
      <c r="G1121">
        <v>3</v>
      </c>
      <c r="H1121" s="1">
        <v>7.3495370370370372E-3</v>
      </c>
      <c r="I1121">
        <v>2022</v>
      </c>
      <c r="J1121" t="s">
        <v>83</v>
      </c>
      <c r="K1121" s="2" t="str">
        <f>HYPERLINK("https://www.nba.com/stats/events?CFID=&amp;CFPARAMS=&amp;GameEventID=361&amp;GameID=0022200408&amp;Season=2022-23&amp;flag=1&amp;title=Leonard%2026'%203PT%20running%20pullup%20(13%20PTS)", "26' 3PT running pullup (13 PTS)")</f>
        <v>26' 3PT running pullup (13 PTS)</v>
      </c>
      <c r="L1121" s="2" t="str">
        <f>HYPERLINK("https://www.nba.com/game/...-vs-...-0022200408/play-by-play?watchFullGame=true", "LAC vs BOS - Q3 10:35.00")</f>
        <v>LAC vs BOS - Q3 10:35.00</v>
      </c>
      <c r="M1121">
        <v>26.93</v>
      </c>
      <c r="N1121">
        <v>32.380000000000003</v>
      </c>
      <c r="O1121">
        <v>30.88</v>
      </c>
      <c r="P1121">
        <v>96</v>
      </c>
      <c r="Q1121">
        <v>252</v>
      </c>
      <c r="R1121">
        <v>32</v>
      </c>
      <c r="S1121">
        <v>30</v>
      </c>
    </row>
    <row r="1122" spans="1:19" hidden="1" x14ac:dyDescent="0.25">
      <c r="A1122">
        <v>22200902</v>
      </c>
      <c r="B1122" t="s">
        <v>26</v>
      </c>
      <c r="C1122" t="s">
        <v>19</v>
      </c>
      <c r="D1122">
        <v>107</v>
      </c>
      <c r="E1122">
        <v>100</v>
      </c>
      <c r="F1122">
        <v>7</v>
      </c>
      <c r="G1122">
        <v>3</v>
      </c>
      <c r="H1122" s="1">
        <v>2.1412037037037038E-3</v>
      </c>
      <c r="I1122">
        <v>2022</v>
      </c>
      <c r="J1122" t="s">
        <v>83</v>
      </c>
      <c r="K1122" s="2" t="str">
        <f>HYPERLINK("https://www.nba.com/stats/events?CFID=&amp;CFPARAMS=&amp;GameEventID=458&amp;GameID=0022200902&amp;Season=2022-23&amp;flag=1&amp;title=Leonard%2026'%203PT%20step%20back%20(36%20PTS)", "26' 3PT step back (36 PTS)")</f>
        <v>26' 3PT step back (36 PTS)</v>
      </c>
      <c r="L1122" s="2" t="str">
        <f>HYPERLINK("https://www.nba.com/game/...-vs-...-0022200902/play-by-play?watchFullGame=true", "LAC vs SAC - Q3 03:05.00")</f>
        <v>LAC vs SAC - Q3 03:05.00</v>
      </c>
      <c r="M1122">
        <v>26.69</v>
      </c>
      <c r="N1122">
        <v>32.24</v>
      </c>
      <c r="O1122">
        <v>68.38</v>
      </c>
      <c r="P1122">
        <v>-92</v>
      </c>
      <c r="Q1122">
        <v>251</v>
      </c>
      <c r="R1122">
        <v>32</v>
      </c>
      <c r="S1122">
        <v>68</v>
      </c>
    </row>
    <row r="1123" spans="1:19" hidden="1" x14ac:dyDescent="0.25">
      <c r="A1123">
        <v>42000224</v>
      </c>
      <c r="B1123" t="s">
        <v>26</v>
      </c>
      <c r="C1123" t="s">
        <v>19</v>
      </c>
      <c r="D1123">
        <v>26</v>
      </c>
      <c r="E1123">
        <v>10</v>
      </c>
      <c r="F1123">
        <v>16</v>
      </c>
      <c r="G1123">
        <v>1</v>
      </c>
      <c r="H1123" s="1">
        <v>1.4814814814814814E-3</v>
      </c>
      <c r="I1123" t="s">
        <v>94</v>
      </c>
      <c r="J1123" t="s">
        <v>83</v>
      </c>
      <c r="K1123" s="2" t="str">
        <f>HYPERLINK("https://www.nba.com/stats/events?CFID=&amp;CFPARAMS=&amp;GameEventID=117&amp;GameID=0042000224&amp;Season=2020-21&amp;flag=1&amp;title=Leonard%2026'%203PT%20pullup%20(10%20PTS)", "26' 3PT pullup (10 PTS)")</f>
        <v>26' 3PT pullup (10 PTS)</v>
      </c>
      <c r="L1123" s="2" t="str">
        <f>HYPERLINK("https://www.nba.com/game/...-vs-...-0042000224/play-by-play?watchFullGame=true", "LAC vs UTA - Q1 02:08.00")</f>
        <v>LAC vs UTA - Q1 02:08.00</v>
      </c>
      <c r="M1123">
        <v>26.59</v>
      </c>
      <c r="N1123">
        <v>32.9</v>
      </c>
      <c r="O1123">
        <v>36.21</v>
      </c>
      <c r="P1123">
        <v>32</v>
      </c>
      <c r="Q1123">
        <v>36</v>
      </c>
      <c r="R1123">
        <v>32</v>
      </c>
      <c r="S1123">
        <v>36</v>
      </c>
    </row>
    <row r="1124" spans="1:19" hidden="1" x14ac:dyDescent="0.25">
      <c r="A1124">
        <v>22200829</v>
      </c>
      <c r="B1124" t="s">
        <v>26</v>
      </c>
      <c r="C1124" t="s">
        <v>19</v>
      </c>
      <c r="D1124">
        <v>70</v>
      </c>
      <c r="E1124">
        <v>75</v>
      </c>
      <c r="F1124">
        <v>5</v>
      </c>
      <c r="G1124">
        <v>3</v>
      </c>
      <c r="H1124" s="1">
        <v>3.6805555555555554E-3</v>
      </c>
      <c r="I1124">
        <v>2022</v>
      </c>
      <c r="J1124" t="s">
        <v>83</v>
      </c>
      <c r="K1124" s="2" t="str">
        <f>HYPERLINK("https://www.nba.com/stats/events?CFID=&amp;CFPARAMS=&amp;GameEventID=387&amp;GameID=0022200829&amp;Season=2022-23&amp;flag=1&amp;title=Leonard%2026'%203PT%20step%20back%20(9%20PTS)", "26' 3PT step back (9 PTS)")</f>
        <v>26' 3PT step back (9 PTS)</v>
      </c>
      <c r="L1124" s="2" t="str">
        <f>HYPERLINK("https://www.nba.com/game/...-vs-...-0022200829/play-by-play?watchFullGame=true", "LAC vs DAL - Q3 05:18.00")</f>
        <v>LAC vs DAL - Q3 05:18.00</v>
      </c>
      <c r="M1124">
        <v>26.49</v>
      </c>
      <c r="N1124">
        <v>32.24</v>
      </c>
      <c r="O1124">
        <v>32.840000000000003</v>
      </c>
      <c r="P1124">
        <v>86</v>
      </c>
      <c r="Q1124">
        <v>251</v>
      </c>
      <c r="R1124">
        <v>32</v>
      </c>
      <c r="S1124">
        <v>32</v>
      </c>
    </row>
    <row r="1125" spans="1:19" hidden="1" x14ac:dyDescent="0.25">
      <c r="A1125">
        <v>41900235</v>
      </c>
      <c r="B1125" t="s">
        <v>26</v>
      </c>
      <c r="C1125" t="s">
        <v>84</v>
      </c>
      <c r="D1125">
        <v>91</v>
      </c>
      <c r="E1125">
        <v>94</v>
      </c>
      <c r="F1125">
        <v>3</v>
      </c>
      <c r="G1125">
        <v>4</v>
      </c>
      <c r="H1125" s="1">
        <v>3.8194444444444443E-3</v>
      </c>
      <c r="I1125" t="s">
        <v>85</v>
      </c>
      <c r="J1125" t="s">
        <v>83</v>
      </c>
      <c r="K1125" s="2" t="str">
        <f>HYPERLINK("https://www.nba.com/stats/events?CFID=&amp;CFPARAMS=&amp;GameEventID=560&amp;GameID=0041900235&amp;Season=2019-20&amp;flag=1&amp;title=Leonard%2026'%203PT%20%20(26%20PTS)", "26' 3PT  (26 PTS)")</f>
        <v>26' 3PT  (26 PTS)</v>
      </c>
      <c r="L1125" s="2" t="str">
        <f>HYPERLINK("https://www.nba.com/game/...-vs-...-0041900235/play-by-play?watchFullGame=true", "LAC vs DEN - Q4 05:30.00")</f>
        <v>LAC vs DEN - Q4 05:30.00</v>
      </c>
      <c r="M1125">
        <v>26.48</v>
      </c>
      <c r="N1125">
        <v>32.67</v>
      </c>
      <c r="O1125">
        <v>40.020000000000003</v>
      </c>
      <c r="P1125">
        <v>50</v>
      </c>
      <c r="Q1125">
        <v>255</v>
      </c>
      <c r="R1125">
        <v>32</v>
      </c>
      <c r="S1125">
        <v>40</v>
      </c>
    </row>
    <row r="1126" spans="1:19" hidden="1" x14ac:dyDescent="0.25">
      <c r="A1126">
        <v>22300770</v>
      </c>
      <c r="B1126" t="s">
        <v>26</v>
      </c>
      <c r="C1126" t="s">
        <v>19</v>
      </c>
      <c r="D1126">
        <v>20</v>
      </c>
      <c r="E1126">
        <v>26</v>
      </c>
      <c r="F1126">
        <v>6</v>
      </c>
      <c r="G1126">
        <v>1</v>
      </c>
      <c r="H1126" s="1">
        <v>1.0300925925925926E-3</v>
      </c>
      <c r="I1126">
        <v>2023</v>
      </c>
      <c r="J1126" t="s">
        <v>83</v>
      </c>
      <c r="K1126" s="2" t="str">
        <f>HYPERLINK("https://www.nba.com/stats/events?CFID=&amp;CFPARAMS=&amp;GameEventID=141&amp;GameID=0022300770&amp;Season=2023-24&amp;flag=1&amp;title=Leonard%2026'%203PT%20%20(7%20PTS)%20(A.%20Coffey%201%20AST)", "26' 3PT  (7 PTS) (A. Coffey 1 AST)")</f>
        <v>26' 3PT  (7 PTS) (A. Coffey 1 AST)</v>
      </c>
      <c r="L1126" s="2" t="str">
        <f>HYPERLINK("https://www.nba.com/game/...-vs-...-0022300770/play-by-play?watchFullGame=true", "LAC vs MIN - Q1 01:29.00")</f>
        <v>LAC vs MIN - Q1 01:29.00</v>
      </c>
      <c r="M1126">
        <v>26.37</v>
      </c>
      <c r="N1126">
        <v>32.64</v>
      </c>
      <c r="O1126">
        <v>36.03</v>
      </c>
      <c r="P1126">
        <v>70</v>
      </c>
      <c r="Q1126">
        <v>254</v>
      </c>
      <c r="R1126">
        <v>32</v>
      </c>
      <c r="S1126">
        <v>36</v>
      </c>
    </row>
    <row r="1127" spans="1:19" hidden="1" x14ac:dyDescent="0.25">
      <c r="A1127">
        <v>22201215</v>
      </c>
      <c r="B1127" t="s">
        <v>26</v>
      </c>
      <c r="C1127" t="s">
        <v>19</v>
      </c>
      <c r="D1127">
        <v>100</v>
      </c>
      <c r="E1127">
        <v>89</v>
      </c>
      <c r="F1127">
        <v>11</v>
      </c>
      <c r="G1127">
        <v>3</v>
      </c>
      <c r="H1127" s="1">
        <v>2.2800925925925927E-3</v>
      </c>
      <c r="I1127">
        <v>2022</v>
      </c>
      <c r="J1127" t="s">
        <v>83</v>
      </c>
      <c r="K1127" s="2" t="str">
        <f>HYPERLINK("https://www.nba.com/stats/events?CFID=&amp;CFPARAMS=&amp;GameEventID=447&amp;GameID=0022201215&amp;Season=2022-23&amp;flag=1&amp;title=Leonard%2025'%203PT%20%20(25%20PTS)", "25' 3PT  (25 PTS)")</f>
        <v>25' 3PT  (25 PTS)</v>
      </c>
      <c r="L1127" s="2" t="str">
        <f>HYPERLINK("https://www.nba.com/game/...-vs-...-0022201215/play-by-play?watchFullGame=true", "LAC vs POR - Q3 03:17.00")</f>
        <v>LAC vs POR - Q3 03:17.00</v>
      </c>
      <c r="M1127">
        <v>25.99</v>
      </c>
      <c r="N1127">
        <v>32.64</v>
      </c>
      <c r="O1127">
        <v>60.78</v>
      </c>
      <c r="P1127">
        <v>-54</v>
      </c>
      <c r="Q1127">
        <v>254</v>
      </c>
      <c r="R1127">
        <v>32</v>
      </c>
      <c r="S1127">
        <v>60</v>
      </c>
    </row>
    <row r="1128" spans="1:19" hidden="1" x14ac:dyDescent="0.25">
      <c r="A1128">
        <v>22000799</v>
      </c>
      <c r="B1128" t="s">
        <v>26</v>
      </c>
      <c r="C1128" t="s">
        <v>19</v>
      </c>
      <c r="D1128">
        <v>120</v>
      </c>
      <c r="E1128">
        <v>101</v>
      </c>
      <c r="F1128">
        <v>19</v>
      </c>
      <c r="G1128">
        <v>4</v>
      </c>
      <c r="H1128" s="1">
        <v>2.488425925925926E-3</v>
      </c>
      <c r="I1128">
        <v>2020</v>
      </c>
      <c r="J1128" t="s">
        <v>83</v>
      </c>
      <c r="K1128" s="2" t="str">
        <f>HYPERLINK("https://www.nba.com/stats/events?CFID=&amp;CFPARAMS=&amp;GameEventID=607&amp;GameID=0022000799&amp;Season=2020-21&amp;flag=1&amp;title=Leonard%2025'%203PT%20running%20pullup%20(31%20PTS)", "25' 3PT running pullup (31 PTS)")</f>
        <v>25' 3PT running pullup (31 PTS)</v>
      </c>
      <c r="L1128" s="2" t="str">
        <f>HYPERLINK("https://www.nba.com/game/...-vs-...-0022000799/play-by-play?watchFullGame=true", "LAC vs HOU - Q4 03:35.00")</f>
        <v>LAC vs HOU - Q4 03:35.00</v>
      </c>
      <c r="M1128">
        <v>25.98</v>
      </c>
      <c r="N1128">
        <v>32.67</v>
      </c>
      <c r="O1128">
        <v>60.36</v>
      </c>
      <c r="P1128">
        <v>-52</v>
      </c>
      <c r="Q1128">
        <v>255</v>
      </c>
      <c r="R1128">
        <v>32</v>
      </c>
      <c r="S1128">
        <v>60</v>
      </c>
    </row>
    <row r="1129" spans="1:19" hidden="1" x14ac:dyDescent="0.25">
      <c r="A1129">
        <v>22300037</v>
      </c>
      <c r="B1129" t="s">
        <v>26</v>
      </c>
      <c r="C1129" t="s">
        <v>19</v>
      </c>
      <c r="D1129">
        <v>21</v>
      </c>
      <c r="E1129">
        <v>15</v>
      </c>
      <c r="F1129">
        <v>6</v>
      </c>
      <c r="G1129">
        <v>1</v>
      </c>
      <c r="H1129" s="1">
        <v>3.0902777777777777E-3</v>
      </c>
      <c r="I1129">
        <v>2023</v>
      </c>
      <c r="J1129" t="s">
        <v>83</v>
      </c>
      <c r="K1129" s="2" t="str">
        <f>HYPERLINK("https://www.nba.com/stats/events?CFID=&amp;CFPARAMS=&amp;GameEventID=86&amp;GameID=0022300037&amp;Season=2023-24&amp;flag=1&amp;title=Leonard%2025'%203PT%20pullup%20(3%20PTS)", "25' 3PT pullup (3 PTS)")</f>
        <v>25' 3PT pullup (3 PTS)</v>
      </c>
      <c r="L1129" s="2" t="str">
        <f>HYPERLINK("https://www.nba.com/game/...-vs-...-0022300037/play-by-play?watchFullGame=true", "LAC vs HOU - Q1 04:27.00")</f>
        <v>LAC vs HOU - Q1 04:27.00</v>
      </c>
      <c r="M1129">
        <v>25.97</v>
      </c>
      <c r="N1129">
        <v>32.380000000000003</v>
      </c>
      <c r="O1129">
        <v>37.25</v>
      </c>
      <c r="P1129">
        <v>64</v>
      </c>
      <c r="Q1129">
        <v>252</v>
      </c>
      <c r="R1129">
        <v>32</v>
      </c>
      <c r="S1129">
        <v>37</v>
      </c>
    </row>
    <row r="1130" spans="1:19" hidden="1" x14ac:dyDescent="0.25">
      <c r="A1130">
        <v>21900035</v>
      </c>
      <c r="B1130" t="s">
        <v>26</v>
      </c>
      <c r="C1130" t="s">
        <v>84</v>
      </c>
      <c r="D1130">
        <v>3</v>
      </c>
      <c r="E1130">
        <v>0</v>
      </c>
      <c r="F1130">
        <v>3</v>
      </c>
      <c r="G1130">
        <v>1</v>
      </c>
      <c r="H1130" s="1">
        <v>7.8240740740740736E-3</v>
      </c>
      <c r="I1130">
        <v>2019</v>
      </c>
      <c r="J1130" t="s">
        <v>83</v>
      </c>
      <c r="K1130" s="2" t="str">
        <f>HYPERLINK("https://www.nba.com/stats/events?CFID=&amp;CFPARAMS=&amp;GameEventID=11&amp;GameID=0021900035&amp;Season=2019-20&amp;flag=1&amp;title=[LAC]%20Leonard%203pt%20shot:%20Made%20(3%20PTS)", "[LAC] Leonard 3pt shot: Made (3 PTS)")</f>
        <v>[LAC] Leonard 3pt shot: Made (3 PTS)</v>
      </c>
      <c r="L1130" s="2" t="str">
        <f>HYPERLINK("https://www.nba.com/game/...-vs-...-0021900035/play-by-play?watchFullGame=true", "LAC vs PHX - Q1 11:16.00")</f>
        <v>LAC vs PHX - Q1 11:16.00</v>
      </c>
      <c r="M1130">
        <v>25.93</v>
      </c>
      <c r="N1130">
        <v>32.409999999999997</v>
      </c>
      <c r="O1130">
        <v>55.95</v>
      </c>
      <c r="P1130">
        <v>-30</v>
      </c>
      <c r="Q1130">
        <v>252</v>
      </c>
      <c r="R1130">
        <v>32</v>
      </c>
      <c r="S1130">
        <v>55</v>
      </c>
    </row>
    <row r="1131" spans="1:19" hidden="1" x14ac:dyDescent="0.25">
      <c r="A1131">
        <v>41900233</v>
      </c>
      <c r="B1131" t="s">
        <v>26</v>
      </c>
      <c r="C1131" t="s">
        <v>84</v>
      </c>
      <c r="D1131">
        <v>49</v>
      </c>
      <c r="E1131">
        <v>57</v>
      </c>
      <c r="F1131">
        <v>8</v>
      </c>
      <c r="G1131">
        <v>2</v>
      </c>
      <c r="H1131" s="1">
        <v>2.0949074074074073E-3</v>
      </c>
      <c r="I1131" t="s">
        <v>85</v>
      </c>
      <c r="J1131" t="s">
        <v>83</v>
      </c>
      <c r="K1131" s="2" t="str">
        <f>HYPERLINK("https://www.nba.com/stats/events?CFID=&amp;CFPARAMS=&amp;GameEventID=272&amp;GameID=0041900233&amp;Season=2019-20&amp;flag=1&amp;title=Leonard%2026'%203PT%20%20(12%20PTS)", "26' 3PT  (12 PTS)")</f>
        <v>26' 3PT  (12 PTS)</v>
      </c>
      <c r="L1131" s="2" t="str">
        <f>HYPERLINK("https://www.nba.com/game/...-vs-...-0041900233/play-by-play?watchFullGame=true", "LAC vs DEN - Q2 03:01.00")</f>
        <v>LAC vs DEN - Q2 03:01.00</v>
      </c>
      <c r="M1131">
        <v>25.89</v>
      </c>
      <c r="N1131">
        <v>32.54</v>
      </c>
      <c r="O1131">
        <v>50.07</v>
      </c>
      <c r="P1131">
        <v>32</v>
      </c>
      <c r="Q1131">
        <v>253</v>
      </c>
      <c r="R1131">
        <v>32</v>
      </c>
      <c r="S1131">
        <v>50</v>
      </c>
    </row>
    <row r="1132" spans="1:19" hidden="1" x14ac:dyDescent="0.25">
      <c r="A1132">
        <v>22300343</v>
      </c>
      <c r="B1132" t="s">
        <v>26</v>
      </c>
      <c r="C1132" t="s">
        <v>19</v>
      </c>
      <c r="D1132">
        <v>84</v>
      </c>
      <c r="E1132">
        <v>71</v>
      </c>
      <c r="F1132">
        <v>13</v>
      </c>
      <c r="G1132">
        <v>3</v>
      </c>
      <c r="H1132" s="1">
        <v>7.060185185185185E-3</v>
      </c>
      <c r="I1132">
        <v>2023</v>
      </c>
      <c r="J1132" t="s">
        <v>83</v>
      </c>
      <c r="K1132" s="2" t="str">
        <f>HYPERLINK("https://www.nba.com/stats/events?CFID=&amp;CFPARAMS=&amp;GameEventID=385&amp;GameID=0022300343&amp;Season=2023-24&amp;flag=1&amp;title=Leonard%2025'%203PT%20%20(23%20PTS)%20(J.%20Harden%208%20AST)", "25' 3PT  (23 PTS) (J. Harden 8 AST)")</f>
        <v>25' 3PT  (23 PTS) (J. Harden 8 AST)</v>
      </c>
      <c r="L1132" s="2" t="str">
        <f>HYPERLINK("https://www.nba.com/game/...-vs-...-0022300343/play-by-play?watchFullGame=true", "LAC vs NYK - Q3 10:10.00")</f>
        <v>LAC vs NYK - Q3 10:10.00</v>
      </c>
      <c r="M1132">
        <v>25.89</v>
      </c>
      <c r="N1132">
        <v>32.24</v>
      </c>
      <c r="O1132">
        <v>37.01</v>
      </c>
      <c r="P1132">
        <v>65</v>
      </c>
      <c r="Q1132">
        <v>251</v>
      </c>
      <c r="R1132">
        <v>32</v>
      </c>
      <c r="S1132">
        <v>37</v>
      </c>
    </row>
    <row r="1133" spans="1:19" hidden="1" x14ac:dyDescent="0.25">
      <c r="A1133">
        <v>22300537</v>
      </c>
      <c r="B1133" t="s">
        <v>26</v>
      </c>
      <c r="C1133" t="s">
        <v>19</v>
      </c>
      <c r="D1133">
        <v>60</v>
      </c>
      <c r="E1133">
        <v>49</v>
      </c>
      <c r="F1133">
        <v>11</v>
      </c>
      <c r="G1133">
        <v>2</v>
      </c>
      <c r="H1133" s="1">
        <v>1.9097222222222222E-3</v>
      </c>
      <c r="I1133">
        <v>2023</v>
      </c>
      <c r="J1133" t="s">
        <v>83</v>
      </c>
      <c r="K1133" s="2" t="str">
        <f>HYPERLINK("https://www.nba.com/stats/events?CFID=&amp;CFPARAMS=&amp;GameEventID=283&amp;GameID=0022300537&amp;Season=2023-24&amp;flag=1&amp;title=Leonard%2025'%203PT%20pullup%20(11%20PTS)%20(P.%20George%201%20AST)", "25' 3PT pullup (11 PTS) (P. George 1 AST)")</f>
        <v>25' 3PT pullup (11 PTS) (P. George 1 AST)</v>
      </c>
      <c r="L1133" s="2" t="str">
        <f>HYPERLINK("https://www.nba.com/game/...-vs-...-0022300537/play-by-play?watchFullGame=true", "LAC vs MEM - Q2 02:45.00")</f>
        <v>LAC vs MEM - Q2 02:45.00</v>
      </c>
      <c r="M1133">
        <v>25.88</v>
      </c>
      <c r="N1133">
        <v>32.93</v>
      </c>
      <c r="O1133">
        <v>44.12</v>
      </c>
      <c r="P1133">
        <v>29</v>
      </c>
      <c r="Q1133">
        <v>257</v>
      </c>
      <c r="R1133">
        <v>32</v>
      </c>
      <c r="S1133">
        <v>44</v>
      </c>
    </row>
    <row r="1134" spans="1:19" hidden="1" x14ac:dyDescent="0.25">
      <c r="A1134">
        <v>22200735</v>
      </c>
      <c r="B1134" t="s">
        <v>26</v>
      </c>
      <c r="C1134" t="s">
        <v>19</v>
      </c>
      <c r="D1134">
        <v>83</v>
      </c>
      <c r="E1134">
        <v>59</v>
      </c>
      <c r="F1134">
        <v>24</v>
      </c>
      <c r="G1134">
        <v>3</v>
      </c>
      <c r="H1134" s="1">
        <v>7.0949074074074074E-3</v>
      </c>
      <c r="I1134">
        <v>2022</v>
      </c>
      <c r="J1134" t="s">
        <v>83</v>
      </c>
      <c r="K1134" s="2" t="str">
        <f>HYPERLINK("https://www.nba.com/stats/events?CFID=&amp;CFPARAMS=&amp;GameEventID=355&amp;GameID=0022200735&amp;Season=2022-23&amp;flag=1&amp;title=Leonard%2025'%203PT%20step%20back%20(23%20PTS)", "25' 3PT step back (23 PTS)")</f>
        <v>25' 3PT step back (23 PTS)</v>
      </c>
      <c r="L1134" s="2" t="str">
        <f>HYPERLINK("https://www.nba.com/game/...-vs-...-0022200735/play-by-play?watchFullGame=true", "LAC vs SAS - Q3 10:13.00")</f>
        <v>LAC vs SAS - Q3 10:13.00</v>
      </c>
      <c r="M1134">
        <v>25.87</v>
      </c>
      <c r="N1134">
        <v>32.770000000000003</v>
      </c>
      <c r="O1134">
        <v>41.91</v>
      </c>
      <c r="P1134">
        <v>40</v>
      </c>
      <c r="Q1134">
        <v>256</v>
      </c>
      <c r="R1134">
        <v>32</v>
      </c>
      <c r="S1134">
        <v>41</v>
      </c>
    </row>
    <row r="1135" spans="1:19" hidden="1" x14ac:dyDescent="0.25">
      <c r="A1135">
        <v>22300074</v>
      </c>
      <c r="B1135" t="s">
        <v>26</v>
      </c>
      <c r="C1135" t="s">
        <v>19</v>
      </c>
      <c r="D1135">
        <v>77</v>
      </c>
      <c r="E1135">
        <v>54</v>
      </c>
      <c r="F1135">
        <v>23</v>
      </c>
      <c r="G1135">
        <v>3</v>
      </c>
      <c r="H1135" s="1">
        <v>6.7939814814814816E-3</v>
      </c>
      <c r="I1135">
        <v>2023</v>
      </c>
      <c r="J1135" t="s">
        <v>83</v>
      </c>
      <c r="K1135" s="2" t="str">
        <f>HYPERLINK("https://www.nba.com/stats/events?CFID=&amp;CFPARAMS=&amp;GameEventID=381&amp;GameID=0022300074&amp;Season=2023-24&amp;flag=1&amp;title=Leonard%2025'%203PT%20pullup%20(13%20PTS)", "25' 3PT pullup (13 PTS)")</f>
        <v>25' 3PT pullup (13 PTS)</v>
      </c>
      <c r="L1135" s="2" t="str">
        <f>HYPERLINK("https://www.nba.com/game/...-vs-...-0022300074/play-by-play?watchFullGame=true", "LAC vs POR - Q3 09:47.00")</f>
        <v>LAC vs POR - Q3 09:47.00</v>
      </c>
      <c r="M1135">
        <v>25.83</v>
      </c>
      <c r="N1135">
        <v>32.770000000000003</v>
      </c>
      <c r="O1135">
        <v>42.4</v>
      </c>
      <c r="P1135">
        <v>38</v>
      </c>
      <c r="Q1135">
        <v>256</v>
      </c>
      <c r="R1135">
        <v>32</v>
      </c>
      <c r="S1135">
        <v>42</v>
      </c>
    </row>
    <row r="1136" spans="1:19" hidden="1" x14ac:dyDescent="0.25">
      <c r="A1136">
        <v>22400793</v>
      </c>
      <c r="B1136" t="s">
        <v>26</v>
      </c>
      <c r="C1136" t="s">
        <v>19</v>
      </c>
      <c r="D1136">
        <v>40</v>
      </c>
      <c r="E1136">
        <v>43</v>
      </c>
      <c r="F1136">
        <v>3</v>
      </c>
      <c r="G1136">
        <v>2</v>
      </c>
      <c r="H1136" s="1">
        <v>3.7268518518518519E-3</v>
      </c>
      <c r="I1136">
        <v>2024</v>
      </c>
      <c r="J1136" t="s">
        <v>83</v>
      </c>
      <c r="K1136" s="2" t="str">
        <f>HYPERLINK("https://www.nba.com/stats/events?CFID=&amp;CFPARAMS=&amp;GameEventID=227&amp;GameID=0022400793&amp;Season=2024-25&amp;flag=1&amp;title=Leonard%2025'%203PT%20%20(10%20PTS)%20(J.%20Harden%202%20AST)", "25' 3PT  (10 PTS) (J. Harden 2 AST)")</f>
        <v>25' 3PT  (10 PTS) (J. Harden 2 AST)</v>
      </c>
      <c r="L1136" s="2" t="str">
        <f>HYPERLINK("https://www.nba.com/game/...-vs-...-0022400793/play-by-play?watchFullGame=true", "LAC vs MIL - Q2 05:22.00")</f>
        <v>LAC vs MIL - Q2 05:22.00</v>
      </c>
      <c r="M1136">
        <v>25.81</v>
      </c>
      <c r="N1136">
        <v>32.9</v>
      </c>
      <c r="O1136">
        <v>44.88</v>
      </c>
      <c r="P1136">
        <v>26</v>
      </c>
      <c r="Q1136">
        <v>257</v>
      </c>
      <c r="R1136">
        <v>32</v>
      </c>
      <c r="S1136">
        <v>44</v>
      </c>
    </row>
    <row r="1137" spans="1:19" hidden="1" x14ac:dyDescent="0.25">
      <c r="A1137">
        <v>21900626</v>
      </c>
      <c r="B1137" t="s">
        <v>26</v>
      </c>
      <c r="C1137" t="s">
        <v>84</v>
      </c>
      <c r="D1137">
        <v>17</v>
      </c>
      <c r="E1137">
        <v>12</v>
      </c>
      <c r="F1137">
        <v>5</v>
      </c>
      <c r="G1137">
        <v>1</v>
      </c>
      <c r="H1137" s="1">
        <v>4.8842592592592592E-3</v>
      </c>
      <c r="I1137">
        <v>2019</v>
      </c>
      <c r="J1137" t="s">
        <v>83</v>
      </c>
      <c r="K1137" s="2" t="str">
        <f>HYPERLINK("https://www.nba.com/stats/events?CFID=&amp;CFPARAMS=&amp;GameEventID=65&amp;GameID=0021900626&amp;Season=2019-20&amp;flag=1&amp;title=Leonard%2026'%203PT%20%20(10%20PTS)%20(P.%20Beverley%203%20AST)", "26' 3PT  (10 PTS) (P. Beverley 3 AST)")</f>
        <v>26' 3PT  (10 PTS) (P. Beverley 3 AST)</v>
      </c>
      <c r="L1137" s="2" t="str">
        <f>HYPERLINK("https://www.nba.com/game/...-vs-...-0021900626/play-by-play?watchFullGame=true", "LAC vs NOP - Q1 07:02.00")</f>
        <v>LAC vs NOP - Q1 07:02.00</v>
      </c>
      <c r="M1137">
        <v>25.73</v>
      </c>
      <c r="N1137">
        <v>32.28</v>
      </c>
      <c r="O1137">
        <v>45.66</v>
      </c>
      <c r="P1137">
        <v>22</v>
      </c>
      <c r="Q1137">
        <v>251</v>
      </c>
      <c r="R1137">
        <v>32</v>
      </c>
      <c r="S1137">
        <v>45</v>
      </c>
    </row>
    <row r="1138" spans="1:19" hidden="1" x14ac:dyDescent="0.25">
      <c r="A1138">
        <v>22201069</v>
      </c>
      <c r="B1138" t="s">
        <v>26</v>
      </c>
      <c r="C1138" t="s">
        <v>19</v>
      </c>
      <c r="D1138">
        <v>111</v>
      </c>
      <c r="E1138">
        <v>99</v>
      </c>
      <c r="F1138">
        <v>12</v>
      </c>
      <c r="G1138">
        <v>4</v>
      </c>
      <c r="H1138" s="1">
        <v>3.3564814814814816E-3</v>
      </c>
      <c r="I1138">
        <v>2022</v>
      </c>
      <c r="J1138" t="s">
        <v>83</v>
      </c>
      <c r="K1138" s="2" t="str">
        <f>HYPERLINK("https://www.nba.com/stats/events?CFID=&amp;CFPARAMS=&amp;GameEventID=565&amp;GameID=0022201069&amp;Season=2022-23&amp;flag=1&amp;title=Leonard%2025'%203PT%20pullup%20(24%20PTS)", "25' 3PT pullup (24 PTS)")</f>
        <v>25' 3PT pullup (24 PTS)</v>
      </c>
      <c r="L1138" s="2" t="str">
        <f>HYPERLINK("https://www.nba.com/game/...-vs-...-0022201069/play-by-play?watchFullGame=true", "LAC vs POR - Q4 04:50.00")</f>
        <v>LAC vs POR - Q4 04:50.00</v>
      </c>
      <c r="M1138">
        <v>25.72</v>
      </c>
      <c r="N1138">
        <v>32.799999999999997</v>
      </c>
      <c r="O1138">
        <v>44.61</v>
      </c>
      <c r="P1138">
        <v>27</v>
      </c>
      <c r="Q1138">
        <v>256</v>
      </c>
      <c r="R1138">
        <v>32</v>
      </c>
      <c r="S1138">
        <v>44</v>
      </c>
    </row>
    <row r="1139" spans="1:19" hidden="1" x14ac:dyDescent="0.25">
      <c r="A1139">
        <v>22201004</v>
      </c>
      <c r="B1139" t="s">
        <v>26</v>
      </c>
      <c r="C1139" t="s">
        <v>19</v>
      </c>
      <c r="D1139">
        <v>58</v>
      </c>
      <c r="E1139">
        <v>57</v>
      </c>
      <c r="F1139">
        <v>1</v>
      </c>
      <c r="G1139">
        <v>3</v>
      </c>
      <c r="H1139" s="1">
        <v>5.37037037037037E-3</v>
      </c>
      <c r="I1139">
        <v>2022</v>
      </c>
      <c r="J1139" t="s">
        <v>83</v>
      </c>
      <c r="K1139" s="2" t="str">
        <f>HYPERLINK("https://www.nba.com/stats/events?CFID=&amp;CFPARAMS=&amp;GameEventID=359&amp;GameID=0022201004&amp;Season=2022-23&amp;flag=1&amp;title=Leonard%2025'%203PT%20pullup%20(19%20PTS)", "25' 3PT pullup (19 PTS)")</f>
        <v>25' 3PT pullup (19 PTS)</v>
      </c>
      <c r="L1139" s="2" t="str">
        <f>HYPERLINK("https://www.nba.com/game/...-vs-...-0022201004/play-by-play?watchFullGame=true", "LAC vs NYK - Q3 07:44.00")</f>
        <v>LAC vs NYK - Q3 07:44.00</v>
      </c>
      <c r="M1139">
        <v>25.7</v>
      </c>
      <c r="N1139">
        <v>32.9</v>
      </c>
      <c r="O1139">
        <v>51.96</v>
      </c>
      <c r="P1139">
        <v>-10</v>
      </c>
      <c r="Q1139">
        <v>257</v>
      </c>
      <c r="R1139">
        <v>32</v>
      </c>
      <c r="S1139">
        <v>51</v>
      </c>
    </row>
    <row r="1140" spans="1:19" hidden="1" x14ac:dyDescent="0.25">
      <c r="A1140">
        <v>22201082</v>
      </c>
      <c r="B1140" t="s">
        <v>26</v>
      </c>
      <c r="C1140" t="s">
        <v>19</v>
      </c>
      <c r="D1140">
        <v>69</v>
      </c>
      <c r="E1140">
        <v>65</v>
      </c>
      <c r="F1140">
        <v>4</v>
      </c>
      <c r="G1140">
        <v>3</v>
      </c>
      <c r="H1140" s="1">
        <v>4.2592592592592595E-3</v>
      </c>
      <c r="I1140">
        <v>2022</v>
      </c>
      <c r="J1140" t="s">
        <v>83</v>
      </c>
      <c r="K1140" s="2" t="str">
        <f>HYPERLINK("https://www.nba.com/stats/events?CFID=&amp;CFPARAMS=&amp;GameEventID=432&amp;GameID=0022201082&amp;Season=2022-23&amp;flag=1&amp;title=Leonard%2025'%203PT%20pullup%20(15%20PTS)%20(P.%20George%204%20AST)", "25' 3PT pullup (15 PTS) (P. George 4 AST)")</f>
        <v>25' 3PT pullup (15 PTS) (P. George 4 AST)</v>
      </c>
      <c r="L1140" s="2" t="str">
        <f>HYPERLINK("https://www.nba.com/game/...-vs-...-0022201082/play-by-play?watchFullGame=true", "LAC vs OKC - Q3 06:08.00")</f>
        <v>LAC vs OKC - Q3 06:08.00</v>
      </c>
      <c r="M1140">
        <v>25.68</v>
      </c>
      <c r="N1140">
        <v>32.380000000000003</v>
      </c>
      <c r="O1140">
        <v>39.950000000000003</v>
      </c>
      <c r="P1140">
        <v>50</v>
      </c>
      <c r="Q1140">
        <v>252</v>
      </c>
      <c r="R1140">
        <v>32</v>
      </c>
      <c r="S1140">
        <v>39</v>
      </c>
    </row>
    <row r="1141" spans="1:19" hidden="1" x14ac:dyDescent="0.25">
      <c r="A1141">
        <v>22000387</v>
      </c>
      <c r="B1141" t="s">
        <v>26</v>
      </c>
      <c r="C1141" t="s">
        <v>19</v>
      </c>
      <c r="D1141">
        <v>107</v>
      </c>
      <c r="E1141">
        <v>94</v>
      </c>
      <c r="F1141">
        <v>13</v>
      </c>
      <c r="G1141">
        <v>4</v>
      </c>
      <c r="H1141" s="1">
        <v>2.4189814814814816E-3</v>
      </c>
      <c r="I1141">
        <v>2020</v>
      </c>
      <c r="J1141" t="s">
        <v>83</v>
      </c>
      <c r="K1141" s="2" t="str">
        <f>HYPERLINK("https://www.nba.com/stats/events?CFID=&amp;CFPARAMS=&amp;GameEventID=608&amp;GameID=0022000387&amp;Season=2020-21&amp;flag=1&amp;title=Leonard%2025'%203PT%20pullup%20(33%20PTS)%20(M.%20Morris%20Sr.%201%20AST)", "25' 3PT pullup (33 PTS) (M. Morris Sr. 1 AST)")</f>
        <v>25' 3PT pullup (33 PTS) (M. Morris Sr. 1 AST)</v>
      </c>
      <c r="L1141" s="2" t="str">
        <f>HYPERLINK("https://www.nba.com/game/...-vs-...-0022000387/play-by-play?watchFullGame=true", "LAC vs MIN - Q4 03:29.00")</f>
        <v>LAC vs MIN - Q4 03:29.00</v>
      </c>
      <c r="M1141">
        <v>25.62</v>
      </c>
      <c r="N1141">
        <v>32.67</v>
      </c>
      <c r="O1141">
        <v>55.71</v>
      </c>
      <c r="P1141">
        <v>-29</v>
      </c>
      <c r="Q1141">
        <v>255</v>
      </c>
      <c r="R1141">
        <v>32</v>
      </c>
      <c r="S1141">
        <v>55</v>
      </c>
    </row>
    <row r="1142" spans="1:19" hidden="1" x14ac:dyDescent="0.25">
      <c r="A1142">
        <v>42000174</v>
      </c>
      <c r="B1142" t="s">
        <v>26</v>
      </c>
      <c r="C1142" t="s">
        <v>19</v>
      </c>
      <c r="D1142">
        <v>66</v>
      </c>
      <c r="E1142">
        <v>45</v>
      </c>
      <c r="F1142">
        <v>21</v>
      </c>
      <c r="G1142">
        <v>3</v>
      </c>
      <c r="H1142" s="1">
        <v>7.6851851851851855E-3</v>
      </c>
      <c r="I1142" t="s">
        <v>91</v>
      </c>
      <c r="J1142" t="s">
        <v>83</v>
      </c>
      <c r="K1142" s="2" t="str">
        <f>HYPERLINK("https://www.nba.com/stats/events?CFID=&amp;CFPARAMS=&amp;GameEventID=362&amp;GameID=0042000174&amp;Season=2020-21&amp;flag=1&amp;title=Leonard%2025'%203PT%20pullup%20(20%20PTS)%20(P.%20George%202%20AST)", "25' 3PT pullup (20 PTS) (P. George 2 AST)")</f>
        <v>25' 3PT pullup (20 PTS) (P. George 2 AST)</v>
      </c>
      <c r="L1142" s="2" t="str">
        <f>HYPERLINK("https://www.nba.com/game/...-vs-...-0042000174/play-by-play?watchFullGame=true", "LAC vs DAL - Q3 11:04.00")</f>
        <v>LAC vs DAL - Q3 11:04.00</v>
      </c>
      <c r="M1142">
        <v>25.46</v>
      </c>
      <c r="N1142">
        <v>32.28</v>
      </c>
      <c r="O1142">
        <v>58.65</v>
      </c>
      <c r="P1142">
        <v>32</v>
      </c>
      <c r="Q1142">
        <v>58</v>
      </c>
      <c r="R1142">
        <v>32</v>
      </c>
      <c r="S1142">
        <v>58</v>
      </c>
    </row>
    <row r="1143" spans="1:19" hidden="1" x14ac:dyDescent="0.25">
      <c r="A1143">
        <v>22200701</v>
      </c>
      <c r="B1143" t="s">
        <v>26</v>
      </c>
      <c r="C1143" t="s">
        <v>19</v>
      </c>
      <c r="D1143">
        <v>103</v>
      </c>
      <c r="E1143">
        <v>93</v>
      </c>
      <c r="F1143">
        <v>10</v>
      </c>
      <c r="G1143">
        <v>4</v>
      </c>
      <c r="H1143" s="1">
        <v>2.9861111111111113E-3</v>
      </c>
      <c r="I1143">
        <v>2022</v>
      </c>
      <c r="J1143" t="s">
        <v>83</v>
      </c>
      <c r="K1143" s="2" t="str">
        <f>HYPERLINK("https://www.nba.com/stats/events?CFID=&amp;CFPARAMS=&amp;GameEventID=565&amp;GameID=0022200701&amp;Season=2022-23&amp;flag=1&amp;title=Leonard%2025'%203PT%20pullup%20(28%20PTS)", "25' 3PT pullup (28 PTS)")</f>
        <v>25' 3PT pullup (28 PTS)</v>
      </c>
      <c r="L1143" s="2" t="str">
        <f>HYPERLINK("https://www.nba.com/game/...-vs-...-0022200701/play-by-play?watchFullGame=true", "LAC vs DAL - Q4 04:18.00")</f>
        <v>LAC vs DAL - Q4 04:18.00</v>
      </c>
      <c r="M1143">
        <v>25.35</v>
      </c>
      <c r="N1143">
        <v>32.409999999999997</v>
      </c>
      <c r="O1143">
        <v>55.39</v>
      </c>
      <c r="P1143">
        <v>-27</v>
      </c>
      <c r="Q1143">
        <v>252</v>
      </c>
      <c r="R1143">
        <v>32</v>
      </c>
      <c r="S1143">
        <v>55</v>
      </c>
    </row>
    <row r="1144" spans="1:19" hidden="1" x14ac:dyDescent="0.25">
      <c r="A1144">
        <v>22300458</v>
      </c>
      <c r="B1144" t="s">
        <v>26</v>
      </c>
      <c r="C1144" t="s">
        <v>19</v>
      </c>
      <c r="D1144">
        <v>106</v>
      </c>
      <c r="E1144">
        <v>90</v>
      </c>
      <c r="F1144">
        <v>16</v>
      </c>
      <c r="G1144">
        <v>4</v>
      </c>
      <c r="H1144" s="1">
        <v>6.030092592592593E-3</v>
      </c>
      <c r="I1144">
        <v>2023</v>
      </c>
      <c r="J1144" t="s">
        <v>83</v>
      </c>
      <c r="K1144" s="2" t="str">
        <f>HYPERLINK("https://www.nba.com/stats/events?CFID=&amp;CFPARAMS=&amp;GameEventID=507&amp;GameID=0022300458&amp;Season=2023-24&amp;flag=1&amp;title=Leonard%2025'%203PT%20running%20pullup%20(24%20PTS)", "25' 3PT running pullup (24 PTS)")</f>
        <v>25' 3PT running pullup (24 PTS)</v>
      </c>
      <c r="L1144" s="2" t="str">
        <f>HYPERLINK("https://www.nba.com/game/...-vs-...-0022300458/play-by-play?watchFullGame=true", "LAC vs MIA - Q4 08:41.00")</f>
        <v>LAC vs MIA - Q4 08:41.00</v>
      </c>
      <c r="M1144">
        <v>25.31</v>
      </c>
      <c r="N1144">
        <v>32.51</v>
      </c>
      <c r="O1144">
        <v>50.25</v>
      </c>
      <c r="P1144">
        <v>-1</v>
      </c>
      <c r="Q1144">
        <v>253</v>
      </c>
      <c r="R1144">
        <v>32</v>
      </c>
      <c r="S1144">
        <v>50</v>
      </c>
    </row>
    <row r="1145" spans="1:19" hidden="1" x14ac:dyDescent="0.25">
      <c r="A1145">
        <v>22400659</v>
      </c>
      <c r="B1145" t="s">
        <v>26</v>
      </c>
      <c r="C1145" t="s">
        <v>19</v>
      </c>
      <c r="D1145">
        <v>50</v>
      </c>
      <c r="E1145">
        <v>60</v>
      </c>
      <c r="F1145">
        <v>10</v>
      </c>
      <c r="G1145">
        <v>3</v>
      </c>
      <c r="H1145" s="1">
        <v>7.3726851851851852E-3</v>
      </c>
      <c r="I1145">
        <v>2024</v>
      </c>
      <c r="J1145" t="s">
        <v>83</v>
      </c>
      <c r="K1145" s="2" t="str">
        <f>HYPERLINK("https://www.nba.com/stats/events?CFID=&amp;CFPARAMS=&amp;GameEventID=310&amp;GameID=0022400659&amp;Season=2024-25&amp;flag=1&amp;title=Leonard%2025'%203PT%20%20(7%20PTS)%20(J.%20Harden%206%20AST)", "25' 3PT  (7 PTS) (J. Harden 6 AST)")</f>
        <v>25' 3PT  (7 PTS) (J. Harden 6 AST)</v>
      </c>
      <c r="L1145" s="2" t="str">
        <f>HYPERLINK("https://www.nba.com/game/...-vs-...-0022400659/play-by-play?watchFullGame=true", "LAC vs PHX - Q3 10:37.00")</f>
        <v>LAC vs PHX - Q3 10:37.00</v>
      </c>
      <c r="M1145">
        <v>25.27</v>
      </c>
      <c r="N1145">
        <v>32.01</v>
      </c>
      <c r="O1145">
        <v>59.31</v>
      </c>
      <c r="P1145">
        <v>-47</v>
      </c>
      <c r="Q1145">
        <v>248</v>
      </c>
      <c r="R1145">
        <v>32</v>
      </c>
      <c r="S1145">
        <v>59</v>
      </c>
    </row>
    <row r="1146" spans="1:19" hidden="1" x14ac:dyDescent="0.25">
      <c r="A1146">
        <v>22300273</v>
      </c>
      <c r="B1146" t="s">
        <v>26</v>
      </c>
      <c r="C1146" t="s">
        <v>19</v>
      </c>
      <c r="D1146">
        <v>69</v>
      </c>
      <c r="E1146">
        <v>78</v>
      </c>
      <c r="F1146">
        <v>9</v>
      </c>
      <c r="G1146">
        <v>3</v>
      </c>
      <c r="H1146" s="1">
        <v>3.2986111111111111E-3</v>
      </c>
      <c r="I1146">
        <v>2023</v>
      </c>
      <c r="J1146" t="s">
        <v>83</v>
      </c>
      <c r="K1146" s="2" t="str">
        <f>HYPERLINK("https://www.nba.com/stats/events?CFID=&amp;CFPARAMS=&amp;GameEventID=412&amp;GameID=0022300273&amp;Season=2023-24&amp;flag=1&amp;title=Leonard%2027'%203PT%20%20(19%20PTS)%20(J.%20Harden%206%20AST)", "27' 3PT  (19 PTS) (J. Harden 6 AST)")</f>
        <v>27' 3PT  (19 PTS) (J. Harden 6 AST)</v>
      </c>
      <c r="L1146" s="2" t="str">
        <f>HYPERLINK("https://www.nba.com/game/...-vs-...-0022300273/play-by-play?watchFullGame=true", "LAC vs GSW - Q3 04:45.00")</f>
        <v>LAC vs GSW - Q3 04:45.00</v>
      </c>
      <c r="M1146">
        <v>27.58</v>
      </c>
      <c r="N1146">
        <v>33.590000000000003</v>
      </c>
      <c r="O1146">
        <v>33.58</v>
      </c>
      <c r="P1146">
        <v>82</v>
      </c>
      <c r="Q1146">
        <v>263</v>
      </c>
      <c r="R1146">
        <v>33</v>
      </c>
      <c r="S1146">
        <v>33</v>
      </c>
    </row>
    <row r="1147" spans="1:19" hidden="1" x14ac:dyDescent="0.25">
      <c r="A1147">
        <v>22300731</v>
      </c>
      <c r="B1147" t="s">
        <v>26</v>
      </c>
      <c r="C1147" t="s">
        <v>19</v>
      </c>
      <c r="D1147">
        <v>11</v>
      </c>
      <c r="E1147">
        <v>13</v>
      </c>
      <c r="F1147">
        <v>2</v>
      </c>
      <c r="G1147">
        <v>1</v>
      </c>
      <c r="H1147" s="1">
        <v>4.4907407407407405E-3</v>
      </c>
      <c r="I1147">
        <v>2023</v>
      </c>
      <c r="J1147" t="s">
        <v>83</v>
      </c>
      <c r="K1147" s="2" t="str">
        <f>HYPERLINK("https://www.nba.com/stats/events?CFID=&amp;CFPARAMS=&amp;GameEventID=62&amp;GameID=0022300731&amp;Season=2023-24&amp;flag=1&amp;title=Leonard%2027'%203PT%20%20(3%20PTS)%20(P.%20George%201%20AST)", "27' 3PT  (3 PTS) (P. George 1 AST)")</f>
        <v>27' 3PT  (3 PTS) (P. George 1 AST)</v>
      </c>
      <c r="L1147" s="2" t="str">
        <f>HYPERLINK("https://www.nba.com/game/...-vs-...-0022300731/play-by-play?watchFullGame=true", "LAC vs NOP - Q1 06:28.00")</f>
        <v>LAC vs NOP - Q1 06:28.00</v>
      </c>
      <c r="M1147">
        <v>27.56</v>
      </c>
      <c r="N1147">
        <v>33.950000000000003</v>
      </c>
      <c r="O1147">
        <v>36.03</v>
      </c>
      <c r="P1147">
        <v>70</v>
      </c>
      <c r="Q1147">
        <v>267</v>
      </c>
      <c r="R1147">
        <v>33</v>
      </c>
      <c r="S1147">
        <v>36</v>
      </c>
    </row>
    <row r="1148" spans="1:19" hidden="1" x14ac:dyDescent="0.25">
      <c r="A1148">
        <v>22301043</v>
      </c>
      <c r="B1148" t="s">
        <v>26</v>
      </c>
      <c r="C1148" t="s">
        <v>19</v>
      </c>
      <c r="D1148">
        <v>32</v>
      </c>
      <c r="E1148">
        <v>26</v>
      </c>
      <c r="F1148">
        <v>6</v>
      </c>
      <c r="G1148">
        <v>1</v>
      </c>
      <c r="H1148" s="1">
        <v>1.0069444444444444E-3</v>
      </c>
      <c r="I1148">
        <v>2023</v>
      </c>
      <c r="J1148" t="s">
        <v>83</v>
      </c>
      <c r="K1148" s="2" t="str">
        <f>HYPERLINK("https://www.nba.com/stats/events?CFID=&amp;CFPARAMS=&amp;GameEventID=116&amp;GameID=0022301043&amp;Season=2023-24&amp;flag=1&amp;title=Leonard%2027'%203PT%20step%20back%20(7%20PTS)%20(R.%20Westbrook%203%20AST)", "27' 3PT step back (7 PTS) (R. Westbrook 3 AST)")</f>
        <v>27' 3PT step back (7 PTS) (R. Westbrook 3 AST)</v>
      </c>
      <c r="L1148" s="2" t="str">
        <f>HYPERLINK("https://www.nba.com/game/...-vs-...-0022301043/play-by-play?watchFullGame=true", "LAC vs IND - Q1 01:27.00")</f>
        <v>LAC vs IND - Q1 01:27.00</v>
      </c>
      <c r="M1148">
        <v>27.5</v>
      </c>
      <c r="N1148">
        <v>33.159999999999997</v>
      </c>
      <c r="O1148">
        <v>31.62</v>
      </c>
      <c r="P1148">
        <v>92</v>
      </c>
      <c r="Q1148">
        <v>259</v>
      </c>
      <c r="R1148">
        <v>33</v>
      </c>
      <c r="S1148">
        <v>31</v>
      </c>
    </row>
    <row r="1149" spans="1:19" hidden="1" x14ac:dyDescent="0.25">
      <c r="A1149">
        <v>22200932</v>
      </c>
      <c r="B1149" t="s">
        <v>26</v>
      </c>
      <c r="C1149" t="s">
        <v>19</v>
      </c>
      <c r="D1149">
        <v>89</v>
      </c>
      <c r="E1149">
        <v>95</v>
      </c>
      <c r="F1149">
        <v>6</v>
      </c>
      <c r="G1149">
        <v>4</v>
      </c>
      <c r="H1149" s="1">
        <v>4.9189814814814816E-3</v>
      </c>
      <c r="I1149">
        <v>2022</v>
      </c>
      <c r="J1149" t="s">
        <v>83</v>
      </c>
      <c r="K1149" s="2" t="str">
        <f>HYPERLINK("https://www.nba.com/stats/events?CFID=&amp;CFPARAMS=&amp;GameEventID=576&amp;GameID=0022200932&amp;Season=2022-23&amp;flag=1&amp;title=Leonard%2027'%203PT%20pullup%20(23%20PTS)", "27' 3PT pullup (23 PTS)")</f>
        <v>27' 3PT pullup (23 PTS)</v>
      </c>
      <c r="L1149" s="2" t="str">
        <f>HYPERLINK("https://www.nba.com/game/...-vs-...-0022200932/play-by-play?watchFullGame=true", "LAC vs MIN - Q4 07:05.00")</f>
        <v>LAC vs MIN - Q4 07:05.00</v>
      </c>
      <c r="M1149">
        <v>27.33</v>
      </c>
      <c r="N1149">
        <v>33.950000000000003</v>
      </c>
      <c r="O1149">
        <v>37.99</v>
      </c>
      <c r="P1149">
        <v>60</v>
      </c>
      <c r="Q1149">
        <v>267</v>
      </c>
      <c r="R1149">
        <v>33</v>
      </c>
      <c r="S1149">
        <v>37</v>
      </c>
    </row>
    <row r="1150" spans="1:19" hidden="1" x14ac:dyDescent="0.25">
      <c r="A1150">
        <v>22300848</v>
      </c>
      <c r="B1150" t="s">
        <v>26</v>
      </c>
      <c r="C1150" t="s">
        <v>19</v>
      </c>
      <c r="D1150">
        <v>76</v>
      </c>
      <c r="E1150">
        <v>62</v>
      </c>
      <c r="F1150">
        <v>14</v>
      </c>
      <c r="G1150">
        <v>3</v>
      </c>
      <c r="H1150" s="1">
        <v>4.9884259259259257E-3</v>
      </c>
      <c r="I1150">
        <v>2023</v>
      </c>
      <c r="J1150" t="s">
        <v>83</v>
      </c>
      <c r="K1150" s="2" t="str">
        <f>HYPERLINK("https://www.nba.com/stats/events?CFID=&amp;CFPARAMS=&amp;GameEventID=392&amp;GameID=0022300848&amp;Season=2023-24&amp;flag=1&amp;title=Leonard%2027'%203PT%20running%20pullup%20(17%20PTS)", "27' 3PT running pullup (17 PTS)")</f>
        <v>27' 3PT running pullup (17 PTS)</v>
      </c>
      <c r="L1150" s="2" t="str">
        <f>HYPERLINK("https://www.nba.com/game/...-vs-...-0022300848/play-by-play?watchFullGame=true", "LAC vs LAL - Q3 07:11.00")</f>
        <v>LAC vs LAL - Q3 07:11.00</v>
      </c>
      <c r="M1150">
        <v>27.31</v>
      </c>
      <c r="N1150">
        <v>33.03</v>
      </c>
      <c r="O1150">
        <v>32.11</v>
      </c>
      <c r="P1150">
        <v>89</v>
      </c>
      <c r="Q1150">
        <v>258</v>
      </c>
      <c r="R1150">
        <v>33</v>
      </c>
      <c r="S1150">
        <v>32</v>
      </c>
    </row>
    <row r="1151" spans="1:19" hidden="1" x14ac:dyDescent="0.25">
      <c r="A1151">
        <v>21901291</v>
      </c>
      <c r="B1151" t="s">
        <v>26</v>
      </c>
      <c r="C1151" t="s">
        <v>84</v>
      </c>
      <c r="D1151">
        <v>68</v>
      </c>
      <c r="E1151">
        <v>74</v>
      </c>
      <c r="F1151">
        <v>6</v>
      </c>
      <c r="G1151">
        <v>3</v>
      </c>
      <c r="H1151" s="1">
        <v>7.905092592592592E-3</v>
      </c>
      <c r="I1151">
        <v>2019</v>
      </c>
      <c r="J1151" t="s">
        <v>83</v>
      </c>
      <c r="K1151" s="2" t="str">
        <f>HYPERLINK("https://www.nba.com/stats/events?CFID=&amp;CFPARAMS=&amp;GameEventID=342&amp;GameID=0021901291&amp;Season=2019-20&amp;flag=1&amp;title=Leonard%2027'%203PT%20%20(24%20PTS)", "27' 3PT  (24 PTS)")</f>
        <v>27' 3PT  (24 PTS)</v>
      </c>
      <c r="L1151" s="2" t="str">
        <f>HYPERLINK("https://www.nba.com/game/...-vs-...-0021901291/play-by-play?watchFullGame=true", "LAC vs BKN - Q3 11:23.00")</f>
        <v>LAC vs BKN - Q3 11:23.00</v>
      </c>
      <c r="M1151">
        <v>27.14</v>
      </c>
      <c r="N1151">
        <v>33.33</v>
      </c>
      <c r="O1151">
        <v>39.53</v>
      </c>
      <c r="P1151">
        <v>52</v>
      </c>
      <c r="Q1151">
        <v>261</v>
      </c>
      <c r="R1151">
        <v>33</v>
      </c>
      <c r="S1151">
        <v>39</v>
      </c>
    </row>
    <row r="1152" spans="1:19" hidden="1" x14ac:dyDescent="0.25">
      <c r="A1152">
        <v>22000472</v>
      </c>
      <c r="B1152" t="s">
        <v>26</v>
      </c>
      <c r="C1152" t="s">
        <v>19</v>
      </c>
      <c r="D1152">
        <v>63</v>
      </c>
      <c r="E1152">
        <v>69</v>
      </c>
      <c r="F1152">
        <v>6</v>
      </c>
      <c r="G1152">
        <v>3</v>
      </c>
      <c r="H1152" s="1">
        <v>5.7175925925925927E-3</v>
      </c>
      <c r="I1152">
        <v>2020</v>
      </c>
      <c r="J1152" t="s">
        <v>83</v>
      </c>
      <c r="K1152" s="2" t="str">
        <f>HYPERLINK("https://www.nba.com/stats/events?CFID=&amp;CFPARAMS=&amp;GameEventID=361&amp;GameID=0022000472&amp;Season=2020-21&amp;flag=1&amp;title=Leonard%2027'%203PT%20%20(23%20PTS)%20(P.%20George%204%20AST)", "27' 3PT  (23 PTS) (P. George 4 AST)")</f>
        <v>27' 3PT  (23 PTS) (P. George 4 AST)</v>
      </c>
      <c r="L1152" s="2" t="str">
        <f>HYPERLINK("https://www.nba.com/game/...-vs-...-0022000472/play-by-play?watchFullGame=true", "LAC vs BKN - Q3 08:14.00")</f>
        <v>LAC vs BKN - Q3 08:14.00</v>
      </c>
      <c r="M1152">
        <v>27.05</v>
      </c>
      <c r="N1152">
        <v>33.979999999999997</v>
      </c>
      <c r="O1152">
        <v>58.65</v>
      </c>
      <c r="P1152">
        <v>-43</v>
      </c>
      <c r="Q1152">
        <v>267</v>
      </c>
      <c r="R1152">
        <v>33</v>
      </c>
      <c r="S1152">
        <v>58</v>
      </c>
    </row>
    <row r="1153" spans="1:19" hidden="1" x14ac:dyDescent="0.25">
      <c r="A1153">
        <v>42200172</v>
      </c>
      <c r="B1153" t="s">
        <v>26</v>
      </c>
      <c r="C1153" t="s">
        <v>19</v>
      </c>
      <c r="D1153">
        <v>107</v>
      </c>
      <c r="E1153">
        <v>115</v>
      </c>
      <c r="F1153">
        <v>8</v>
      </c>
      <c r="G1153">
        <v>4</v>
      </c>
      <c r="H1153" s="1">
        <v>2.685185185185185E-3</v>
      </c>
      <c r="I1153" t="s">
        <v>96</v>
      </c>
      <c r="J1153" t="s">
        <v>83</v>
      </c>
      <c r="K1153" s="2" t="str">
        <f>HYPERLINK("https://www.nba.com/stats/events?CFID=&amp;CFPARAMS=&amp;GameEventID=578&amp;GameID=0042200172&amp;Season=2022-23&amp;flag=1&amp;title=Leonard%2026'%203PT%20pullup%20(31%20PTS)", "26' 3PT pullup (31 PTS)")</f>
        <v>26' 3PT pullup (31 PTS)</v>
      </c>
      <c r="L1153" s="2" t="str">
        <f>HYPERLINK("https://www.nba.com/game/...-vs-...-0042200172/play-by-play?watchFullGame=true", "LAC vs PHX - Q4 03:52.00")</f>
        <v>LAC vs PHX - Q4 03:52.00</v>
      </c>
      <c r="M1153">
        <v>26.75</v>
      </c>
      <c r="N1153">
        <v>33.85</v>
      </c>
      <c r="O1153">
        <v>43.87</v>
      </c>
      <c r="P1153">
        <v>33</v>
      </c>
      <c r="Q1153">
        <v>43</v>
      </c>
      <c r="R1153">
        <v>33</v>
      </c>
      <c r="S1153">
        <v>43</v>
      </c>
    </row>
    <row r="1154" spans="1:19" hidden="1" x14ac:dyDescent="0.25">
      <c r="A1154">
        <v>41900236</v>
      </c>
      <c r="B1154" t="s">
        <v>26</v>
      </c>
      <c r="C1154" t="s">
        <v>84</v>
      </c>
      <c r="D1154">
        <v>7</v>
      </c>
      <c r="E1154">
        <v>8</v>
      </c>
      <c r="F1154">
        <v>1</v>
      </c>
      <c r="G1154">
        <v>1</v>
      </c>
      <c r="H1154" s="1">
        <v>6.1342592592592594E-3</v>
      </c>
      <c r="I1154" t="s">
        <v>85</v>
      </c>
      <c r="J1154" t="s">
        <v>83</v>
      </c>
      <c r="K1154" s="2" t="str">
        <f>HYPERLINK("https://www.nba.com/stats/events?CFID=&amp;CFPARAMS=&amp;GameEventID=40&amp;GameID=0041900236&amp;Season=2019-20&amp;flag=1&amp;title=Leonard%2027'%203PT%20%20(3%20PTS)%20(P.%20Beverley%201%20AST)", "27' 3PT  (3 PTS) (P. Beverley 1 AST)")</f>
        <v>27' 3PT  (3 PTS) (P. Beverley 1 AST)</v>
      </c>
      <c r="L1154" s="2" t="str">
        <f>HYPERLINK("https://www.nba.com/game/...-vs-...-0041900236/play-by-play?watchFullGame=true", "LAC vs DEN - Q1 08:50.00")</f>
        <v>LAC vs DEN - Q1 08:50.00</v>
      </c>
      <c r="M1154">
        <v>26.75</v>
      </c>
      <c r="N1154">
        <v>33.46</v>
      </c>
      <c r="O1154">
        <v>49.82</v>
      </c>
      <c r="P1154">
        <v>1</v>
      </c>
      <c r="Q1154">
        <v>262</v>
      </c>
      <c r="R1154">
        <v>33</v>
      </c>
      <c r="S1154">
        <v>49</v>
      </c>
    </row>
    <row r="1155" spans="1:19" hidden="1" x14ac:dyDescent="0.25">
      <c r="A1155">
        <v>22300505</v>
      </c>
      <c r="B1155" t="s">
        <v>26</v>
      </c>
      <c r="C1155" t="s">
        <v>19</v>
      </c>
      <c r="D1155">
        <v>73</v>
      </c>
      <c r="E1155">
        <v>69</v>
      </c>
      <c r="F1155">
        <v>4</v>
      </c>
      <c r="G1155">
        <v>3</v>
      </c>
      <c r="H1155" s="1">
        <v>2.5810185185185185E-3</v>
      </c>
      <c r="I1155">
        <v>2023</v>
      </c>
      <c r="J1155" t="s">
        <v>83</v>
      </c>
      <c r="K1155" s="2" t="str">
        <f>HYPERLINK("https://www.nba.com/stats/events?CFID=&amp;CFPARAMS=&amp;GameEventID=407&amp;GameID=0022300505&amp;Season=2023-24&amp;flag=1&amp;title=Leonard%2026'%203PT%20running%20pullup%20(13%20PTS)", "26' 3PT running pullup (13 PTS)")</f>
        <v>26' 3PT running pullup (13 PTS)</v>
      </c>
      <c r="L1155" s="2" t="str">
        <f>HYPERLINK("https://www.nba.com/game/...-vs-...-0022300505/play-by-play?watchFullGame=true", "LAC vs LAL - Q3 03:43.00")</f>
        <v>LAC vs LAL - Q3 03:43.00</v>
      </c>
      <c r="M1155">
        <v>26.71</v>
      </c>
      <c r="N1155">
        <v>33.299999999999997</v>
      </c>
      <c r="O1155">
        <v>38.24</v>
      </c>
      <c r="P1155">
        <v>59</v>
      </c>
      <c r="Q1155">
        <v>260</v>
      </c>
      <c r="R1155">
        <v>33</v>
      </c>
      <c r="S1155">
        <v>38</v>
      </c>
    </row>
    <row r="1156" spans="1:19" hidden="1" x14ac:dyDescent="0.25">
      <c r="A1156">
        <v>22200538</v>
      </c>
      <c r="B1156" t="s">
        <v>26</v>
      </c>
      <c r="C1156" t="s">
        <v>19</v>
      </c>
      <c r="D1156">
        <v>93</v>
      </c>
      <c r="E1156">
        <v>93</v>
      </c>
      <c r="F1156">
        <v>0</v>
      </c>
      <c r="G1156">
        <v>3</v>
      </c>
      <c r="H1156" s="1">
        <v>5.2083333333333337E-5</v>
      </c>
      <c r="I1156">
        <v>2022</v>
      </c>
      <c r="J1156" t="s">
        <v>83</v>
      </c>
      <c r="K1156" s="2" t="str">
        <f>HYPERLINK("https://www.nba.com/stats/events?CFID=&amp;CFPARAMS=&amp;GameEventID=451&amp;GameID=0022200538&amp;Season=2022-23&amp;flag=1&amp;title=Leonard%2026'%203PT%20%20(24%20PTS)%20(J.%20Wall%202%20AST)", "26' 3PT  (24 PTS) (J. Wall 2 AST)")</f>
        <v>26' 3PT  (24 PTS) (J. Wall 2 AST)</v>
      </c>
      <c r="L1156" s="2" t="str">
        <f>HYPERLINK("https://www.nba.com/game/...-vs-...-0022200538/play-by-play?watchFullGame=true", "LAC vs IND - Q3 00:04.50")</f>
        <v>LAC vs IND - Q3 00:04.50</v>
      </c>
      <c r="M1156">
        <v>26.45</v>
      </c>
      <c r="N1156">
        <v>33.72</v>
      </c>
      <c r="O1156">
        <v>49.26</v>
      </c>
      <c r="P1156">
        <v>4</v>
      </c>
      <c r="Q1156">
        <v>264</v>
      </c>
      <c r="R1156">
        <v>33</v>
      </c>
      <c r="S1156">
        <v>49</v>
      </c>
    </row>
    <row r="1157" spans="1:19" hidden="1" x14ac:dyDescent="0.25">
      <c r="A1157">
        <v>22000601</v>
      </c>
      <c r="B1157" t="s">
        <v>26</v>
      </c>
      <c r="C1157" t="s">
        <v>19</v>
      </c>
      <c r="D1157">
        <v>42</v>
      </c>
      <c r="E1157">
        <v>52</v>
      </c>
      <c r="F1157">
        <v>10</v>
      </c>
      <c r="G1157">
        <v>2</v>
      </c>
      <c r="H1157" s="1">
        <v>3.6342592592592594E-3</v>
      </c>
      <c r="I1157">
        <v>2020</v>
      </c>
      <c r="J1157" t="s">
        <v>83</v>
      </c>
      <c r="K1157" s="2" t="str">
        <f>HYPERLINK("https://www.nba.com/stats/events?CFID=&amp;CFPARAMS=&amp;GameEventID=258&amp;GameID=0022000601&amp;Season=2020-21&amp;flag=1&amp;title=Leonard%2026'%203PT%20%20(10%20PTS)%20(L.%20Kennard%201%20AST)", "26' 3PT  (10 PTS) (L. Kennard 1 AST)")</f>
        <v>26' 3PT  (10 PTS) (L. Kennard 1 AST)</v>
      </c>
      <c r="L1157" s="2" t="str">
        <f>HYPERLINK("https://www.nba.com/game/...-vs-...-0022000601/play-by-play?watchFullGame=true", "LAC vs NOP - Q2 05:14.00")</f>
        <v>LAC vs NOP - Q2 05:14.00</v>
      </c>
      <c r="M1157">
        <v>26.33</v>
      </c>
      <c r="N1157">
        <v>33.33</v>
      </c>
      <c r="O1157">
        <v>57.18</v>
      </c>
      <c r="P1157">
        <v>-36</v>
      </c>
      <c r="Q1157">
        <v>261</v>
      </c>
      <c r="R1157">
        <v>33</v>
      </c>
      <c r="S1157">
        <v>57</v>
      </c>
    </row>
    <row r="1158" spans="1:19" hidden="1" x14ac:dyDescent="0.25">
      <c r="A1158">
        <v>22200617</v>
      </c>
      <c r="B1158" t="s">
        <v>26</v>
      </c>
      <c r="C1158" t="s">
        <v>19</v>
      </c>
      <c r="D1158">
        <v>88</v>
      </c>
      <c r="E1158">
        <v>75</v>
      </c>
      <c r="F1158">
        <v>13</v>
      </c>
      <c r="G1158">
        <v>3</v>
      </c>
      <c r="H1158" s="1">
        <v>3.2060185185185186E-4</v>
      </c>
      <c r="I1158">
        <v>2022</v>
      </c>
      <c r="J1158" t="s">
        <v>83</v>
      </c>
      <c r="K1158" s="2" t="str">
        <f>HYPERLINK("https://www.nba.com/stats/events?CFID=&amp;CFPARAMS=&amp;GameEventID=465&amp;GameID=0022200617&amp;Season=2022-23&amp;flag=1&amp;title=Leonard%2026'%203PT%20%20(27%20PTS)%20(J.%20Wall%203%20AST)", "26' 3PT  (27 PTS) (J. Wall 3 AST)")</f>
        <v>26' 3PT  (27 PTS) (J. Wall 3 AST)</v>
      </c>
      <c r="L1158" s="2" t="str">
        <f>HYPERLINK("https://www.nba.com/game/...-vs-...-0022200617/play-by-play?watchFullGame=true", "LAC vs DAL - Q3 00:27.70")</f>
        <v>LAC vs DAL - Q3 00:27.70</v>
      </c>
      <c r="M1158">
        <v>26.31</v>
      </c>
      <c r="N1158">
        <v>33.159999999999997</v>
      </c>
      <c r="O1158">
        <v>59.07</v>
      </c>
      <c r="P1158">
        <v>-45</v>
      </c>
      <c r="Q1158">
        <v>259</v>
      </c>
      <c r="R1158">
        <v>33</v>
      </c>
      <c r="S1158">
        <v>59</v>
      </c>
    </row>
    <row r="1159" spans="1:19" hidden="1" x14ac:dyDescent="0.25">
      <c r="A1159">
        <v>22200970</v>
      </c>
      <c r="B1159" t="s">
        <v>26</v>
      </c>
      <c r="C1159" t="s">
        <v>19</v>
      </c>
      <c r="D1159">
        <v>3</v>
      </c>
      <c r="E1159">
        <v>2</v>
      </c>
      <c r="F1159">
        <v>1</v>
      </c>
      <c r="G1159">
        <v>1</v>
      </c>
      <c r="H1159" s="1">
        <v>7.766203703703704E-3</v>
      </c>
      <c r="I1159">
        <v>2022</v>
      </c>
      <c r="J1159" t="s">
        <v>83</v>
      </c>
      <c r="K1159" s="2" t="str">
        <f>HYPERLINK("https://www.nba.com/stats/events?CFID=&amp;CFPARAMS=&amp;GameEventID=10&amp;GameID=0022200970&amp;Season=2022-23&amp;flag=1&amp;title=Leonard%2026'%203PT%20pullup%20(3%20PTS)", "26' 3PT pullup (3 PTS)")</f>
        <v>26' 3PT pullup (3 PTS)</v>
      </c>
      <c r="L1159" s="2" t="str">
        <f>HYPERLINK("https://www.nba.com/game/...-vs-...-0022200970/play-by-play?watchFullGame=true", "LAC vs MEM - Q1 11:11.00")</f>
        <v>LAC vs MEM - Q1 11:11.00</v>
      </c>
      <c r="M1159">
        <v>26.26</v>
      </c>
      <c r="N1159">
        <v>33.299999999999997</v>
      </c>
      <c r="O1159">
        <v>56.62</v>
      </c>
      <c r="P1159">
        <v>-33</v>
      </c>
      <c r="Q1159">
        <v>260</v>
      </c>
      <c r="R1159">
        <v>33</v>
      </c>
      <c r="S1159">
        <v>56</v>
      </c>
    </row>
    <row r="1160" spans="1:19" hidden="1" x14ac:dyDescent="0.25">
      <c r="A1160">
        <v>22200525</v>
      </c>
      <c r="B1160" t="s">
        <v>26</v>
      </c>
      <c r="C1160" t="s">
        <v>19</v>
      </c>
      <c r="D1160">
        <v>80</v>
      </c>
      <c r="E1160">
        <v>81</v>
      </c>
      <c r="F1160">
        <v>1</v>
      </c>
      <c r="G1160">
        <v>3</v>
      </c>
      <c r="H1160" s="1">
        <v>1.3657407407407407E-3</v>
      </c>
      <c r="I1160">
        <v>2022</v>
      </c>
      <c r="J1160" t="s">
        <v>83</v>
      </c>
      <c r="K1160" s="2" t="str">
        <f>HYPERLINK("https://www.nba.com/stats/events?CFID=&amp;CFPARAMS=&amp;GameEventID=427&amp;GameID=0022200525&amp;Season=2022-23&amp;flag=1&amp;title=Leonard%2026'%203PT%20%20(22%20PTS)", "26' 3PT  (22 PTS)")</f>
        <v>26' 3PT  (22 PTS)</v>
      </c>
      <c r="L1160" s="2" t="str">
        <f>HYPERLINK("https://www.nba.com/game/...-vs-...-0022200525/play-by-play?watchFullGame=true", "LAC vs BOS - Q3 01:58.00")</f>
        <v>LAC vs BOS - Q3 01:58.00</v>
      </c>
      <c r="M1160">
        <v>26.2</v>
      </c>
      <c r="N1160">
        <v>33.46</v>
      </c>
      <c r="O1160">
        <v>50.98</v>
      </c>
      <c r="P1160">
        <v>-5</v>
      </c>
      <c r="Q1160">
        <v>262</v>
      </c>
      <c r="R1160">
        <v>33</v>
      </c>
      <c r="S1160">
        <v>50</v>
      </c>
    </row>
    <row r="1161" spans="1:19" hidden="1" x14ac:dyDescent="0.25">
      <c r="A1161">
        <v>22200784</v>
      </c>
      <c r="B1161" t="s">
        <v>26</v>
      </c>
      <c r="C1161" t="s">
        <v>19</v>
      </c>
      <c r="D1161">
        <v>34</v>
      </c>
      <c r="E1161">
        <v>34</v>
      </c>
      <c r="F1161">
        <v>0</v>
      </c>
      <c r="G1161">
        <v>2</v>
      </c>
      <c r="H1161" s="1">
        <v>4.0625000000000001E-3</v>
      </c>
      <c r="I1161">
        <v>2022</v>
      </c>
      <c r="J1161" t="s">
        <v>83</v>
      </c>
      <c r="K1161" s="2" t="str">
        <f>HYPERLINK("https://www.nba.com/stats/events?CFID=&amp;CFPARAMS=&amp;GameEventID=235&amp;GameID=0022200784&amp;Season=2022-23&amp;flag=1&amp;title=Leonard%2026'%203PT%20%20(9%20PTS)", "26' 3PT  (9 PTS)")</f>
        <v>26' 3PT  (9 PTS)</v>
      </c>
      <c r="L1161" s="2" t="str">
        <f>HYPERLINK("https://www.nba.com/game/...-vs-...-0022200784/play-by-play?watchFullGame=true", "LAC vs MIL - Q2 05:51.00")</f>
        <v>LAC vs MIL - Q2 05:51.00</v>
      </c>
      <c r="M1161">
        <v>26.16</v>
      </c>
      <c r="N1161">
        <v>33.200000000000003</v>
      </c>
      <c r="O1161">
        <v>43.38</v>
      </c>
      <c r="P1161">
        <v>33</v>
      </c>
      <c r="Q1161">
        <v>260</v>
      </c>
      <c r="R1161">
        <v>33</v>
      </c>
      <c r="S1161">
        <v>43</v>
      </c>
    </row>
    <row r="1162" spans="1:19" hidden="1" x14ac:dyDescent="0.25">
      <c r="A1162">
        <v>22301215</v>
      </c>
      <c r="B1162" t="s">
        <v>26</v>
      </c>
      <c r="C1162" t="s">
        <v>19</v>
      </c>
      <c r="D1162">
        <v>70</v>
      </c>
      <c r="E1162">
        <v>72</v>
      </c>
      <c r="F1162">
        <v>2</v>
      </c>
      <c r="G1162">
        <v>3</v>
      </c>
      <c r="H1162" s="1">
        <v>4.9537037037037041E-3</v>
      </c>
      <c r="I1162">
        <v>2023</v>
      </c>
      <c r="J1162" t="s">
        <v>83</v>
      </c>
      <c r="K1162" s="2" t="str">
        <f>HYPERLINK("https://www.nba.com/stats/events?CFID=&amp;CFPARAMS=&amp;GameEventID=377&amp;GameID=0022301215&amp;Season=2023-24&amp;flag=1&amp;title=Leonard%2029'%203PT%20pullup%20(9%20PTS)", "29' 3PT pullup (9 PTS)")</f>
        <v>29' 3PT pullup (9 PTS)</v>
      </c>
      <c r="L1162" s="2" t="str">
        <f>HYPERLINK("https://www.nba.com/game/...-vs-...-0022301215/play-by-play?watchFullGame=true", "LAC vs DEN - Q3 07:08.00")</f>
        <v>LAC vs DEN - Q3 07:08.00</v>
      </c>
      <c r="M1162">
        <v>29.43</v>
      </c>
      <c r="N1162">
        <v>34.61</v>
      </c>
      <c r="O1162">
        <v>27.94</v>
      </c>
      <c r="P1162">
        <v>110</v>
      </c>
      <c r="Q1162">
        <v>273</v>
      </c>
      <c r="R1162">
        <v>34</v>
      </c>
      <c r="S1162">
        <v>27</v>
      </c>
    </row>
    <row r="1163" spans="1:19" hidden="1" x14ac:dyDescent="0.25">
      <c r="A1163">
        <v>21900458</v>
      </c>
      <c r="B1163" t="s">
        <v>26</v>
      </c>
      <c r="C1163" t="s">
        <v>84</v>
      </c>
      <c r="D1163">
        <v>27</v>
      </c>
      <c r="E1163">
        <v>23</v>
      </c>
      <c r="F1163">
        <v>4</v>
      </c>
      <c r="G1163">
        <v>1</v>
      </c>
      <c r="H1163" s="1">
        <v>1.5625000000000001E-3</v>
      </c>
      <c r="I1163">
        <v>2019</v>
      </c>
      <c r="J1163" t="s">
        <v>83</v>
      </c>
      <c r="K1163" s="2" t="str">
        <f>HYPERLINK("https://www.nba.com/stats/events?CFID=&amp;CFPARAMS=&amp;GameEventID=117&amp;GameID=0021900458&amp;Season=2019-20&amp;flag=1&amp;title=Leonard%2028'%203PT%20%20(14%20PTS)%20(L.%20Williams%202%20AST)", "28' 3PT  (14 PTS) (L. Williams 2 AST)")</f>
        <v>28' 3PT  (14 PTS) (L. Williams 2 AST)</v>
      </c>
      <c r="L1163" s="2" t="str">
        <f>HYPERLINK("https://www.nba.com/game/...-vs-...-0021900458/play-by-play?watchFullGame=true", "LAC vs LAL - Q1 02:15.00")</f>
        <v>LAC vs LAL - Q1 02:15.00</v>
      </c>
      <c r="M1163">
        <v>28.47</v>
      </c>
      <c r="N1163">
        <v>34.479999999999997</v>
      </c>
      <c r="O1163">
        <v>36.94</v>
      </c>
      <c r="P1163">
        <v>65</v>
      </c>
      <c r="Q1163">
        <v>272</v>
      </c>
      <c r="R1163">
        <v>34</v>
      </c>
      <c r="S1163">
        <v>36</v>
      </c>
    </row>
    <row r="1164" spans="1:19" hidden="1" x14ac:dyDescent="0.25">
      <c r="A1164">
        <v>22001019</v>
      </c>
      <c r="B1164" t="s">
        <v>26</v>
      </c>
      <c r="C1164" t="s">
        <v>19</v>
      </c>
      <c r="D1164">
        <v>100</v>
      </c>
      <c r="E1164">
        <v>104</v>
      </c>
      <c r="F1164">
        <v>4</v>
      </c>
      <c r="G1164">
        <v>4</v>
      </c>
      <c r="H1164" s="1">
        <v>1.261574074074074E-4</v>
      </c>
      <c r="I1164">
        <v>2020</v>
      </c>
      <c r="J1164" t="s">
        <v>83</v>
      </c>
      <c r="K1164" s="2" t="str">
        <f>HYPERLINK("https://www.nba.com/stats/events?CFID=&amp;CFPARAMS=&amp;GameEventID=545&amp;GameID=0022001019&amp;Season=2020-21&amp;flag=1&amp;title=Leonard%2028'%203PT%20%20(29%20PTS)%20(R.%20Jackson%203%20AST)", "28' 3PT  (29 PTS) (R. Jackson 3 AST)")</f>
        <v>28' 3PT  (29 PTS) (R. Jackson 3 AST)</v>
      </c>
      <c r="L1164" s="2" t="str">
        <f>HYPERLINK("https://www.nba.com/game/...-vs-...-0022001019/play-by-play?watchFullGame=true", "LAC vs NYK - Q4 00:10.90")</f>
        <v>LAC vs NYK - Q4 00:10.90</v>
      </c>
      <c r="M1164">
        <v>28.23</v>
      </c>
      <c r="N1164">
        <v>34.770000000000003</v>
      </c>
      <c r="O1164">
        <v>63.3</v>
      </c>
      <c r="P1164">
        <v>-67</v>
      </c>
      <c r="Q1164">
        <v>274</v>
      </c>
      <c r="R1164">
        <v>34</v>
      </c>
      <c r="S1164">
        <v>63</v>
      </c>
    </row>
    <row r="1165" spans="1:19" hidden="1" x14ac:dyDescent="0.25">
      <c r="A1165">
        <v>22000130</v>
      </c>
      <c r="B1165" t="s">
        <v>26</v>
      </c>
      <c r="C1165" t="s">
        <v>19</v>
      </c>
      <c r="D1165">
        <v>59</v>
      </c>
      <c r="E1165">
        <v>48</v>
      </c>
      <c r="F1165">
        <v>11</v>
      </c>
      <c r="G1165">
        <v>2</v>
      </c>
      <c r="H1165" s="1">
        <v>8.564814814814815E-4</v>
      </c>
      <c r="I1165">
        <v>2020</v>
      </c>
      <c r="J1165" t="s">
        <v>83</v>
      </c>
      <c r="K1165" s="2" t="str">
        <f>HYPERLINK("https://www.nba.com/stats/events?CFID=&amp;CFPARAMS=&amp;GameEventID=297&amp;GameID=0022000130&amp;Season=2020-21&amp;flag=1&amp;title=Leonard%2028'%203PT%20step%20back%20(11%20PTS)", "28' 3PT step back (11 PTS)")</f>
        <v>28' 3PT step back (11 PTS)</v>
      </c>
      <c r="L1165" s="2" t="str">
        <f>HYPERLINK("https://www.nba.com/game/...-vs-...-0022000130/play-by-play?watchFullGame=true", "LAC vs GSW - Q2 01:14.00")</f>
        <v>LAC vs GSW - Q2 01:14.00</v>
      </c>
      <c r="M1165">
        <v>28.19</v>
      </c>
      <c r="N1165">
        <v>34.51</v>
      </c>
      <c r="O1165">
        <v>35.119999999999997</v>
      </c>
      <c r="P1165">
        <v>74</v>
      </c>
      <c r="Q1165">
        <v>272</v>
      </c>
      <c r="R1165">
        <v>34</v>
      </c>
      <c r="S1165">
        <v>35</v>
      </c>
    </row>
    <row r="1166" spans="1:19" hidden="1" x14ac:dyDescent="0.25">
      <c r="A1166">
        <v>22000788</v>
      </c>
      <c r="B1166" t="s">
        <v>26</v>
      </c>
      <c r="C1166" t="s">
        <v>19</v>
      </c>
      <c r="D1166">
        <v>54</v>
      </c>
      <c r="E1166">
        <v>56</v>
      </c>
      <c r="F1166">
        <v>2</v>
      </c>
      <c r="G1166">
        <v>2</v>
      </c>
      <c r="H1166" s="1">
        <v>1.1574074074074073E-5</v>
      </c>
      <c r="I1166">
        <v>2020</v>
      </c>
      <c r="J1166" t="s">
        <v>83</v>
      </c>
      <c r="K1166" s="2" t="str">
        <f>HYPERLINK("https://www.nba.com/stats/events?CFID=&amp;CFPARAMS=&amp;GameEventID=277&amp;GameID=0022000788&amp;Season=2020-21&amp;flag=1&amp;title=Leonard%2027'%203PT%20pullup%20(8%20PTS)", "27' 3PT pullup (8 PTS)")</f>
        <v>27' 3PT pullup (8 PTS)</v>
      </c>
      <c r="L1166" s="2" t="str">
        <f>HYPERLINK("https://www.nba.com/game/...-vs-...-0022000788/play-by-play?watchFullGame=true", "LAC vs PHX - Q2 00:01.00")</f>
        <v>LAC vs PHX - Q2 00:01.00</v>
      </c>
      <c r="M1166">
        <v>27.92</v>
      </c>
      <c r="N1166">
        <v>34.9</v>
      </c>
      <c r="O1166">
        <v>41</v>
      </c>
      <c r="P1166">
        <v>45</v>
      </c>
      <c r="Q1166">
        <v>276</v>
      </c>
      <c r="R1166">
        <v>34</v>
      </c>
      <c r="S1166">
        <v>41</v>
      </c>
    </row>
    <row r="1167" spans="1:19" hidden="1" x14ac:dyDescent="0.25">
      <c r="A1167">
        <v>21901241</v>
      </c>
      <c r="B1167" t="s">
        <v>26</v>
      </c>
      <c r="C1167" t="s">
        <v>84</v>
      </c>
      <c r="D1167">
        <v>40</v>
      </c>
      <c r="E1167">
        <v>25</v>
      </c>
      <c r="F1167">
        <v>15</v>
      </c>
      <c r="G1167">
        <v>2</v>
      </c>
      <c r="H1167" s="1">
        <v>7.9282407407407409E-3</v>
      </c>
      <c r="I1167">
        <v>2019</v>
      </c>
      <c r="J1167" t="s">
        <v>83</v>
      </c>
      <c r="K1167" s="2" t="str">
        <f>HYPERLINK("https://www.nba.com/stats/events?CFID=&amp;CFPARAMS=&amp;GameEventID=163&amp;GameID=0021901241&amp;Season=2019-20&amp;flag=1&amp;title=Leonard%2028'%203PT%20%20(12%20PTS)%20(J.%20Green%202%20AST)", "28' 3PT  (12 PTS) (J. Green 2 AST)")</f>
        <v>28' 3PT  (12 PTS) (J. Green 2 AST)</v>
      </c>
      <c r="L1167" s="2" t="str">
        <f>HYPERLINK("https://www.nba.com/game/...-vs-...-0021901241/play-by-play?watchFullGame=true", "LAC vs NOP - Q2 11:25.00")</f>
        <v>LAC vs NOP - Q2 11:25.00</v>
      </c>
      <c r="M1167">
        <v>27.86</v>
      </c>
      <c r="N1167">
        <v>34.64</v>
      </c>
      <c r="O1167">
        <v>50.31</v>
      </c>
      <c r="P1167">
        <v>-2</v>
      </c>
      <c r="Q1167">
        <v>273</v>
      </c>
      <c r="R1167">
        <v>34</v>
      </c>
      <c r="S1167">
        <v>50</v>
      </c>
    </row>
    <row r="1168" spans="1:19" hidden="1" x14ac:dyDescent="0.25">
      <c r="A1168">
        <v>21900305</v>
      </c>
      <c r="B1168" t="s">
        <v>26</v>
      </c>
      <c r="C1168" t="s">
        <v>84</v>
      </c>
      <c r="D1168">
        <v>73</v>
      </c>
      <c r="E1168">
        <v>62</v>
      </c>
      <c r="F1168">
        <v>11</v>
      </c>
      <c r="G1168">
        <v>3</v>
      </c>
      <c r="H1168" s="1">
        <v>6.0069444444444441E-3</v>
      </c>
      <c r="I1168">
        <v>2019</v>
      </c>
      <c r="J1168" t="s">
        <v>83</v>
      </c>
      <c r="K1168" s="2" t="str">
        <f>HYPERLINK("https://www.nba.com/stats/events?CFID=&amp;CFPARAMS=&amp;GameEventID=336&amp;GameID=0021900305&amp;Season=2019-20&amp;flag=1&amp;title=Leonard%2028'%203PT%20%20(11%20PTS)%20(M.%20Harkless%201%20AST)", "28' 3PT  (11 PTS) (M. Harkless 1 AST)")</f>
        <v>28' 3PT  (11 PTS) (M. Harkless 1 AST)</v>
      </c>
      <c r="L1168" s="2" t="str">
        <f>HYPERLINK("https://www.nba.com/game/...-vs-...-0021900305/play-by-play?watchFullGame=true", "LAC vs POR - Q3 08:39.00")</f>
        <v>LAC vs POR - Q3 08:39.00</v>
      </c>
      <c r="M1168">
        <v>27.61</v>
      </c>
      <c r="N1168">
        <v>34.08</v>
      </c>
      <c r="O1168">
        <v>42.33</v>
      </c>
      <c r="P1168">
        <v>38</v>
      </c>
      <c r="Q1168">
        <v>268</v>
      </c>
      <c r="R1168">
        <v>34</v>
      </c>
      <c r="S1168">
        <v>42</v>
      </c>
    </row>
    <row r="1169" spans="1:19" hidden="1" x14ac:dyDescent="0.25">
      <c r="A1169">
        <v>21900212</v>
      </c>
      <c r="B1169" t="s">
        <v>26</v>
      </c>
      <c r="C1169" t="s">
        <v>84</v>
      </c>
      <c r="D1169">
        <v>30</v>
      </c>
      <c r="E1169">
        <v>31</v>
      </c>
      <c r="F1169">
        <v>1</v>
      </c>
      <c r="G1169">
        <v>2</v>
      </c>
      <c r="H1169" s="1">
        <v>5.7870370370370367E-3</v>
      </c>
      <c r="I1169">
        <v>2019</v>
      </c>
      <c r="J1169" t="s">
        <v>83</v>
      </c>
      <c r="K1169" s="2" t="str">
        <f>HYPERLINK("https://www.nba.com/stats/events?CFID=&amp;CFPARAMS=&amp;GameEventID=211&amp;GameID=0021900212&amp;Season=2019-20&amp;flag=1&amp;title=Leonard%2028'%203PT%20%20(8%20PTS)%20(P.%20Beverley%202%20AST)", "28' 3PT  (8 PTS) (P. Beverley 2 AST)")</f>
        <v>28' 3PT  (8 PTS) (P. Beverley 2 AST)</v>
      </c>
      <c r="L1169" s="2" t="str">
        <f>HYPERLINK("https://www.nba.com/game/...-vs-...-0021900212/play-by-play?watchFullGame=true", "LAC vs BOS - Q2 08:20.00")</f>
        <v>LAC vs BOS - Q2 08:20.00</v>
      </c>
      <c r="M1169">
        <v>27.59</v>
      </c>
      <c r="N1169">
        <v>34.35</v>
      </c>
      <c r="O1169">
        <v>50.67</v>
      </c>
      <c r="P1169">
        <v>-3</v>
      </c>
      <c r="Q1169">
        <v>270</v>
      </c>
      <c r="R1169">
        <v>34</v>
      </c>
      <c r="S1169">
        <v>50</v>
      </c>
    </row>
    <row r="1170" spans="1:19" hidden="1" x14ac:dyDescent="0.25">
      <c r="A1170">
        <v>22300304</v>
      </c>
      <c r="B1170" t="s">
        <v>26</v>
      </c>
      <c r="C1170" t="s">
        <v>19</v>
      </c>
      <c r="D1170">
        <v>105</v>
      </c>
      <c r="E1170">
        <v>99</v>
      </c>
      <c r="F1170">
        <v>6</v>
      </c>
      <c r="G1170">
        <v>3</v>
      </c>
      <c r="H1170" s="1">
        <v>1.5046296296296297E-5</v>
      </c>
      <c r="I1170">
        <v>2023</v>
      </c>
      <c r="J1170" t="s">
        <v>83</v>
      </c>
      <c r="K1170" s="2" t="str">
        <f>HYPERLINK("https://www.nba.com/stats/events?CFID=&amp;CFPARAMS=&amp;GameEventID=452&amp;GameID=0022300304&amp;Season=2023-24&amp;flag=1&amp;title=Leonard%2027'%203PT%20step%20back%20(24%20PTS)", "27' 3PT step back (24 PTS)")</f>
        <v>27' 3PT step back (24 PTS)</v>
      </c>
      <c r="L1170" s="2" t="str">
        <f>HYPERLINK("https://www.nba.com/game/...-vs-...-0022300304/play-by-play?watchFullGame=true", "LAC vs POR - Q3 00:01.30")</f>
        <v>LAC vs POR - Q3 00:01.30</v>
      </c>
      <c r="M1170">
        <v>27.51</v>
      </c>
      <c r="N1170">
        <v>34.08</v>
      </c>
      <c r="O1170">
        <v>37.5</v>
      </c>
      <c r="P1170">
        <v>62</v>
      </c>
      <c r="Q1170">
        <v>268</v>
      </c>
      <c r="R1170">
        <v>34</v>
      </c>
      <c r="S1170">
        <v>37</v>
      </c>
    </row>
    <row r="1171" spans="1:19" hidden="1" x14ac:dyDescent="0.25">
      <c r="A1171">
        <v>21900157</v>
      </c>
      <c r="B1171" t="s">
        <v>26</v>
      </c>
      <c r="C1171" t="s">
        <v>84</v>
      </c>
      <c r="D1171">
        <v>68</v>
      </c>
      <c r="E1171">
        <v>74</v>
      </c>
      <c r="F1171">
        <v>6</v>
      </c>
      <c r="G1171">
        <v>3</v>
      </c>
      <c r="H1171" s="1">
        <v>4.6296296296296296E-6</v>
      </c>
      <c r="I1171">
        <v>2019</v>
      </c>
      <c r="J1171" t="s">
        <v>83</v>
      </c>
      <c r="K1171" s="2" t="str">
        <f>HYPERLINK("https://www.nba.com/stats/events?CFID=&amp;CFPARAMS=&amp;GameEventID=509&amp;GameID=0021900157&amp;Season=2019-20&amp;flag=1&amp;title=Leonard%2030'%203PT%20%20(19%20PTS)", "30' 3PT  (19 PTS)")</f>
        <v>30' 3PT  (19 PTS)</v>
      </c>
      <c r="L1171" s="2" t="str">
        <f>HYPERLINK("https://www.nba.com/game/...-vs-...-0021900157/play-by-play?watchFullGame=true", "LAC vs HOU - Q3 00:00.40")</f>
        <v>LAC vs HOU - Q3 00:00.40</v>
      </c>
      <c r="M1171">
        <v>29.79</v>
      </c>
      <c r="N1171">
        <v>35.53</v>
      </c>
      <c r="O1171">
        <v>34</v>
      </c>
      <c r="P1171">
        <v>80</v>
      </c>
      <c r="Q1171">
        <v>281</v>
      </c>
      <c r="R1171">
        <v>35</v>
      </c>
      <c r="S1171">
        <v>33</v>
      </c>
    </row>
    <row r="1172" spans="1:19" hidden="1" x14ac:dyDescent="0.25">
      <c r="A1172">
        <v>21900603</v>
      </c>
      <c r="B1172" t="s">
        <v>26</v>
      </c>
      <c r="C1172" t="s">
        <v>84</v>
      </c>
      <c r="D1172">
        <v>56</v>
      </c>
      <c r="E1172">
        <v>50</v>
      </c>
      <c r="F1172">
        <v>6</v>
      </c>
      <c r="G1172">
        <v>2</v>
      </c>
      <c r="H1172" s="1">
        <v>1.8749999999999999E-3</v>
      </c>
      <c r="I1172">
        <v>2019</v>
      </c>
      <c r="J1172" t="s">
        <v>83</v>
      </c>
      <c r="K1172" s="2" t="str">
        <f>HYPERLINK("https://www.nba.com/stats/events?CFID=&amp;CFPARAMS=&amp;GameEventID=265&amp;GameID=0021900603&amp;Season=2019-20&amp;flag=1&amp;title=Leonard%2029'%203PT%20%20(20%20PTS)%20(P.%20Beverley%207%20AST)", "29' 3PT  (20 PTS) (P. Beverley 7 AST)")</f>
        <v>29' 3PT  (20 PTS) (P. Beverley 7 AST)</v>
      </c>
      <c r="L1172" s="2" t="str">
        <f>HYPERLINK("https://www.nba.com/game/...-vs-...-0021900603/play-by-play?watchFullGame=true", "LAC vs CLE - Q2 02:42.00")</f>
        <v>LAC vs CLE - Q2 02:42.00</v>
      </c>
      <c r="M1172">
        <v>29</v>
      </c>
      <c r="N1172">
        <v>35.79</v>
      </c>
      <c r="O1172">
        <v>53.85</v>
      </c>
      <c r="P1172">
        <v>-19</v>
      </c>
      <c r="Q1172">
        <v>284</v>
      </c>
      <c r="R1172">
        <v>35</v>
      </c>
      <c r="S1172">
        <v>53</v>
      </c>
    </row>
    <row r="1173" spans="1:19" hidden="1" x14ac:dyDescent="0.25">
      <c r="A1173">
        <v>21901232</v>
      </c>
      <c r="B1173" t="s">
        <v>26</v>
      </c>
      <c r="C1173" t="s">
        <v>84</v>
      </c>
      <c r="D1173">
        <v>34</v>
      </c>
      <c r="E1173">
        <v>41</v>
      </c>
      <c r="F1173">
        <v>7</v>
      </c>
      <c r="G1173">
        <v>2</v>
      </c>
      <c r="H1173" s="1">
        <v>6.4467592592592588E-3</v>
      </c>
      <c r="I1173">
        <v>2019</v>
      </c>
      <c r="J1173" t="s">
        <v>83</v>
      </c>
      <c r="K1173" s="2" t="str">
        <f>HYPERLINK("https://www.nba.com/stats/events?CFID=&amp;CFPARAMS=&amp;GameEventID=240&amp;GameID=0021901232&amp;Season=2019-20&amp;flag=1&amp;title=Leonard%2028'%203PT%20%20(11%20PTS)%20(P.%20George%201%20AST)", "28' 3PT  (11 PTS) (P. George 1 AST)")</f>
        <v>28' 3PT  (11 PTS) (P. George 1 AST)</v>
      </c>
      <c r="L1173" s="2" t="str">
        <f>HYPERLINK("https://www.nba.com/game/...-vs-...-0021901232/play-by-play?watchFullGame=true", "LAC vs LAL - Q2 09:17.00")</f>
        <v>LAC vs LAL - Q2 09:17.00</v>
      </c>
      <c r="M1173">
        <v>28.5</v>
      </c>
      <c r="N1173">
        <v>35.299999999999997</v>
      </c>
      <c r="O1173">
        <v>47.86</v>
      </c>
      <c r="P1173">
        <v>11</v>
      </c>
      <c r="Q1173">
        <v>279</v>
      </c>
      <c r="R1173">
        <v>35</v>
      </c>
      <c r="S1173">
        <v>47</v>
      </c>
    </row>
    <row r="1174" spans="1:19" hidden="1" x14ac:dyDescent="0.25">
      <c r="A1174">
        <v>22300646</v>
      </c>
      <c r="B1174" t="s">
        <v>26</v>
      </c>
      <c r="C1174" t="s">
        <v>19</v>
      </c>
      <c r="D1174">
        <v>88</v>
      </c>
      <c r="E1174">
        <v>53</v>
      </c>
      <c r="F1174">
        <v>35</v>
      </c>
      <c r="G1174">
        <v>3</v>
      </c>
      <c r="H1174" s="1">
        <v>1.0069444444444444E-3</v>
      </c>
      <c r="I1174">
        <v>2023</v>
      </c>
      <c r="J1174" t="s">
        <v>83</v>
      </c>
      <c r="K1174" s="2" t="str">
        <f>HYPERLINK("https://www.nba.com/stats/events?CFID=&amp;CFPARAMS=&amp;GameEventID=463&amp;GameID=0022300646&amp;Season=2023-24&amp;flag=1&amp;title=Leonard%2027'%203PT%20step%20back%20(26%20PTS)", "27' 3PT step back (26 PTS)")</f>
        <v>27' 3PT step back (26 PTS)</v>
      </c>
      <c r="L1174" s="2" t="str">
        <f>HYPERLINK("https://www.nba.com/game/...-vs-...-0022300646/play-by-play?watchFullGame=true", "LAC vs BOS - Q3 01:27.00")</f>
        <v>LAC vs BOS - Q3 01:27.00</v>
      </c>
      <c r="M1174">
        <v>27.92</v>
      </c>
      <c r="N1174">
        <v>35.04</v>
      </c>
      <c r="O1174">
        <v>57.35</v>
      </c>
      <c r="P1174">
        <v>-37</v>
      </c>
      <c r="Q1174">
        <v>277</v>
      </c>
      <c r="R1174">
        <v>35</v>
      </c>
      <c r="S1174">
        <v>57</v>
      </c>
    </row>
    <row r="1175" spans="1:19" hidden="1" x14ac:dyDescent="0.25">
      <c r="A1175">
        <v>22300309</v>
      </c>
      <c r="B1175" t="s">
        <v>26</v>
      </c>
      <c r="C1175" t="s">
        <v>19</v>
      </c>
      <c r="D1175">
        <v>30</v>
      </c>
      <c r="E1175">
        <v>21</v>
      </c>
      <c r="F1175">
        <v>9</v>
      </c>
      <c r="G1175">
        <v>1</v>
      </c>
      <c r="H1175" s="1">
        <v>1.2037037037037038E-3</v>
      </c>
      <c r="I1175">
        <v>2023</v>
      </c>
      <c r="J1175" t="s">
        <v>83</v>
      </c>
      <c r="K1175" s="2" t="str">
        <f>HYPERLINK("https://www.nba.com/stats/events?CFID=&amp;CFPARAMS=&amp;GameEventID=131&amp;GameID=0022300309&amp;Season=2023-24&amp;flag=1&amp;title=Leonard%2029'%203PT%20pullup%20(7%20PTS)", "29' 3PT pullup (7 PTS)")</f>
        <v>29' 3PT pullup (7 PTS)</v>
      </c>
      <c r="L1175" s="2" t="str">
        <f>HYPERLINK("https://www.nba.com/game/...-vs-...-0022300309/play-by-play?watchFullGame=true", "LAC vs SAC - Q1 01:44.00")</f>
        <v>LAC vs SAC - Q1 01:44.00</v>
      </c>
      <c r="M1175">
        <v>29.11</v>
      </c>
      <c r="N1175">
        <v>63.52</v>
      </c>
      <c r="O1175">
        <v>53.92</v>
      </c>
      <c r="P1175">
        <v>20</v>
      </c>
      <c r="Q1175">
        <v>290</v>
      </c>
      <c r="R1175">
        <v>63</v>
      </c>
      <c r="S1175">
        <v>53</v>
      </c>
    </row>
    <row r="1176" spans="1:19" hidden="1" x14ac:dyDescent="0.25">
      <c r="A1176">
        <v>22200932</v>
      </c>
      <c r="B1176" t="s">
        <v>26</v>
      </c>
      <c r="C1176" t="s">
        <v>19</v>
      </c>
      <c r="D1176">
        <v>20</v>
      </c>
      <c r="E1176">
        <v>14</v>
      </c>
      <c r="F1176">
        <v>6</v>
      </c>
      <c r="G1176">
        <v>1</v>
      </c>
      <c r="H1176" s="1">
        <v>4.0509259259259257E-3</v>
      </c>
      <c r="I1176">
        <v>2022</v>
      </c>
      <c r="J1176" t="s">
        <v>83</v>
      </c>
      <c r="K1176" s="2" t="str">
        <f>HYPERLINK("https://www.nba.com/stats/events?CFID=&amp;CFPARAMS=&amp;GameEventID=81&amp;GameID=0022200932&amp;Season=2022-23&amp;flag=1&amp;title=Leonard%2029'%203PT%20%20(6%20PTS)%20(R.%20Westbrook%204%20AST)", "29' 3PT  (6 PTS) (R. Westbrook 4 AST)")</f>
        <v>29' 3PT  (6 PTS) (R. Westbrook 4 AST)</v>
      </c>
      <c r="L1176" s="2" t="str">
        <f>HYPERLINK("https://www.nba.com/game/...-vs-...-0022200932/play-by-play?watchFullGame=true", "LAC vs MIN - Q1 05:50.00")</f>
        <v>LAC vs MIN - Q1 05:50.00</v>
      </c>
      <c r="M1176">
        <v>29.64</v>
      </c>
      <c r="N1176">
        <v>64.31</v>
      </c>
      <c r="O1176">
        <v>67.650000000000006</v>
      </c>
      <c r="P1176">
        <v>88</v>
      </c>
      <c r="Q1176">
        <v>283</v>
      </c>
      <c r="R1176">
        <v>64</v>
      </c>
      <c r="S1176">
        <v>67</v>
      </c>
    </row>
    <row r="1177" spans="1:19" hidden="1" x14ac:dyDescent="0.25">
      <c r="A1177">
        <v>22200766</v>
      </c>
      <c r="B1177" t="s">
        <v>26</v>
      </c>
      <c r="C1177" t="s">
        <v>19</v>
      </c>
      <c r="D1177">
        <v>104</v>
      </c>
      <c r="E1177">
        <v>100</v>
      </c>
      <c r="F1177">
        <v>4</v>
      </c>
      <c r="G1177">
        <v>4</v>
      </c>
      <c r="H1177" s="1">
        <v>2.1412037037037038E-3</v>
      </c>
      <c r="I1177">
        <v>2022</v>
      </c>
      <c r="J1177" t="s">
        <v>83</v>
      </c>
      <c r="K1177" s="2" t="str">
        <f>HYPERLINK("https://www.nba.com/stats/events?CFID=&amp;CFPARAMS=&amp;GameEventID=591&amp;GameID=0022200766&amp;Season=2022-23&amp;flag=1&amp;title=Leonard%2028'%203PT%20pullup%20(31%20PTS)", "28' 3PT pullup (31 PTS)")</f>
        <v>28' 3PT pullup (31 PTS)</v>
      </c>
      <c r="L1177" s="2" t="str">
        <f>HYPERLINK("https://www.nba.com/game/...-vs-...-0022200766/play-by-play?watchFullGame=true", "LAC vs CHI - Q4 03:05.00")</f>
        <v>LAC vs CHI - Q4 03:05.00</v>
      </c>
      <c r="M1177">
        <v>28.02</v>
      </c>
      <c r="N1177">
        <v>64.599999999999994</v>
      </c>
      <c r="O1177">
        <v>49.51</v>
      </c>
      <c r="P1177">
        <v>-2</v>
      </c>
      <c r="Q1177">
        <v>280</v>
      </c>
      <c r="R1177">
        <v>64</v>
      </c>
      <c r="S1177">
        <v>49</v>
      </c>
    </row>
    <row r="1178" spans="1:19" hidden="1" x14ac:dyDescent="0.25">
      <c r="A1178">
        <v>22300099</v>
      </c>
      <c r="B1178" t="s">
        <v>26</v>
      </c>
      <c r="C1178" t="s">
        <v>19</v>
      </c>
      <c r="D1178">
        <v>49</v>
      </c>
      <c r="E1178">
        <v>31</v>
      </c>
      <c r="F1178">
        <v>18</v>
      </c>
      <c r="G1178">
        <v>2</v>
      </c>
      <c r="H1178" s="1">
        <v>2.3263888888888887E-3</v>
      </c>
      <c r="I1178">
        <v>2023</v>
      </c>
      <c r="J1178" t="s">
        <v>83</v>
      </c>
      <c r="K1178" s="2" t="str">
        <f>HYPERLINK("https://www.nba.com/stats/events?CFID=&amp;CFPARAMS=&amp;GameEventID=302&amp;GameID=0022300099&amp;Season=2023-24&amp;flag=1&amp;title=Leonard%2031'%203PT%20%20(13%20PTS)%20(R.%20Covington%201%20AST)", "31' 3PT  (13 PTS) (R. Covington 1 AST)")</f>
        <v>31' 3PT  (13 PTS) (R. Covington 1 AST)</v>
      </c>
      <c r="L1178" s="2" t="str">
        <f>HYPERLINK("https://www.nba.com/game/...-vs-...-0022300099/play-by-play?watchFullGame=true", "LAC vs SAS - Q2 03:21.00")</f>
        <v>LAC vs SAS - Q2 03:21.00</v>
      </c>
      <c r="M1178">
        <v>31.54</v>
      </c>
      <c r="N1178">
        <v>65.23</v>
      </c>
      <c r="O1178">
        <v>81.13</v>
      </c>
      <c r="P1178">
        <v>156</v>
      </c>
      <c r="Q1178">
        <v>274</v>
      </c>
      <c r="R1178">
        <v>65</v>
      </c>
      <c r="S1178">
        <v>81</v>
      </c>
    </row>
    <row r="1179" spans="1:19" hidden="1" x14ac:dyDescent="0.25">
      <c r="A1179">
        <v>22000660</v>
      </c>
      <c r="B1179" t="s">
        <v>26</v>
      </c>
      <c r="C1179" t="s">
        <v>19</v>
      </c>
      <c r="D1179">
        <v>116</v>
      </c>
      <c r="E1179">
        <v>108</v>
      </c>
      <c r="F1179">
        <v>8</v>
      </c>
      <c r="G1179">
        <v>4</v>
      </c>
      <c r="H1179" s="1">
        <v>9.6064814814814819E-4</v>
      </c>
      <c r="I1179">
        <v>2020</v>
      </c>
      <c r="J1179" t="s">
        <v>83</v>
      </c>
      <c r="K1179" s="2" t="str">
        <f>HYPERLINK("https://www.nba.com/stats/events?CFID=&amp;CFPARAMS=&amp;GameEventID=590&amp;GameID=0022000660&amp;Season=2020-21&amp;flag=1&amp;title=Leonard%2028'%203PT%20%20(22%20PTS)", "28' 3PT  (22 PTS)")</f>
        <v>28' 3PT  (22 PTS)</v>
      </c>
      <c r="L1179" s="2" t="str">
        <f>HYPERLINK("https://www.nba.com/game/...-vs-...-0022000660/play-by-play?watchFullGame=true", "LAC vs ATL - Q4 01:23.00")</f>
        <v>LAC vs ATL - Q4 01:23.00</v>
      </c>
      <c r="M1179">
        <v>28.53</v>
      </c>
      <c r="N1179">
        <v>65.88</v>
      </c>
      <c r="O1179">
        <v>30.57</v>
      </c>
      <c r="P1179">
        <v>-97</v>
      </c>
      <c r="Q1179">
        <v>268</v>
      </c>
      <c r="R1179">
        <v>65</v>
      </c>
      <c r="S1179">
        <v>30</v>
      </c>
    </row>
    <row r="1180" spans="1:19" hidden="1" x14ac:dyDescent="0.25">
      <c r="A1180">
        <v>41900152</v>
      </c>
      <c r="B1180" t="s">
        <v>26</v>
      </c>
      <c r="C1180" t="s">
        <v>84</v>
      </c>
      <c r="D1180">
        <v>64</v>
      </c>
      <c r="E1180">
        <v>69</v>
      </c>
      <c r="F1180">
        <v>5</v>
      </c>
      <c r="G1180">
        <v>3</v>
      </c>
      <c r="H1180" s="1">
        <v>6.1805555555555555E-3</v>
      </c>
      <c r="I1180" t="s">
        <v>86</v>
      </c>
      <c r="J1180" t="s">
        <v>83</v>
      </c>
      <c r="K1180" s="2" t="str">
        <f>HYPERLINK("https://www.nba.com/stats/events?CFID=&amp;CFPARAMS=&amp;GameEventID=405&amp;GameID=0041900152&amp;Season=2019-20&amp;flag=1&amp;title=Leonard%2028'%203PT%20%20(25%20PTS)%20(P.%20George%201%20AST)", "28' 3PT  (25 PTS) (P. George 1 AST)")</f>
        <v>28' 3PT  (25 PTS) (P. George 1 AST)</v>
      </c>
      <c r="L1180" s="2" t="str">
        <f>HYPERLINK("https://www.nba.com/game/...-vs-...-0041900152/play-by-play?watchFullGame=true", "LAC vs DAL - Q3 08:54.00")</f>
        <v>LAC vs DAL - Q3 08:54.00</v>
      </c>
      <c r="M1180">
        <v>28.14</v>
      </c>
      <c r="N1180">
        <v>65.790000000000006</v>
      </c>
      <c r="O1180">
        <v>62.32</v>
      </c>
      <c r="P1180">
        <v>62</v>
      </c>
      <c r="Q1180">
        <v>269</v>
      </c>
      <c r="R1180">
        <v>65</v>
      </c>
      <c r="S1180">
        <v>62</v>
      </c>
    </row>
    <row r="1181" spans="1:19" hidden="1" x14ac:dyDescent="0.25">
      <c r="A1181">
        <v>22300688</v>
      </c>
      <c r="B1181" t="s">
        <v>26</v>
      </c>
      <c r="C1181" t="s">
        <v>19</v>
      </c>
      <c r="D1181">
        <v>14</v>
      </c>
      <c r="E1181">
        <v>24</v>
      </c>
      <c r="F1181">
        <v>10</v>
      </c>
      <c r="G1181">
        <v>1</v>
      </c>
      <c r="H1181" s="1">
        <v>2.685185185185185E-3</v>
      </c>
      <c r="I1181">
        <v>2023</v>
      </c>
      <c r="J1181" t="s">
        <v>83</v>
      </c>
      <c r="K1181" s="2" t="str">
        <f>HYPERLINK("https://www.nba.com/stats/events?CFID=&amp;CFPARAMS=&amp;GameEventID=97&amp;GameID=0022300688&amp;Season=2023-24&amp;flag=1&amp;title=Leonard%2027'%203PT%20step%20back%20(8%20PTS)", "27' 3PT step back (8 PTS)")</f>
        <v>27' 3PT step back (8 PTS)</v>
      </c>
      <c r="L1181" s="2" t="str">
        <f>HYPERLINK("https://www.nba.com/game/...-vs-...-0022300688/play-by-play?watchFullGame=true", "LAC vs DET - Q1 03:52.00")</f>
        <v>LAC vs DET - Q1 03:52.00</v>
      </c>
      <c r="M1181">
        <v>27.88</v>
      </c>
      <c r="N1181">
        <v>65.39</v>
      </c>
      <c r="O1181">
        <v>61.52</v>
      </c>
      <c r="P1181">
        <v>58</v>
      </c>
      <c r="Q1181">
        <v>273</v>
      </c>
      <c r="R1181">
        <v>65</v>
      </c>
      <c r="S1181">
        <v>61</v>
      </c>
    </row>
    <row r="1182" spans="1:19" hidden="1" x14ac:dyDescent="0.25">
      <c r="A1182">
        <v>22000172</v>
      </c>
      <c r="B1182" t="s">
        <v>26</v>
      </c>
      <c r="C1182" t="s">
        <v>19</v>
      </c>
      <c r="D1182">
        <v>105</v>
      </c>
      <c r="E1182">
        <v>96</v>
      </c>
      <c r="F1182">
        <v>9</v>
      </c>
      <c r="G1182">
        <v>4</v>
      </c>
      <c r="H1182" s="1">
        <v>2.0833333333333333E-3</v>
      </c>
      <c r="I1182">
        <v>2020</v>
      </c>
      <c r="J1182" t="s">
        <v>83</v>
      </c>
      <c r="K1182" s="2" t="str">
        <f>HYPERLINK("https://www.nba.com/stats/events?CFID=&amp;CFPARAMS=&amp;GameEventID=534&amp;GameID=0022000172&amp;Season=2020-21&amp;flag=1&amp;title=Leonard%2026'%203PT%20%20(28%20PTS)%20(P.%20George%206%20AST)", "26' 3PT  (28 PTS) (P. George 6 AST)")</f>
        <v>26' 3PT  (28 PTS) (P. George 6 AST)</v>
      </c>
      <c r="L1182" s="2" t="str">
        <f>HYPERLINK("https://www.nba.com/game/...-vs-...-0022000172/play-by-play?watchFullGame=true", "LAC vs NOP - Q4 03:00.00")</f>
        <v>LAC vs NOP - Q4 03:00.00</v>
      </c>
      <c r="M1182">
        <v>26.91</v>
      </c>
      <c r="N1182">
        <v>65.88</v>
      </c>
      <c r="O1182">
        <v>45.52</v>
      </c>
      <c r="P1182">
        <v>-22</v>
      </c>
      <c r="Q1182">
        <v>268</v>
      </c>
      <c r="R1182">
        <v>65</v>
      </c>
      <c r="S1182">
        <v>45</v>
      </c>
    </row>
    <row r="1183" spans="1:19" hidden="1" x14ac:dyDescent="0.25">
      <c r="A1183">
        <v>22000509</v>
      </c>
      <c r="B1183" t="s">
        <v>26</v>
      </c>
      <c r="C1183" t="s">
        <v>19</v>
      </c>
      <c r="D1183">
        <v>61</v>
      </c>
      <c r="E1183">
        <v>47</v>
      </c>
      <c r="F1183">
        <v>14</v>
      </c>
      <c r="G1183">
        <v>2</v>
      </c>
      <c r="H1183" s="1">
        <v>8.3333333333333339E-4</v>
      </c>
      <c r="I1183">
        <v>2020</v>
      </c>
      <c r="J1183" t="s">
        <v>83</v>
      </c>
      <c r="K1183" s="2" t="str">
        <f>HYPERLINK("https://www.nba.com/stats/events?CFID=&amp;CFPARAMS=&amp;GameEventID=317&amp;GameID=0022000509&amp;Season=2020-21&amp;flag=1&amp;title=Leonard%2026'%203PT%20%20(16%20PTS)%20(Ibaka%203%20AST)", "26' 3PT  (16 PTS) (S. Ibaka 3 AST)")</f>
        <v>26' 3PT  (16 PTS) (S. Ibaka 3 AST)</v>
      </c>
      <c r="L1183" s="2" t="str">
        <f>HYPERLINK("https://www.nba.com/game/...-vs-...-0022000509/play-by-play?watchFullGame=true", "LAC vs MEM - Q2 01:12.00")</f>
        <v>LAC vs MEM - Q2 01:12.00</v>
      </c>
      <c r="M1183">
        <v>26.84</v>
      </c>
      <c r="N1183">
        <v>65.92</v>
      </c>
      <c r="O1183">
        <v>46.64</v>
      </c>
      <c r="P1183">
        <v>-17</v>
      </c>
      <c r="Q1183">
        <v>268</v>
      </c>
      <c r="R1183">
        <v>65</v>
      </c>
      <c r="S1183">
        <v>46</v>
      </c>
    </row>
    <row r="1184" spans="1:19" hidden="1" x14ac:dyDescent="0.25">
      <c r="A1184">
        <v>22200363</v>
      </c>
      <c r="B1184" t="s">
        <v>26</v>
      </c>
      <c r="C1184" t="s">
        <v>19</v>
      </c>
      <c r="D1184">
        <v>72</v>
      </c>
      <c r="E1184">
        <v>55</v>
      </c>
      <c r="F1184">
        <v>17</v>
      </c>
      <c r="G1184">
        <v>3</v>
      </c>
      <c r="H1184" s="1">
        <v>2.9050925925925928E-3</v>
      </c>
      <c r="I1184">
        <v>2022</v>
      </c>
      <c r="J1184" t="s">
        <v>83</v>
      </c>
      <c r="K1184" s="2" t="str">
        <f>HYPERLINK("https://www.nba.com/stats/events?CFID=&amp;CFPARAMS=&amp;GameEventID=440&amp;GameID=0022200363&amp;Season=2022-23&amp;flag=1&amp;title=Leonard%2028'%203PT%20running%20pullup%20(12%20PTS)", "28' 3PT running pullup (12 PTS)")</f>
        <v>28' 3PT running pullup (12 PTS)</v>
      </c>
      <c r="L1184" s="2" t="str">
        <f>HYPERLINK("https://www.nba.com/game/...-vs-...-0022200363/play-by-play?watchFullGame=true", "LAC vs ORL - Q3 04:11.00")</f>
        <v>LAC vs ORL - Q3 04:11.00</v>
      </c>
      <c r="M1184">
        <v>28.28</v>
      </c>
      <c r="N1184">
        <v>66.05</v>
      </c>
      <c r="O1184">
        <v>68.87</v>
      </c>
      <c r="P1184">
        <v>94</v>
      </c>
      <c r="Q1184">
        <v>267</v>
      </c>
      <c r="R1184">
        <v>66</v>
      </c>
      <c r="S1184">
        <v>68</v>
      </c>
    </row>
    <row r="1185" spans="1:19" hidden="1" x14ac:dyDescent="0.25">
      <c r="A1185">
        <v>22001002</v>
      </c>
      <c r="B1185" t="s">
        <v>26</v>
      </c>
      <c r="C1185" t="s">
        <v>19</v>
      </c>
      <c r="D1185">
        <v>21</v>
      </c>
      <c r="E1185">
        <v>11</v>
      </c>
      <c r="F1185">
        <v>10</v>
      </c>
      <c r="G1185">
        <v>1</v>
      </c>
      <c r="H1185" s="1">
        <v>3.8888888888888888E-3</v>
      </c>
      <c r="I1185">
        <v>2020</v>
      </c>
      <c r="J1185" t="s">
        <v>83</v>
      </c>
      <c r="K1185" s="2" t="str">
        <f>HYPERLINK("https://www.nba.com/stats/events?CFID=&amp;CFPARAMS=&amp;GameEventID=69&amp;GameID=0022001002&amp;Season=2020-21&amp;flag=1&amp;title=Leonard%2027'%203PT%20%20(6%20PTS)%20(P.%20George%203%20AST)", "27' 3PT  (6 PTS) (P. George 3 AST)")</f>
        <v>27' 3PT  (6 PTS) (P. George 3 AST)</v>
      </c>
      <c r="L1185" s="2" t="str">
        <f>HYPERLINK("https://www.nba.com/game/...-vs-...-0022001002/play-by-play?watchFullGame=true", "LAC vs LAL - Q1 05:36.00")</f>
        <v>LAC vs LAL - Q1 05:36.00</v>
      </c>
      <c r="M1185">
        <v>27.84</v>
      </c>
      <c r="N1185">
        <v>66.180000000000007</v>
      </c>
      <c r="O1185">
        <v>33.159999999999997</v>
      </c>
      <c r="P1185">
        <v>-84</v>
      </c>
      <c r="Q1185">
        <v>265</v>
      </c>
      <c r="R1185">
        <v>66</v>
      </c>
      <c r="S1185">
        <v>33</v>
      </c>
    </row>
    <row r="1186" spans="1:19" hidden="1" x14ac:dyDescent="0.25">
      <c r="A1186">
        <v>41900234</v>
      </c>
      <c r="B1186" t="s">
        <v>26</v>
      </c>
      <c r="C1186" t="s">
        <v>84</v>
      </c>
      <c r="D1186">
        <v>63</v>
      </c>
      <c r="E1186">
        <v>53</v>
      </c>
      <c r="F1186">
        <v>10</v>
      </c>
      <c r="G1186">
        <v>3</v>
      </c>
      <c r="H1186" s="1">
        <v>4.409722222222222E-3</v>
      </c>
      <c r="I1186" t="s">
        <v>85</v>
      </c>
      <c r="J1186" t="s">
        <v>83</v>
      </c>
      <c r="K1186" s="2" t="str">
        <f>HYPERLINK("https://www.nba.com/stats/events?CFID=&amp;CFPARAMS=&amp;GameEventID=413&amp;GameID=0041900234&amp;Season=2019-20&amp;flag=1&amp;title=Leonard%2028'%203PT%20%20(24%20PTS)%20(L.%20Shamet%202%20AST)", "28' 3PT  (24 PTS) (L. Shamet 2 AST)")</f>
        <v>28' 3PT  (24 PTS) (L. Shamet 2 AST)</v>
      </c>
      <c r="L1186" s="2" t="str">
        <f>HYPERLINK("https://www.nba.com/game/...-vs-...-0041900234/play-by-play?watchFullGame=true", "LAC vs DEN - Q3 06:21.00")</f>
        <v>LAC vs DEN - Q3 06:21.00</v>
      </c>
      <c r="M1186">
        <v>27.65</v>
      </c>
      <c r="N1186">
        <v>66.7</v>
      </c>
      <c r="O1186">
        <v>34.869999999999997</v>
      </c>
      <c r="P1186">
        <v>-76</v>
      </c>
      <c r="Q1186">
        <v>260</v>
      </c>
      <c r="R1186">
        <v>66</v>
      </c>
      <c r="S1186">
        <v>34</v>
      </c>
    </row>
    <row r="1187" spans="1:19" hidden="1" x14ac:dyDescent="0.25">
      <c r="A1187">
        <v>21900359</v>
      </c>
      <c r="B1187" t="s">
        <v>26</v>
      </c>
      <c r="C1187" t="s">
        <v>84</v>
      </c>
      <c r="D1187">
        <v>83</v>
      </c>
      <c r="E1187">
        <v>71</v>
      </c>
      <c r="F1187">
        <v>12</v>
      </c>
      <c r="G1187">
        <v>3</v>
      </c>
      <c r="H1187" s="1">
        <v>1.1574074074074073E-3</v>
      </c>
      <c r="I1187">
        <v>2019</v>
      </c>
      <c r="J1187" t="s">
        <v>83</v>
      </c>
      <c r="K1187" s="2" t="str">
        <f>HYPERLINK("https://www.nba.com/stats/events?CFID=&amp;CFPARAMS=&amp;GameEventID=511&amp;GameID=0021900359&amp;Season=2019-20&amp;flag=1&amp;title=Leonard%2027'%203PT%20%20(16%20PTS)%20(M.%20Harrell%203%20AST)", "27' 3PT  (16 PTS) (M. Harrell 3 AST)")</f>
        <v>27' 3PT  (16 PTS) (M. Harrell 3 AST)</v>
      </c>
      <c r="L1187" s="2" t="str">
        <f>HYPERLINK("https://www.nba.com/game/...-vs-...-0021900359/play-by-play?watchFullGame=true", "LAC vs TOR - Q3 01:40.00")</f>
        <v>LAC vs TOR - Q3 01:40.00</v>
      </c>
      <c r="M1187">
        <v>27.48</v>
      </c>
      <c r="N1187">
        <v>66.05</v>
      </c>
      <c r="O1187">
        <v>57.67</v>
      </c>
      <c r="P1187">
        <v>38</v>
      </c>
      <c r="Q1187">
        <v>267</v>
      </c>
      <c r="R1187">
        <v>66</v>
      </c>
      <c r="S1187">
        <v>57</v>
      </c>
    </row>
    <row r="1188" spans="1:19" hidden="1" x14ac:dyDescent="0.25">
      <c r="A1188">
        <v>22300880</v>
      </c>
      <c r="B1188" t="s">
        <v>26</v>
      </c>
      <c r="C1188" t="s">
        <v>19</v>
      </c>
      <c r="D1188">
        <v>68</v>
      </c>
      <c r="E1188">
        <v>54</v>
      </c>
      <c r="F1188">
        <v>14</v>
      </c>
      <c r="G1188">
        <v>3</v>
      </c>
      <c r="H1188" s="1">
        <v>5.8217592592592592E-3</v>
      </c>
      <c r="I1188">
        <v>2023</v>
      </c>
      <c r="J1188" t="s">
        <v>83</v>
      </c>
      <c r="K1188" s="2" t="str">
        <f>HYPERLINK("https://www.nba.com/stats/events?CFID=&amp;CFPARAMS=&amp;GameEventID=325&amp;GameID=0022300880&amp;Season=2023-24&amp;flag=1&amp;title=Leonard%2027'%203PT%20%20(13%20PTS)%20(I.%20Zubac%203%20AST)", "27' 3PT  (13 PTS) (I. Zubac 3 AST)")</f>
        <v>27' 3PT  (13 PTS) (I. Zubac 3 AST)</v>
      </c>
      <c r="L1188" s="2" t="str">
        <f>HYPERLINK("https://www.nba.com/game/...-vs-...-0022300880/play-by-play?watchFullGame=true", "LAC vs MIL - Q3 08:23.00")</f>
        <v>LAC vs MIL - Q3 08:23.00</v>
      </c>
      <c r="M1188">
        <v>27.03</v>
      </c>
      <c r="N1188">
        <v>66.7</v>
      </c>
      <c r="O1188">
        <v>64.459999999999994</v>
      </c>
      <c r="P1188">
        <v>72</v>
      </c>
      <c r="Q1188">
        <v>260</v>
      </c>
      <c r="R1188">
        <v>66</v>
      </c>
      <c r="S1188">
        <v>64</v>
      </c>
    </row>
    <row r="1189" spans="1:19" hidden="1" x14ac:dyDescent="0.25">
      <c r="A1189">
        <v>41900235</v>
      </c>
      <c r="B1189" t="s">
        <v>26</v>
      </c>
      <c r="C1189" t="s">
        <v>84</v>
      </c>
      <c r="D1189">
        <v>18</v>
      </c>
      <c r="E1189">
        <v>14</v>
      </c>
      <c r="F1189">
        <v>4</v>
      </c>
      <c r="G1189">
        <v>1</v>
      </c>
      <c r="H1189" s="1">
        <v>3.2870370370370371E-3</v>
      </c>
      <c r="I1189" t="s">
        <v>85</v>
      </c>
      <c r="J1189" t="s">
        <v>83</v>
      </c>
      <c r="K1189" s="2" t="str">
        <f>HYPERLINK("https://www.nba.com/stats/events?CFID=&amp;CFPARAMS=&amp;GameEventID=80&amp;GameID=0041900235&amp;Season=2019-20&amp;flag=1&amp;title=Leonard%2027'%203PT%20%20(7%20PTS)%20(L.%20Shamet%201%20AST)", "27' 3PT  (7 PTS) (L. Shamet 1 AST)")</f>
        <v>27' 3PT  (7 PTS) (L. Shamet 1 AST)</v>
      </c>
      <c r="L1189" s="2" t="str">
        <f>HYPERLINK("https://www.nba.com/game/...-vs-...-0041900235/play-by-play?watchFullGame=true", "LAC vs DEN - Q1 04:44.00")</f>
        <v>LAC vs DEN - Q1 04:44.00</v>
      </c>
      <c r="M1189">
        <v>27</v>
      </c>
      <c r="N1189">
        <v>66.44</v>
      </c>
      <c r="O1189">
        <v>55.95</v>
      </c>
      <c r="P1189">
        <v>30</v>
      </c>
      <c r="Q1189">
        <v>263</v>
      </c>
      <c r="R1189">
        <v>66</v>
      </c>
      <c r="S1189">
        <v>55</v>
      </c>
    </row>
    <row r="1190" spans="1:19" hidden="1" x14ac:dyDescent="0.25">
      <c r="A1190">
        <v>21900068</v>
      </c>
      <c r="B1190" t="s">
        <v>26</v>
      </c>
      <c r="C1190" t="s">
        <v>84</v>
      </c>
      <c r="D1190">
        <v>55</v>
      </c>
      <c r="E1190">
        <v>50</v>
      </c>
      <c r="F1190">
        <v>5</v>
      </c>
      <c r="G1190">
        <v>3</v>
      </c>
      <c r="H1190" s="1">
        <v>6.9560185185185185E-3</v>
      </c>
      <c r="I1190">
        <v>2019</v>
      </c>
      <c r="J1190" t="s">
        <v>83</v>
      </c>
      <c r="K1190" s="2" t="str">
        <f>HYPERLINK("https://www.nba.com/stats/events?CFID=&amp;CFPARAMS=&amp;GameEventID=352&amp;GameID=0021900068&amp;Season=2019-20&amp;flag=1&amp;title=[LAC]%20Leonard%203pt%20shot:%20Made%20(16%20PTS)%20assist:%20Patterson%20(2%20AST)", "[LAC] Leonard 3pt shot: Made (16 PTS) assist: Patterson (2 AST)")</f>
        <v>[LAC] Leonard 3pt shot: Made (16 PTS) assist: Patterson (2 AST)</v>
      </c>
      <c r="L1190" s="2" t="str">
        <f>HYPERLINK("https://www.nba.com/game/...-vs-...-0021900068/play-by-play?watchFullGame=true", "LAC vs SAS - Q3 10:01.00")</f>
        <v>LAC vs SAS - Q3 10:01.00</v>
      </c>
      <c r="M1190">
        <v>26.98</v>
      </c>
      <c r="N1190">
        <v>66.540000000000006</v>
      </c>
      <c r="O1190">
        <v>57.04</v>
      </c>
      <c r="P1190">
        <v>35</v>
      </c>
      <c r="Q1190">
        <v>262</v>
      </c>
      <c r="R1190">
        <v>66</v>
      </c>
      <c r="S1190">
        <v>57</v>
      </c>
    </row>
    <row r="1191" spans="1:19" hidden="1" x14ac:dyDescent="0.25">
      <c r="A1191">
        <v>21900419</v>
      </c>
      <c r="B1191" t="s">
        <v>26</v>
      </c>
      <c r="C1191" t="s">
        <v>84</v>
      </c>
      <c r="D1191">
        <v>11</v>
      </c>
      <c r="E1191">
        <v>16</v>
      </c>
      <c r="F1191">
        <v>5</v>
      </c>
      <c r="G1191">
        <v>1</v>
      </c>
      <c r="H1191" s="1">
        <v>4.2129629629629626E-3</v>
      </c>
      <c r="I1191">
        <v>2019</v>
      </c>
      <c r="J1191" t="s">
        <v>83</v>
      </c>
      <c r="K1191" s="2" t="str">
        <f>HYPERLINK("https://www.nba.com/stats/events?CFID=&amp;CFPARAMS=&amp;GameEventID=74&amp;GameID=0021900419&amp;Season=2019-20&amp;flag=1&amp;title=Leonard%2027'%203PT%20%20(7%20PTS)", "27' 3PT  (7 PTS)")</f>
        <v>27' 3PT  (7 PTS)</v>
      </c>
      <c r="L1191" s="2" t="str">
        <f>HYPERLINK("https://www.nba.com/game/...-vs-...-0021900419/play-by-play?watchFullGame=true", "LAC vs HOU - Q1 06:04.00")</f>
        <v>LAC vs HOU - Q1 06:04.00</v>
      </c>
      <c r="M1191">
        <v>26.9</v>
      </c>
      <c r="N1191">
        <v>66.41</v>
      </c>
      <c r="O1191">
        <v>52.14</v>
      </c>
      <c r="P1191">
        <v>11</v>
      </c>
      <c r="Q1191">
        <v>263</v>
      </c>
      <c r="R1191">
        <v>66</v>
      </c>
      <c r="S1191">
        <v>52</v>
      </c>
    </row>
    <row r="1192" spans="1:19" hidden="1" x14ac:dyDescent="0.25">
      <c r="A1192">
        <v>22400793</v>
      </c>
      <c r="B1192" t="s">
        <v>26</v>
      </c>
      <c r="C1192" t="s">
        <v>19</v>
      </c>
      <c r="D1192">
        <v>98</v>
      </c>
      <c r="E1192">
        <v>86</v>
      </c>
      <c r="F1192">
        <v>12</v>
      </c>
      <c r="G1192">
        <v>4</v>
      </c>
      <c r="H1192" s="1">
        <v>6.2384259259259259E-3</v>
      </c>
      <c r="I1192">
        <v>2024</v>
      </c>
      <c r="J1192" t="s">
        <v>83</v>
      </c>
      <c r="K1192" s="2" t="str">
        <f>HYPERLINK("https://www.nba.com/stats/events?CFID=&amp;CFPARAMS=&amp;GameEventID=502&amp;GameID=0022400793&amp;Season=2024-25&amp;flag=1&amp;title=Leonard%2026'%203PT%20%20(25%20PTS)%20(B.%20Bogdanovic%205%20AST)", "26' 3PT  (25 PTS) (B. Bogdanovic 5 AST)")</f>
        <v>26' 3PT  (25 PTS) (B. Bogdanovic 5 AST)</v>
      </c>
      <c r="L1192" s="2" t="str">
        <f>HYPERLINK("https://www.nba.com/game/...-vs-...-0022400793/play-by-play?watchFullGame=true", "LAC vs MIL - Q4 08:59.00")</f>
        <v>LAC vs MIL - Q4 08:59.00</v>
      </c>
      <c r="M1192">
        <v>26.89</v>
      </c>
      <c r="N1192">
        <v>66.75</v>
      </c>
      <c r="O1192">
        <v>36.270000000000003</v>
      </c>
      <c r="P1192">
        <v>-69</v>
      </c>
      <c r="Q1192">
        <v>260</v>
      </c>
      <c r="R1192">
        <v>66</v>
      </c>
      <c r="S1192">
        <v>36</v>
      </c>
    </row>
    <row r="1193" spans="1:19" hidden="1" x14ac:dyDescent="0.25">
      <c r="A1193">
        <v>21901291</v>
      </c>
      <c r="B1193" t="s">
        <v>26</v>
      </c>
      <c r="C1193" t="s">
        <v>84</v>
      </c>
      <c r="D1193">
        <v>62</v>
      </c>
      <c r="E1193">
        <v>74</v>
      </c>
      <c r="F1193">
        <v>12</v>
      </c>
      <c r="G1193">
        <v>2</v>
      </c>
      <c r="H1193" s="1">
        <v>3.1250000000000001E-4</v>
      </c>
      <c r="I1193">
        <v>2019</v>
      </c>
      <c r="J1193" t="s">
        <v>83</v>
      </c>
      <c r="K1193" s="2" t="str">
        <f>HYPERLINK("https://www.nba.com/stats/events?CFID=&amp;CFPARAMS=&amp;GameEventID=305&amp;GameID=0021901291&amp;Season=2019-20&amp;flag=1&amp;title=Leonard%2027'%203PT%20%20(18%20PTS)%20(L.%20Williams%203%20AST)", "27' 3PT  (18 PTS) (L. Williams 3 AST)")</f>
        <v>27' 3PT  (18 PTS) (L. Williams 3 AST)</v>
      </c>
      <c r="L1193" s="2" t="str">
        <f>HYPERLINK("https://www.nba.com/game/...-vs-...-0021901291/play-by-play?watchFullGame=true", "LAC vs BKN - Q2 00:27.00")</f>
        <v>LAC vs BKN - Q2 00:27.00</v>
      </c>
      <c r="M1193">
        <v>26.84</v>
      </c>
      <c r="N1193">
        <v>66.44</v>
      </c>
      <c r="O1193">
        <v>50.31</v>
      </c>
      <c r="P1193">
        <v>2</v>
      </c>
      <c r="Q1193">
        <v>263</v>
      </c>
      <c r="R1193">
        <v>66</v>
      </c>
      <c r="S1193">
        <v>50</v>
      </c>
    </row>
    <row r="1194" spans="1:19" hidden="1" x14ac:dyDescent="0.25">
      <c r="A1194">
        <v>22301064</v>
      </c>
      <c r="B1194" t="s">
        <v>26</v>
      </c>
      <c r="C1194" t="s">
        <v>19</v>
      </c>
      <c r="D1194">
        <v>59</v>
      </c>
      <c r="E1194">
        <v>50</v>
      </c>
      <c r="F1194">
        <v>9</v>
      </c>
      <c r="G1194">
        <v>3</v>
      </c>
      <c r="H1194" s="1">
        <v>6.8634259259259256E-3</v>
      </c>
      <c r="I1194">
        <v>2023</v>
      </c>
      <c r="J1194" t="s">
        <v>83</v>
      </c>
      <c r="K1194" s="2" t="str">
        <f>HYPERLINK("https://www.nba.com/stats/events?CFID=&amp;CFPARAMS=&amp;GameEventID=334&amp;GameID=0022301064&amp;Season=2023-24&amp;flag=1&amp;title=Leonard%2026'%203PT%20running%20pullup%20(13%20PTS)", "26' 3PT running pullup (13 PTS)")</f>
        <v>26' 3PT running pullup (13 PTS)</v>
      </c>
      <c r="L1194" s="2" t="str">
        <f>HYPERLINK("https://www.nba.com/game/...-vs-...-0022301064/play-by-play?watchFullGame=true", "LAC vs ORL - Q3 09:53.00")</f>
        <v>LAC vs ORL - Q3 09:53.00</v>
      </c>
      <c r="M1194">
        <v>26.81</v>
      </c>
      <c r="N1194">
        <v>66.84</v>
      </c>
      <c r="O1194">
        <v>36.270000000000003</v>
      </c>
      <c r="P1194">
        <v>-69</v>
      </c>
      <c r="Q1194">
        <v>259</v>
      </c>
      <c r="R1194">
        <v>66</v>
      </c>
      <c r="S1194">
        <v>36</v>
      </c>
    </row>
    <row r="1195" spans="1:19" hidden="1" x14ac:dyDescent="0.25">
      <c r="A1195">
        <v>41900156</v>
      </c>
      <c r="B1195" t="s">
        <v>26</v>
      </c>
      <c r="C1195" t="s">
        <v>84</v>
      </c>
      <c r="D1195">
        <v>60</v>
      </c>
      <c r="E1195">
        <v>51</v>
      </c>
      <c r="F1195">
        <v>9</v>
      </c>
      <c r="G1195">
        <v>3</v>
      </c>
      <c r="H1195" s="1">
        <v>7.9629629629629634E-3</v>
      </c>
      <c r="I1195" t="s">
        <v>86</v>
      </c>
      <c r="J1195" t="s">
        <v>83</v>
      </c>
      <c r="K1195" s="2" t="str">
        <f>HYPERLINK("https://www.nba.com/stats/events?CFID=&amp;CFPARAMS=&amp;GameEventID=326&amp;GameID=0041900156&amp;Season=2019-20&amp;flag=1&amp;title=Leonard%2027'%203PT%20%20(14%20PTS)%20(J.%20Green%201%20AST)", "27' 3PT  (14 PTS) (J. Green 1 AST)")</f>
        <v>27' 3PT  (14 PTS) (J. Green 1 AST)</v>
      </c>
      <c r="L1195" s="2" t="str">
        <f>HYPERLINK("https://www.nba.com/game/...-vs-...-0041900156/play-by-play?watchFullGame=true", "LAC vs DAL - Q3 11:28.00")</f>
        <v>LAC vs DAL - Q3 11:28.00</v>
      </c>
      <c r="M1195">
        <v>26.81</v>
      </c>
      <c r="N1195">
        <v>66.569999999999993</v>
      </c>
      <c r="O1195">
        <v>54.48</v>
      </c>
      <c r="P1195">
        <v>22</v>
      </c>
      <c r="Q1195">
        <v>262</v>
      </c>
      <c r="R1195">
        <v>66</v>
      </c>
      <c r="S1195">
        <v>54</v>
      </c>
    </row>
    <row r="1196" spans="1:19" hidden="1" x14ac:dyDescent="0.25">
      <c r="A1196">
        <v>22200810</v>
      </c>
      <c r="B1196" t="s">
        <v>26</v>
      </c>
      <c r="C1196" t="s">
        <v>19</v>
      </c>
      <c r="D1196">
        <v>10</v>
      </c>
      <c r="E1196">
        <v>14</v>
      </c>
      <c r="F1196">
        <v>4</v>
      </c>
      <c r="G1196">
        <v>1</v>
      </c>
      <c r="H1196" s="1">
        <v>4.8379629629629632E-3</v>
      </c>
      <c r="I1196">
        <v>2022</v>
      </c>
      <c r="J1196" t="s">
        <v>83</v>
      </c>
      <c r="K1196" s="2" t="str">
        <f>HYPERLINK("https://www.nba.com/stats/events?CFID=&amp;CFPARAMS=&amp;GameEventID=48&amp;GameID=0022200810&amp;Season=2022-23&amp;flag=1&amp;title=Leonard%2026'%203PT%20%20(3%20PTS)%20(P.%20George%201%20AST)", "26' 3PT  (3 PTS) (P. George 1 AST)")</f>
        <v>26' 3PT  (3 PTS) (P. George 1 AST)</v>
      </c>
      <c r="L1196" s="2" t="str">
        <f>HYPERLINK("https://www.nba.com/game/...-vs-...-0022200810/play-by-play?watchFullGame=true", "LAC vs BKN - Q1 06:58.00")</f>
        <v>LAC vs BKN - Q1 06:58.00</v>
      </c>
      <c r="M1196">
        <v>26.7</v>
      </c>
      <c r="N1196">
        <v>66.180000000000007</v>
      </c>
      <c r="O1196">
        <v>44.12</v>
      </c>
      <c r="P1196">
        <v>-29</v>
      </c>
      <c r="Q1196">
        <v>265</v>
      </c>
      <c r="R1196">
        <v>66</v>
      </c>
      <c r="S1196">
        <v>44</v>
      </c>
    </row>
    <row r="1197" spans="1:19" hidden="1" x14ac:dyDescent="0.25">
      <c r="A1197">
        <v>22000172</v>
      </c>
      <c r="B1197" t="s">
        <v>26</v>
      </c>
      <c r="C1197" t="s">
        <v>19</v>
      </c>
      <c r="D1197">
        <v>97</v>
      </c>
      <c r="E1197">
        <v>87</v>
      </c>
      <c r="F1197">
        <v>10</v>
      </c>
      <c r="G1197">
        <v>4</v>
      </c>
      <c r="H1197" s="1">
        <v>3.6574074074074074E-3</v>
      </c>
      <c r="I1197">
        <v>2020</v>
      </c>
      <c r="J1197" t="s">
        <v>83</v>
      </c>
      <c r="K1197" s="2" t="str">
        <f>HYPERLINK("https://www.nba.com/stats/events?CFID=&amp;CFPARAMS=&amp;GameEventID=510&amp;GameID=0022000172&amp;Season=2020-21&amp;flag=1&amp;title=Leonard%2026'%203PT%20%20(23%20PTS)%20(P.%20George%205%20AST)", "26' 3PT  (23 PTS) (P. George 5 AST)")</f>
        <v>26' 3PT  (23 PTS) (P. George 5 AST)</v>
      </c>
      <c r="L1197" s="2" t="str">
        <f>HYPERLINK("https://www.nba.com/game/...-vs-...-0022000172/play-by-play?watchFullGame=true", "LAC vs NOP - Q4 05:16.00")</f>
        <v>LAC vs NOP - Q4 05:16.00</v>
      </c>
      <c r="M1197">
        <v>26.68</v>
      </c>
      <c r="N1197">
        <v>66.540000000000006</v>
      </c>
      <c r="O1197">
        <v>39.880000000000003</v>
      </c>
      <c r="P1197">
        <v>-51</v>
      </c>
      <c r="Q1197">
        <v>262</v>
      </c>
      <c r="R1197">
        <v>66</v>
      </c>
      <c r="S1197">
        <v>39</v>
      </c>
    </row>
    <row r="1198" spans="1:19" hidden="1" x14ac:dyDescent="0.25">
      <c r="A1198">
        <v>22000660</v>
      </c>
      <c r="B1198" t="s">
        <v>26</v>
      </c>
      <c r="C1198" t="s">
        <v>19</v>
      </c>
      <c r="D1198">
        <v>119</v>
      </c>
      <c r="E1198">
        <v>110</v>
      </c>
      <c r="F1198">
        <v>9</v>
      </c>
      <c r="G1198">
        <v>4</v>
      </c>
      <c r="H1198" s="1">
        <v>6.6666666666666664E-4</v>
      </c>
      <c r="I1198">
        <v>2020</v>
      </c>
      <c r="J1198" t="s">
        <v>83</v>
      </c>
      <c r="K1198" s="2" t="str">
        <f>HYPERLINK("https://www.nba.com/stats/events?CFID=&amp;CFPARAMS=&amp;GameEventID=594&amp;GameID=0022000660&amp;Season=2020-21&amp;flag=1&amp;title=Leonard%2026'%203PT%20step%20back%20(25%20PTS)", "26' 3PT step back (25 PTS)")</f>
        <v>26' 3PT step back (25 PTS)</v>
      </c>
      <c r="L1198" s="2" t="str">
        <f>HYPERLINK("https://www.nba.com/game/...-vs-...-0022000660/play-by-play?watchFullGame=true", "LAC vs ATL - Q4 00:57.60")</f>
        <v>LAC vs ATL - Q4 00:57.60</v>
      </c>
      <c r="M1198">
        <v>26.6</v>
      </c>
      <c r="N1198">
        <v>66.150000000000006</v>
      </c>
      <c r="O1198">
        <v>47.48</v>
      </c>
      <c r="P1198">
        <v>-13</v>
      </c>
      <c r="Q1198">
        <v>266</v>
      </c>
      <c r="R1198">
        <v>66</v>
      </c>
      <c r="S1198">
        <v>47</v>
      </c>
    </row>
    <row r="1199" spans="1:19" hidden="1" x14ac:dyDescent="0.25">
      <c r="A1199">
        <v>22200476</v>
      </c>
      <c r="B1199" t="s">
        <v>26</v>
      </c>
      <c r="C1199" t="s">
        <v>19</v>
      </c>
      <c r="D1199">
        <v>65</v>
      </c>
      <c r="E1199">
        <v>32</v>
      </c>
      <c r="F1199">
        <v>33</v>
      </c>
      <c r="G1199">
        <v>2</v>
      </c>
      <c r="H1199" s="1">
        <v>3.6689814814814814E-3</v>
      </c>
      <c r="I1199">
        <v>2022</v>
      </c>
      <c r="J1199" t="s">
        <v>83</v>
      </c>
      <c r="K1199" s="2" t="str">
        <f>HYPERLINK("https://www.nba.com/stats/events?CFID=&amp;CFPARAMS=&amp;GameEventID=294&amp;GameID=0022200476&amp;Season=2022-23&amp;flag=1&amp;title=Leonard%2026'%203PT%20%20(9%20PTS)%20(P.%20George%203%20AST)", "26' 3PT  (9 PTS) (P. George 3 AST)")</f>
        <v>26' 3PT  (9 PTS) (P. George 3 AST)</v>
      </c>
      <c r="L1199" s="2" t="str">
        <f>HYPERLINK("https://www.nba.com/game/...-vs-...-0022200476/play-by-play?watchFullGame=true", "LAC vs CHA - Q2 05:17.00")</f>
        <v>LAC vs CHA - Q2 05:17.00</v>
      </c>
      <c r="M1199">
        <v>26.56</v>
      </c>
      <c r="N1199">
        <v>66.28</v>
      </c>
      <c r="O1199">
        <v>45.1</v>
      </c>
      <c r="P1199">
        <v>-25</v>
      </c>
      <c r="Q1199">
        <v>264</v>
      </c>
      <c r="R1199">
        <v>66</v>
      </c>
      <c r="S1199">
        <v>45</v>
      </c>
    </row>
    <row r="1200" spans="1:19" hidden="1" x14ac:dyDescent="0.25">
      <c r="A1200">
        <v>22000142</v>
      </c>
      <c r="B1200" t="s">
        <v>26</v>
      </c>
      <c r="C1200" t="s">
        <v>19</v>
      </c>
      <c r="D1200">
        <v>83</v>
      </c>
      <c r="E1200">
        <v>80</v>
      </c>
      <c r="F1200">
        <v>3</v>
      </c>
      <c r="G1200">
        <v>3</v>
      </c>
      <c r="H1200" s="1">
        <v>3.7384259259259259E-3</v>
      </c>
      <c r="I1200">
        <v>2020</v>
      </c>
      <c r="J1200" t="s">
        <v>83</v>
      </c>
      <c r="K1200" s="2" t="str">
        <f>HYPERLINK("https://www.nba.com/stats/events?CFID=&amp;CFPARAMS=&amp;GameEventID=392&amp;GameID=0022000142&amp;Season=2020-21&amp;flag=1&amp;title=Leonard%2026'%203PT%20%20(29%20PTS)%20(P.%20George%208%20AST)", "26' 3PT  (29 PTS) (P. George 8 AST)")</f>
        <v>26' 3PT  (29 PTS) (P. George 8 AST)</v>
      </c>
      <c r="L1200" s="2" t="str">
        <f>HYPERLINK("https://www.nba.com/game/...-vs-...-0022000142/play-by-play?watchFullGame=true", "LAC vs CHI - Q3 05:23.00")</f>
        <v>LAC vs CHI - Q3 05:23.00</v>
      </c>
      <c r="M1200">
        <v>26.54</v>
      </c>
      <c r="N1200">
        <v>66.180000000000007</v>
      </c>
      <c r="O1200">
        <v>49.09</v>
      </c>
      <c r="P1200">
        <v>-5</v>
      </c>
      <c r="Q1200">
        <v>265</v>
      </c>
      <c r="R1200">
        <v>66</v>
      </c>
      <c r="S1200">
        <v>49</v>
      </c>
    </row>
    <row r="1201" spans="1:21" hidden="1" x14ac:dyDescent="0.25">
      <c r="A1201">
        <v>22400983</v>
      </c>
      <c r="B1201" t="s">
        <v>26</v>
      </c>
      <c r="C1201" t="s">
        <v>19</v>
      </c>
      <c r="D1201">
        <v>49</v>
      </c>
      <c r="E1201">
        <v>24</v>
      </c>
      <c r="F1201">
        <v>25</v>
      </c>
      <c r="G1201">
        <v>2</v>
      </c>
      <c r="H1201" s="1">
        <v>5.0115740740740737E-3</v>
      </c>
      <c r="I1201">
        <v>2024</v>
      </c>
      <c r="J1201" t="s">
        <v>83</v>
      </c>
      <c r="K1201" s="2" t="str">
        <f>HYPERLINK("https://www.nba.com/stats/events?CFID=&amp;CFPARAMS=&amp;GameEventID=226&amp;GameID=0022400983&amp;Season=2024-25&amp;flag=1&amp;title=Leonard%2026'%203PT%20pullup%20(7%20PTS)", "26' 3PT pullup (7 PTS)")</f>
        <v>26' 3PT pullup (7 PTS)</v>
      </c>
      <c r="L1201" s="2" t="str">
        <f>HYPERLINK("https://www.nba.com/game/...-vs-...-0022400983/play-by-play?watchFullGame=true", "LAC vs WAS - Q2 07:13.00")</f>
        <v>LAC vs WAS - Q2 07:13.00</v>
      </c>
      <c r="M1201">
        <v>26.53</v>
      </c>
      <c r="N1201">
        <v>66.7</v>
      </c>
      <c r="O1201">
        <v>39.950000000000003</v>
      </c>
      <c r="P1201">
        <v>-50</v>
      </c>
      <c r="Q1201">
        <v>260</v>
      </c>
      <c r="R1201">
        <v>66</v>
      </c>
      <c r="S1201">
        <v>39</v>
      </c>
    </row>
    <row r="1202" spans="1:21" hidden="1" x14ac:dyDescent="0.25">
      <c r="A1202">
        <v>22000472</v>
      </c>
      <c r="B1202" t="s">
        <v>26</v>
      </c>
      <c r="C1202" t="s">
        <v>19</v>
      </c>
      <c r="D1202">
        <v>18</v>
      </c>
      <c r="E1202">
        <v>12</v>
      </c>
      <c r="F1202">
        <v>6</v>
      </c>
      <c r="G1202">
        <v>1</v>
      </c>
      <c r="H1202" s="1">
        <v>3.5879629629629629E-3</v>
      </c>
      <c r="I1202">
        <v>2020</v>
      </c>
      <c r="J1202" t="s">
        <v>83</v>
      </c>
      <c r="K1202" s="2" t="str">
        <f>HYPERLINK("https://www.nba.com/stats/events?CFID=&amp;CFPARAMS=&amp;GameEventID=76&amp;GameID=0022000472&amp;Season=2020-21&amp;flag=1&amp;title=Leonard%2026'%203PT%20running%20pullup%20(11%20PTS)", "26' 3PT running pullup (11 PTS)")</f>
        <v>26' 3PT running pullup (11 PTS)</v>
      </c>
      <c r="L1202" s="2" t="str">
        <f>HYPERLINK("https://www.nba.com/game/...-vs-...-0022000472/play-by-play?watchFullGame=true", "LAC vs BKN - Q1 05:10.00")</f>
        <v>LAC vs BKN - Q1 05:10.00</v>
      </c>
      <c r="M1202">
        <v>26.38</v>
      </c>
      <c r="N1202">
        <v>66.7</v>
      </c>
      <c r="O1202">
        <v>41.74</v>
      </c>
      <c r="P1202">
        <v>-41</v>
      </c>
      <c r="Q1202">
        <v>260</v>
      </c>
      <c r="R1202">
        <v>66</v>
      </c>
      <c r="S1202">
        <v>41</v>
      </c>
    </row>
    <row r="1203" spans="1:21" hidden="1" x14ac:dyDescent="0.25">
      <c r="A1203">
        <v>22000142</v>
      </c>
      <c r="B1203" t="s">
        <v>26</v>
      </c>
      <c r="C1203" t="s">
        <v>19</v>
      </c>
      <c r="D1203">
        <v>80</v>
      </c>
      <c r="E1203">
        <v>80</v>
      </c>
      <c r="F1203">
        <v>0</v>
      </c>
      <c r="G1203">
        <v>3</v>
      </c>
      <c r="H1203" s="1">
        <v>4.0509259259259257E-3</v>
      </c>
      <c r="I1203">
        <v>2020</v>
      </c>
      <c r="J1203" t="s">
        <v>83</v>
      </c>
      <c r="K1203" s="2" t="str">
        <f>HYPERLINK("https://www.nba.com/stats/events?CFID=&amp;CFPARAMS=&amp;GameEventID=385&amp;GameID=0022000142&amp;Season=2020-21&amp;flag=1&amp;title=Leonard%2026'%203PT%20%20(26%20PTS)%20(P.%20Beverley%205%20AST)", "26' 3PT  (26 PTS) (P. Beverley 5 AST)")</f>
        <v>26' 3PT  (26 PTS) (P. Beverley 5 AST)</v>
      </c>
      <c r="L1203" s="2" t="str">
        <f>HYPERLINK("https://www.nba.com/game/...-vs-...-0022000142/play-by-play?watchFullGame=true", "LAC vs CHI - Q3 05:50.00")</f>
        <v>LAC vs CHI - Q3 05:50.00</v>
      </c>
      <c r="M1203">
        <v>26.38</v>
      </c>
      <c r="N1203">
        <v>66.7</v>
      </c>
      <c r="O1203">
        <v>41.74</v>
      </c>
      <c r="P1203">
        <v>-41</v>
      </c>
      <c r="Q1203">
        <v>260</v>
      </c>
      <c r="R1203">
        <v>66</v>
      </c>
      <c r="S1203">
        <v>41</v>
      </c>
    </row>
    <row r="1204" spans="1:21" hidden="1" x14ac:dyDescent="0.25">
      <c r="A1204">
        <v>22000142</v>
      </c>
      <c r="B1204" t="s">
        <v>26</v>
      </c>
      <c r="C1204" t="s">
        <v>19</v>
      </c>
      <c r="D1204">
        <v>70</v>
      </c>
      <c r="E1204">
        <v>74</v>
      </c>
      <c r="F1204">
        <v>4</v>
      </c>
      <c r="G1204">
        <v>3</v>
      </c>
      <c r="H1204" s="1">
        <v>5.6018518518518518E-3</v>
      </c>
      <c r="I1204">
        <v>2020</v>
      </c>
      <c r="J1204" t="s">
        <v>83</v>
      </c>
      <c r="K1204" s="2" t="str">
        <f>HYPERLINK("https://www.nba.com/stats/events?CFID=&amp;CFPARAMS=&amp;GameEventID=365&amp;GameID=0022000142&amp;Season=2020-21&amp;flag=1&amp;title=Leonard%2026'%203PT%20%20(20%20PTS)%20(P.%20George%207%20AST)", "26' 3PT  (20 PTS) (P. George 7 AST)")</f>
        <v>26' 3PT  (20 PTS) (P. George 7 AST)</v>
      </c>
      <c r="L1204" s="2" t="str">
        <f>HYPERLINK("https://www.nba.com/game/...-vs-...-0022000142/play-by-play?watchFullGame=true", "LAC vs CHI - Q3 08:04.00")</f>
        <v>LAC vs CHI - Q3 08:04.00</v>
      </c>
      <c r="M1204">
        <v>26.37</v>
      </c>
      <c r="N1204">
        <v>66.569999999999993</v>
      </c>
      <c r="O1204">
        <v>56.44</v>
      </c>
      <c r="P1204">
        <v>32</v>
      </c>
      <c r="Q1204">
        <v>262</v>
      </c>
      <c r="R1204">
        <v>66</v>
      </c>
      <c r="S1204">
        <v>56</v>
      </c>
    </row>
    <row r="1205" spans="1:21" hidden="1" x14ac:dyDescent="0.25">
      <c r="A1205">
        <v>22200735</v>
      </c>
      <c r="B1205" t="s">
        <v>26</v>
      </c>
      <c r="C1205" t="s">
        <v>19</v>
      </c>
      <c r="D1205">
        <v>41</v>
      </c>
      <c r="E1205">
        <v>25</v>
      </c>
      <c r="F1205">
        <v>16</v>
      </c>
      <c r="G1205">
        <v>1</v>
      </c>
      <c r="H1205" s="1">
        <v>3.472222222222222E-6</v>
      </c>
      <c r="I1205">
        <v>2022</v>
      </c>
      <c r="J1205" t="s">
        <v>83</v>
      </c>
      <c r="K1205" s="2" t="str">
        <f>HYPERLINK("https://www.nba.com/stats/events?CFID=&amp;CFPARAMS=&amp;GameEventID=153&amp;GameID=0022200735&amp;Season=2022-23&amp;flag=1&amp;title=Leonard%2026'%203PT%20pullup%20(12%20PTS)", "26' 3PT pullup (12 PTS)")</f>
        <v>26' 3PT pullup (12 PTS)</v>
      </c>
      <c r="L1205" s="2" t="str">
        <f>HYPERLINK("https://www.nba.com/game/...-vs-...-0022200735/play-by-play?watchFullGame=true", "LAC vs SAS - Q1 00:00.30")</f>
        <v>LAC vs SAS - Q1 00:00.30</v>
      </c>
      <c r="M1205">
        <v>26.34</v>
      </c>
      <c r="N1205">
        <v>66.41</v>
      </c>
      <c r="O1205">
        <v>51.23</v>
      </c>
      <c r="P1205">
        <v>6</v>
      </c>
      <c r="Q1205">
        <v>263</v>
      </c>
      <c r="R1205">
        <v>66</v>
      </c>
      <c r="S1205">
        <v>51</v>
      </c>
    </row>
    <row r="1206" spans="1:21" hidden="1" x14ac:dyDescent="0.25">
      <c r="A1206">
        <v>22000756</v>
      </c>
      <c r="B1206" t="s">
        <v>26</v>
      </c>
      <c r="C1206" t="s">
        <v>19</v>
      </c>
      <c r="D1206">
        <v>13</v>
      </c>
      <c r="E1206">
        <v>2</v>
      </c>
      <c r="F1206">
        <v>11</v>
      </c>
      <c r="G1206">
        <v>1</v>
      </c>
      <c r="H1206" s="1">
        <v>6.1574074074074074E-3</v>
      </c>
      <c r="I1206">
        <v>2020</v>
      </c>
      <c r="J1206" t="s">
        <v>83</v>
      </c>
      <c r="K1206" s="2" t="str">
        <f>HYPERLINK("https://www.nba.com/stats/events?CFID=&amp;CFPARAMS=&amp;GameEventID=30&amp;GameID=0022000756&amp;Season=2020-21&amp;flag=1&amp;title=Leonard%2026'%203PT%20%20(3%20PTS)%20(P.%20George%202%20AST)", "26' 3PT  (3 PTS) (P. George 2 AST)")</f>
        <v>26' 3PT  (3 PTS) (P. George 2 AST)</v>
      </c>
      <c r="L1206" s="2" t="str">
        <f>HYPERLINK("https://www.nba.com/game/...-vs-...-0022000756/play-by-play?watchFullGame=true", "LAC vs LAL - Q1 08:52.00")</f>
        <v>LAC vs LAL - Q1 08:52.00</v>
      </c>
      <c r="M1206">
        <v>26.28</v>
      </c>
      <c r="N1206">
        <v>66.97</v>
      </c>
      <c r="O1206">
        <v>40.020000000000003</v>
      </c>
      <c r="P1206">
        <v>-50</v>
      </c>
      <c r="Q1206">
        <v>258</v>
      </c>
      <c r="R1206">
        <v>66</v>
      </c>
      <c r="S1206">
        <v>40</v>
      </c>
    </row>
    <row r="1207" spans="1:21" hidden="1" x14ac:dyDescent="0.25">
      <c r="A1207">
        <v>22300708</v>
      </c>
      <c r="B1207" t="s">
        <v>26</v>
      </c>
      <c r="C1207" t="s">
        <v>19</v>
      </c>
      <c r="D1207">
        <v>62</v>
      </c>
      <c r="E1207">
        <v>54</v>
      </c>
      <c r="F1207">
        <v>8</v>
      </c>
      <c r="G1207">
        <v>3</v>
      </c>
      <c r="H1207" s="1">
        <v>4.0277777777777777E-3</v>
      </c>
      <c r="I1207">
        <v>2023</v>
      </c>
      <c r="J1207" t="s">
        <v>83</v>
      </c>
      <c r="K1207" s="2" t="str">
        <f>HYPERLINK("https://www.nba.com/stats/events?CFID=&amp;CFPARAMS=&amp;GameEventID=330&amp;GameID=0022300708&amp;Season=2023-24&amp;flag=1&amp;title=Leonard%2026'%203PT%20step%20back%20(18%20PTS)", "26' 3PT step back (18 PTS)")</f>
        <v>26' 3PT step back (18 PTS)</v>
      </c>
      <c r="L1207" s="2" t="str">
        <f>HYPERLINK("https://www.nba.com/game/...-vs-...-0022300708/play-by-play?watchFullGame=true", "LAC vs MIA - Q3 05:48.00")</f>
        <v>LAC vs MIA - Q3 05:48.00</v>
      </c>
      <c r="M1207">
        <v>26.23</v>
      </c>
      <c r="N1207">
        <v>66.569999999999993</v>
      </c>
      <c r="O1207">
        <v>46.32</v>
      </c>
      <c r="P1207">
        <v>-18</v>
      </c>
      <c r="Q1207">
        <v>262</v>
      </c>
      <c r="R1207">
        <v>66</v>
      </c>
      <c r="S1207">
        <v>46</v>
      </c>
    </row>
    <row r="1208" spans="1:21" hidden="1" x14ac:dyDescent="0.25">
      <c r="A1208">
        <v>22000142</v>
      </c>
      <c r="B1208" t="s">
        <v>26</v>
      </c>
      <c r="C1208" t="s">
        <v>19</v>
      </c>
      <c r="D1208">
        <v>73</v>
      </c>
      <c r="E1208">
        <v>77</v>
      </c>
      <c r="F1208">
        <v>4</v>
      </c>
      <c r="G1208">
        <v>3</v>
      </c>
      <c r="H1208" s="1">
        <v>5.347222222222222E-3</v>
      </c>
      <c r="I1208">
        <v>2020</v>
      </c>
      <c r="J1208" t="s">
        <v>83</v>
      </c>
      <c r="K1208" s="2" t="str">
        <f>HYPERLINK("https://www.nba.com/stats/events?CFID=&amp;CFPARAMS=&amp;GameEventID=368&amp;GameID=0022000142&amp;Season=2020-21&amp;flag=1&amp;title=Leonard%2026'%203PT%20%20(23%20PTS)%20(P.%20Beverley%204%20AST)", "26' 3PT  (23 PTS) (P. Beverley 4 AST)")</f>
        <v>26' 3PT  (23 PTS) (P. Beverley 4 AST)</v>
      </c>
      <c r="L1208" s="2" t="str">
        <f>HYPERLINK("https://www.nba.com/game/...-vs-...-0022000142/play-by-play?watchFullGame=true", "LAC vs CHI - Q3 07:42.00")</f>
        <v>LAC vs CHI - Q3 07:42.00</v>
      </c>
      <c r="M1208">
        <v>26.1</v>
      </c>
      <c r="N1208">
        <v>66.84</v>
      </c>
      <c r="O1208">
        <v>43.94</v>
      </c>
      <c r="P1208">
        <v>-30</v>
      </c>
      <c r="Q1208">
        <v>259</v>
      </c>
      <c r="R1208">
        <v>66</v>
      </c>
      <c r="S1208">
        <v>43</v>
      </c>
    </row>
    <row r="1209" spans="1:21" hidden="1" x14ac:dyDescent="0.25">
      <c r="A1209">
        <v>22000554</v>
      </c>
      <c r="B1209" t="s">
        <v>26</v>
      </c>
      <c r="C1209" t="s">
        <v>19</v>
      </c>
      <c r="D1209">
        <v>115</v>
      </c>
      <c r="E1209">
        <v>116</v>
      </c>
      <c r="F1209">
        <v>1</v>
      </c>
      <c r="G1209">
        <v>4</v>
      </c>
      <c r="H1209" s="1">
        <v>1.8171296296296295E-4</v>
      </c>
      <c r="I1209">
        <v>2020</v>
      </c>
      <c r="J1209" t="s">
        <v>83</v>
      </c>
      <c r="K1209" s="2" t="str">
        <f>HYPERLINK("https://www.nba.com/stats/events?CFID=&amp;CFPARAMS=&amp;GameEventID=712&amp;GameID=0022000554&amp;Season=2020-21&amp;flag=1&amp;title=Leonard%2026'%203PT%20pullup%20(22%20PTS)", "26' 3PT pullup (22 PTS)")</f>
        <v>26' 3PT pullup (22 PTS)</v>
      </c>
      <c r="L1209" s="2" t="str">
        <f>HYPERLINK("https://www.nba.com/game/...-vs-...-0022000554/play-by-play?watchFullGame=true", "LAC vs WAS - Q4 00:15.70")</f>
        <v>LAC vs WAS - Q4 00:15.70</v>
      </c>
      <c r="M1209">
        <v>26.06</v>
      </c>
      <c r="N1209">
        <v>66.7</v>
      </c>
      <c r="O1209">
        <v>48.35</v>
      </c>
      <c r="P1209">
        <v>-8</v>
      </c>
      <c r="Q1209">
        <v>260</v>
      </c>
      <c r="R1209">
        <v>66</v>
      </c>
      <c r="S1209">
        <v>48</v>
      </c>
    </row>
    <row r="1210" spans="1:21" hidden="1" x14ac:dyDescent="0.25">
      <c r="A1210">
        <v>22300085</v>
      </c>
      <c r="B1210" t="s">
        <v>26</v>
      </c>
      <c r="C1210" t="s">
        <v>19</v>
      </c>
      <c r="D1210">
        <v>39</v>
      </c>
      <c r="E1210">
        <v>50</v>
      </c>
      <c r="F1210">
        <v>11</v>
      </c>
      <c r="G1210">
        <v>2</v>
      </c>
      <c r="H1210" s="1">
        <v>5.1504629629629626E-3</v>
      </c>
      <c r="I1210">
        <v>2023</v>
      </c>
      <c r="J1210" t="s">
        <v>83</v>
      </c>
      <c r="K1210" s="2" t="str">
        <f>HYPERLINK("https://www.nba.com/stats/events?CFID=&amp;CFPARAMS=&amp;GameEventID=210&amp;GameID=0022300085&amp;Season=2023-24&amp;flag=1&amp;title=Leonard%2025'%203PT%20%20(8%20PTS)%20(B.%20Hyland%201%20AST)", "25' 3PT  (8 PTS) (B. Hyland 1 AST)")</f>
        <v>25' 3PT  (8 PTS) (B. Hyland 1 AST)</v>
      </c>
      <c r="L1210" s="2" t="str">
        <f>HYPERLINK("https://www.nba.com/game/...-vs-...-0022300085/play-by-play?watchFullGame=true", "LAC vs UTA - Q2 07:25.00")</f>
        <v>LAC vs UTA - Q2 07:25.00</v>
      </c>
      <c r="M1210">
        <v>25.97</v>
      </c>
      <c r="N1210">
        <v>66.97</v>
      </c>
      <c r="O1210">
        <v>55.88</v>
      </c>
      <c r="P1210">
        <v>29</v>
      </c>
      <c r="Q1210">
        <v>258</v>
      </c>
      <c r="R1210">
        <v>66</v>
      </c>
      <c r="S1210">
        <v>55</v>
      </c>
    </row>
    <row r="1211" spans="1:21" hidden="1" x14ac:dyDescent="0.25">
      <c r="A1211">
        <v>42000173</v>
      </c>
      <c r="B1211" t="s">
        <v>26</v>
      </c>
      <c r="C1211" t="s">
        <v>19</v>
      </c>
      <c r="D1211">
        <v>20</v>
      </c>
      <c r="E1211">
        <v>30</v>
      </c>
      <c r="F1211">
        <v>10</v>
      </c>
      <c r="G1211">
        <v>1</v>
      </c>
      <c r="H1211" s="1">
        <v>1.9560185185185184E-3</v>
      </c>
      <c r="I1211" t="s">
        <v>91</v>
      </c>
      <c r="J1211" t="s">
        <v>83</v>
      </c>
      <c r="K1211" s="2" t="str">
        <f>HYPERLINK("https://www.nba.com/stats/events?CFID=&amp;CFPARAMS=&amp;GameEventID=103&amp;GameID=0042000173&amp;Season=2020-21&amp;flag=1&amp;title=Leonard%2025'%203PT%20pullup%20(7%20PTS)", "25' 3PT pullup (7 PTS)")</f>
        <v>25' 3PT pullup (7 PTS)</v>
      </c>
      <c r="L1211" s="2" t="str">
        <f>HYPERLINK("https://www.nba.com/game/...-vs-...-0042000173/play-by-play?watchFullGame=true", "LAC vs DAL - Q1 02:49.00")</f>
        <v>LAC vs DAL - Q1 02:49.00</v>
      </c>
      <c r="M1211">
        <v>25.93</v>
      </c>
      <c r="N1211">
        <v>66.84</v>
      </c>
      <c r="O1211">
        <v>51.29</v>
      </c>
      <c r="P1211">
        <v>66</v>
      </c>
      <c r="Q1211">
        <v>51</v>
      </c>
      <c r="R1211">
        <v>66</v>
      </c>
      <c r="S1211">
        <v>51</v>
      </c>
    </row>
    <row r="1212" spans="1:21" s="3" customFormat="1" hidden="1" x14ac:dyDescent="0.25">
      <c r="A1212">
        <v>22000799</v>
      </c>
      <c r="B1212" t="s">
        <v>26</v>
      </c>
      <c r="C1212" t="s">
        <v>19</v>
      </c>
      <c r="D1212">
        <v>36</v>
      </c>
      <c r="E1212">
        <v>41</v>
      </c>
      <c r="F1212">
        <v>5</v>
      </c>
      <c r="G1212">
        <v>2</v>
      </c>
      <c r="H1212" s="1">
        <v>5.2777777777777779E-3</v>
      </c>
      <c r="I1212">
        <v>2020</v>
      </c>
      <c r="J1212" t="s">
        <v>83</v>
      </c>
      <c r="K1212" s="2" t="str">
        <f>HYPERLINK("https://www.nba.com/stats/events?CFID=&amp;CFPARAMS=&amp;GameEventID=230&amp;GameID=0022000799&amp;Season=2020-21&amp;flag=1&amp;title=Leonard%2028'%203PT%20%20(7%20PTS)", "28' 3PT  (7 PTS)")</f>
        <v>28' 3PT  (7 PTS)</v>
      </c>
      <c r="L1212" s="2" t="str">
        <f>HYPERLINK("https://www.nba.com/game/...-vs-...-0022000799/play-by-play?watchFullGame=true", "LAC vs HOU - Q2 07:36.00")</f>
        <v>LAC vs HOU - Q2 07:36.00</v>
      </c>
      <c r="M1212">
        <v>28.91</v>
      </c>
      <c r="N1212">
        <v>67.89</v>
      </c>
      <c r="O1212">
        <v>79.239999999999995</v>
      </c>
      <c r="P1212">
        <v>146</v>
      </c>
      <c r="Q1212">
        <v>249</v>
      </c>
      <c r="R1212">
        <v>67</v>
      </c>
      <c r="S1212">
        <v>79</v>
      </c>
      <c r="T1212"/>
      <c r="U1212"/>
    </row>
    <row r="1213" spans="1:21" hidden="1" x14ac:dyDescent="0.25">
      <c r="A1213">
        <v>41900236</v>
      </c>
      <c r="B1213" t="s">
        <v>26</v>
      </c>
      <c r="C1213" t="s">
        <v>84</v>
      </c>
      <c r="D1213">
        <v>84</v>
      </c>
      <c r="E1213">
        <v>85</v>
      </c>
      <c r="F1213">
        <v>1</v>
      </c>
      <c r="G1213">
        <v>4</v>
      </c>
      <c r="H1213" s="1">
        <v>6.3541666666666668E-3</v>
      </c>
      <c r="I1213" t="s">
        <v>85</v>
      </c>
      <c r="J1213" t="s">
        <v>83</v>
      </c>
      <c r="K1213" s="2" t="str">
        <f>HYPERLINK("https://www.nba.com/stats/events?CFID=&amp;CFPARAMS=&amp;GameEventID=529&amp;GameID=0041900236&amp;Season=2019-20&amp;flag=1&amp;title=Leonard%2028'%203PT%20%20(19%20PTS)%20(J.%20Green%201%20AST)", "28' 3PT  (19 PTS) (J. Green 1 AST)")</f>
        <v>28' 3PT  (19 PTS) (J. Green 1 AST)</v>
      </c>
      <c r="L1213" s="2" t="str">
        <f>HYPERLINK("https://www.nba.com/game/...-vs-...-0041900236/play-by-play?watchFullGame=true", "LAC vs DEN - Q4 09:09.00")</f>
        <v>LAC vs DEN - Q4 09:09.00</v>
      </c>
      <c r="M1213">
        <v>27.78</v>
      </c>
      <c r="N1213">
        <v>67.36</v>
      </c>
      <c r="O1213">
        <v>69.680000000000007</v>
      </c>
      <c r="P1213">
        <v>98</v>
      </c>
      <c r="Q1213">
        <v>254</v>
      </c>
      <c r="R1213">
        <v>67</v>
      </c>
      <c r="S1213">
        <v>69</v>
      </c>
    </row>
    <row r="1214" spans="1:21" hidden="1" x14ac:dyDescent="0.25">
      <c r="A1214">
        <v>21900051</v>
      </c>
      <c r="B1214" t="s">
        <v>26</v>
      </c>
      <c r="C1214" t="s">
        <v>84</v>
      </c>
      <c r="D1214">
        <v>8</v>
      </c>
      <c r="E1214">
        <v>0</v>
      </c>
      <c r="F1214">
        <v>8</v>
      </c>
      <c r="G1214">
        <v>1</v>
      </c>
      <c r="H1214" s="1">
        <v>7.2800925925925923E-3</v>
      </c>
      <c r="I1214">
        <v>2019</v>
      </c>
      <c r="J1214" t="s">
        <v>83</v>
      </c>
      <c r="K1214" s="2" t="str">
        <f>HYPERLINK("https://www.nba.com/stats/events?CFID=&amp;CFPARAMS=&amp;GameEventID=24&amp;GameID=0021900051&amp;Season=2019-20&amp;flag=1&amp;title=[LAC]%20Leonard%203pt%20shot:%20Made%20(5%20PTS)%20assist:%20Zubac%20(1%20AST)", "[LAC] Leonard 3pt shot: Made (5 PTS) assist: Zubac (1 AST)")</f>
        <v>[LAC] Leonard 3pt shot: Made (5 PTS) assist: Zubac (1 AST)</v>
      </c>
      <c r="L1214" s="2" t="str">
        <f>HYPERLINK("https://www.nba.com/game/...-vs-...-0021900051/play-by-play?watchFullGame=true", "LAC vs CHA - Q1 10:29.00")</f>
        <v>LAC vs CHA - Q1 10:29.00</v>
      </c>
      <c r="M1214">
        <v>27.68</v>
      </c>
      <c r="N1214">
        <v>67.33</v>
      </c>
      <c r="O1214">
        <v>31.06</v>
      </c>
      <c r="P1214">
        <v>-95</v>
      </c>
      <c r="Q1214">
        <v>255</v>
      </c>
      <c r="R1214">
        <v>67</v>
      </c>
      <c r="S1214">
        <v>31</v>
      </c>
    </row>
    <row r="1215" spans="1:21" hidden="1" x14ac:dyDescent="0.25">
      <c r="A1215">
        <v>22000472</v>
      </c>
      <c r="B1215" t="s">
        <v>26</v>
      </c>
      <c r="C1215" t="s">
        <v>19</v>
      </c>
      <c r="D1215">
        <v>6</v>
      </c>
      <c r="E1215">
        <v>5</v>
      </c>
      <c r="F1215">
        <v>1</v>
      </c>
      <c r="G1215">
        <v>1</v>
      </c>
      <c r="H1215" s="1">
        <v>6.7129629629629631E-3</v>
      </c>
      <c r="I1215">
        <v>2020</v>
      </c>
      <c r="J1215" t="s">
        <v>83</v>
      </c>
      <c r="K1215" s="2" t="str">
        <f>HYPERLINK("https://www.nba.com/stats/events?CFID=&amp;CFPARAMS=&amp;GameEventID=26&amp;GameID=0022000472&amp;Season=2020-21&amp;flag=1&amp;title=Leonard%2027'%203PT%20%20(6%20PTS)%20(Ibaka%201%20AST)", "27' 3PT  (6 PTS) (S. Ibaka 1 AST)")</f>
        <v>27' 3PT  (6 PTS) (S. Ibaka 1 AST)</v>
      </c>
      <c r="L1215" s="2" t="str">
        <f>HYPERLINK("https://www.nba.com/game/...-vs-...-0022000472/play-by-play?watchFullGame=true", "LAC vs BKN - Q1 09:40.00")</f>
        <v>LAC vs BKN - Q1 09:40.00</v>
      </c>
      <c r="M1215">
        <v>27.44</v>
      </c>
      <c r="N1215">
        <v>67.23</v>
      </c>
      <c r="O1215">
        <v>29.97</v>
      </c>
      <c r="P1215">
        <v>-100</v>
      </c>
      <c r="Q1215">
        <v>256</v>
      </c>
      <c r="R1215">
        <v>67</v>
      </c>
      <c r="S1215">
        <v>29</v>
      </c>
    </row>
    <row r="1216" spans="1:21" s="3" customFormat="1" hidden="1" x14ac:dyDescent="0.25">
      <c r="A1216">
        <v>22300037</v>
      </c>
      <c r="B1216" t="s">
        <v>26</v>
      </c>
      <c r="C1216" t="s">
        <v>19</v>
      </c>
      <c r="D1216">
        <v>53</v>
      </c>
      <c r="E1216">
        <v>50</v>
      </c>
      <c r="F1216">
        <v>3</v>
      </c>
      <c r="G1216">
        <v>3</v>
      </c>
      <c r="H1216" s="1">
        <v>7.6967592592592591E-3</v>
      </c>
      <c r="I1216">
        <v>2023</v>
      </c>
      <c r="J1216" t="s">
        <v>83</v>
      </c>
      <c r="K1216" s="2" t="str">
        <f>HYPERLINK("https://www.nba.com/stats/events?CFID=&amp;CFPARAMS=&amp;GameEventID=366&amp;GameID=0022300037&amp;Season=2023-24&amp;flag=1&amp;title=Leonard%2027'%203PT%20%20(14%20PTS)%20(J.%20Harden%202%20AST)", "27' 3PT  (14 PTS) (J. Harden 2 AST)")</f>
        <v>27' 3PT  (14 PTS) (J. Harden 2 AST)</v>
      </c>
      <c r="L1216" s="2" t="str">
        <f>HYPERLINK("https://www.nba.com/game/...-vs-...-0022300037/play-by-play?watchFullGame=true", "LAC vs HOU - Q3 11:05.00")</f>
        <v>LAC vs HOU - Q3 11:05.00</v>
      </c>
      <c r="M1216">
        <v>27.44</v>
      </c>
      <c r="N1216">
        <v>67.2</v>
      </c>
      <c r="O1216">
        <v>69.849999999999994</v>
      </c>
      <c r="P1216">
        <v>99</v>
      </c>
      <c r="Q1216">
        <v>256</v>
      </c>
      <c r="R1216">
        <v>67</v>
      </c>
      <c r="S1216">
        <v>69</v>
      </c>
      <c r="T1216"/>
      <c r="U1216"/>
    </row>
    <row r="1217" spans="1:21" hidden="1" x14ac:dyDescent="0.25">
      <c r="A1217">
        <v>22301225</v>
      </c>
      <c r="B1217" t="s">
        <v>26</v>
      </c>
      <c r="C1217" t="s">
        <v>19</v>
      </c>
      <c r="D1217">
        <v>56</v>
      </c>
      <c r="E1217">
        <v>45</v>
      </c>
      <c r="F1217">
        <v>11</v>
      </c>
      <c r="G1217">
        <v>2</v>
      </c>
      <c r="H1217" s="1">
        <v>3.3449074074074072E-4</v>
      </c>
      <c r="I1217">
        <v>2023</v>
      </c>
      <c r="J1217" t="s">
        <v>83</v>
      </c>
      <c r="K1217" s="2" t="str">
        <f>HYPERLINK("https://www.nba.com/stats/events?CFID=&amp;CFPARAMS=&amp;GameEventID=323&amp;GameID=0022301225&amp;Season=2023-24&amp;flag=1&amp;title=Leonard%2027'%203PT%20%20(22%20PTS)%20(J.%20Harden%204%20AST)", "27' 3PT  (22 PTS) (J. Harden 4 AST)")</f>
        <v>27' 3PT  (22 PTS) (J. Harden 4 AST)</v>
      </c>
      <c r="L1217" s="2" t="str">
        <f>HYPERLINK("https://www.nba.com/game/...-vs-...-0022301225/play-by-play?watchFullGame=true", "LAC vs UTA - Q2 00:28.90")</f>
        <v>LAC vs UTA - Q2 00:28.90</v>
      </c>
      <c r="M1217">
        <v>27.07</v>
      </c>
      <c r="N1217">
        <v>67.62</v>
      </c>
      <c r="O1217">
        <v>69.849999999999994</v>
      </c>
      <c r="P1217">
        <v>99</v>
      </c>
      <c r="Q1217">
        <v>252</v>
      </c>
      <c r="R1217">
        <v>67</v>
      </c>
      <c r="S1217">
        <v>69</v>
      </c>
    </row>
    <row r="1218" spans="1:21" hidden="1" x14ac:dyDescent="0.25">
      <c r="A1218">
        <v>22300458</v>
      </c>
      <c r="B1218" t="s">
        <v>26</v>
      </c>
      <c r="C1218" t="s">
        <v>19</v>
      </c>
      <c r="D1218">
        <v>38</v>
      </c>
      <c r="E1218">
        <v>46</v>
      </c>
      <c r="F1218">
        <v>8</v>
      </c>
      <c r="G1218">
        <v>2</v>
      </c>
      <c r="H1218" s="1">
        <v>4.6527777777777774E-3</v>
      </c>
      <c r="I1218">
        <v>2023</v>
      </c>
      <c r="J1218" t="s">
        <v>83</v>
      </c>
      <c r="K1218" s="2" t="str">
        <f>HYPERLINK("https://www.nba.com/stats/events?CFID=&amp;CFPARAMS=&amp;GameEventID=205&amp;GameID=0022300458&amp;Season=2023-24&amp;flag=1&amp;title=Leonard%2027'%203PT%20%20(5%20PTS)%20(J.%20Harden%204%20AST)", "27' 3PT  (5 PTS) (J. Harden 4 AST)")</f>
        <v>27' 3PT  (5 PTS) (J. Harden 4 AST)</v>
      </c>
      <c r="L1218" s="2" t="str">
        <f>HYPERLINK("https://www.nba.com/game/...-vs-...-0022300458/play-by-play?watchFullGame=true", "LAC vs MIA - Q2 06:42.00")</f>
        <v>LAC vs MIA - Q2 06:42.00</v>
      </c>
      <c r="M1218">
        <v>27.01</v>
      </c>
      <c r="N1218">
        <v>67.849999999999994</v>
      </c>
      <c r="O1218">
        <v>70.59</v>
      </c>
      <c r="P1218">
        <v>103</v>
      </c>
      <c r="Q1218">
        <v>250</v>
      </c>
      <c r="R1218">
        <v>67</v>
      </c>
      <c r="S1218">
        <v>70</v>
      </c>
    </row>
    <row r="1219" spans="1:21" hidden="1" x14ac:dyDescent="0.25">
      <c r="A1219">
        <v>42000223</v>
      </c>
      <c r="B1219" t="s">
        <v>26</v>
      </c>
      <c r="C1219" t="s">
        <v>19</v>
      </c>
      <c r="D1219">
        <v>113</v>
      </c>
      <c r="E1219">
        <v>95</v>
      </c>
      <c r="F1219">
        <v>18</v>
      </c>
      <c r="G1219">
        <v>4</v>
      </c>
      <c r="H1219" s="1">
        <v>4.1666666666666666E-3</v>
      </c>
      <c r="I1219" t="s">
        <v>94</v>
      </c>
      <c r="J1219" t="s">
        <v>83</v>
      </c>
      <c r="K1219" s="2" t="str">
        <f>HYPERLINK("https://www.nba.com/stats/events?CFID=&amp;CFPARAMS=&amp;GameEventID=532&amp;GameID=0042000223&amp;Season=2020-21&amp;flag=1&amp;title=Leonard%2026'%203PT%20pullup%20(30%20PTS)", "26' 3PT pullup (30 PTS)")</f>
        <v>26' 3PT pullup (30 PTS)</v>
      </c>
      <c r="L1219" s="2" t="str">
        <f>HYPERLINK("https://www.nba.com/game/...-vs-...-0042000223/play-by-play?watchFullGame=true", "LAC vs UTA - Q4 06:00.00")</f>
        <v>LAC vs UTA - Q4 06:00.00</v>
      </c>
      <c r="M1219">
        <v>26.95</v>
      </c>
      <c r="N1219">
        <v>67.72</v>
      </c>
      <c r="O1219">
        <v>30.32</v>
      </c>
      <c r="P1219">
        <v>67</v>
      </c>
      <c r="Q1219">
        <v>30</v>
      </c>
      <c r="R1219">
        <v>67</v>
      </c>
      <c r="S1219">
        <v>30</v>
      </c>
    </row>
    <row r="1220" spans="1:21" hidden="1" x14ac:dyDescent="0.25">
      <c r="A1220">
        <v>22400911</v>
      </c>
      <c r="B1220" t="s">
        <v>26</v>
      </c>
      <c r="C1220" t="s">
        <v>19</v>
      </c>
      <c r="D1220">
        <v>42</v>
      </c>
      <c r="E1220">
        <v>45</v>
      </c>
      <c r="F1220">
        <v>3</v>
      </c>
      <c r="G1220">
        <v>2</v>
      </c>
      <c r="H1220" s="1">
        <v>3.7499999999999999E-3</v>
      </c>
      <c r="I1220">
        <v>2024</v>
      </c>
      <c r="J1220" t="s">
        <v>83</v>
      </c>
      <c r="K1220" s="2" t="str">
        <f>HYPERLINK("https://www.nba.com/stats/events?CFID=&amp;CFPARAMS=&amp;GameEventID=226&amp;GameID=0022400911&amp;Season=2024-25&amp;flag=1&amp;title=Leonard%2026'%203PT%20running%20(5%20PTS)%20(J.%20Harden%205%20AST)", "26' 3PT running (5 PTS) (J. Harden 5 AST)")</f>
        <v>26' 3PT running (5 PTS) (J. Harden 5 AST)</v>
      </c>
      <c r="L1220" s="2" t="str">
        <f>HYPERLINK("https://www.nba.com/game/...-vs-...-0022400911/play-by-play?watchFullGame=true", "LAC vs NYK - Q2 05:24.00")</f>
        <v>LAC vs NYK - Q2 05:24.00</v>
      </c>
      <c r="M1220">
        <v>26.76</v>
      </c>
      <c r="N1220">
        <v>67.23</v>
      </c>
      <c r="O1220">
        <v>65.930000000000007</v>
      </c>
      <c r="P1220">
        <v>80</v>
      </c>
      <c r="Q1220">
        <v>256</v>
      </c>
      <c r="R1220">
        <v>67</v>
      </c>
      <c r="S1220">
        <v>65</v>
      </c>
    </row>
    <row r="1221" spans="1:21" hidden="1" x14ac:dyDescent="0.25">
      <c r="A1221">
        <v>22300749</v>
      </c>
      <c r="B1221" t="s">
        <v>26</v>
      </c>
      <c r="C1221" t="s">
        <v>19</v>
      </c>
      <c r="D1221">
        <v>31</v>
      </c>
      <c r="E1221">
        <v>27</v>
      </c>
      <c r="F1221">
        <v>4</v>
      </c>
      <c r="G1221">
        <v>1</v>
      </c>
      <c r="H1221" s="1">
        <v>3.6805555555555555E-4</v>
      </c>
      <c r="I1221">
        <v>2023</v>
      </c>
      <c r="J1221" t="s">
        <v>83</v>
      </c>
      <c r="K1221" s="2" t="str">
        <f>HYPERLINK("https://www.nba.com/stats/events?CFID=&amp;CFPARAMS=&amp;GameEventID=148&amp;GameID=0022300749&amp;Season=2023-24&amp;flag=1&amp;title=Leonard%2026'%203PT%20running%20pullup%20(11%20PTS)", "26' 3PT running pullup (11 PTS)")</f>
        <v>26' 3PT running pullup (11 PTS)</v>
      </c>
      <c r="L1221" s="2" t="str">
        <f>HYPERLINK("https://www.nba.com/game/...-vs-...-0022300749/play-by-play?watchFullGame=true", "LAC vs DET - Q1 00:31.80")</f>
        <v>LAC vs DET - Q1 00:31.80</v>
      </c>
      <c r="M1221">
        <v>26.67</v>
      </c>
      <c r="N1221">
        <v>67.89</v>
      </c>
      <c r="O1221">
        <v>68.87</v>
      </c>
      <c r="P1221">
        <v>94</v>
      </c>
      <c r="Q1221">
        <v>249</v>
      </c>
      <c r="R1221">
        <v>67</v>
      </c>
      <c r="S1221">
        <v>68</v>
      </c>
    </row>
    <row r="1222" spans="1:21" hidden="1" x14ac:dyDescent="0.25">
      <c r="A1222">
        <v>21900603</v>
      </c>
      <c r="B1222" t="s">
        <v>26</v>
      </c>
      <c r="C1222" t="s">
        <v>84</v>
      </c>
      <c r="D1222">
        <v>103</v>
      </c>
      <c r="E1222">
        <v>71</v>
      </c>
      <c r="F1222">
        <v>32</v>
      </c>
      <c r="G1222">
        <v>3</v>
      </c>
      <c r="H1222" s="1">
        <v>3.8425925925925927E-4</v>
      </c>
      <c r="I1222">
        <v>2019</v>
      </c>
      <c r="J1222" t="s">
        <v>83</v>
      </c>
      <c r="K1222" s="2" t="str">
        <f>HYPERLINK("https://www.nba.com/stats/events?CFID=&amp;CFPARAMS=&amp;GameEventID=456&amp;GameID=0021900603&amp;Season=2019-20&amp;flag=1&amp;title=Leonard%2027'%203PT%20%20(43%20PTS)", "27' 3PT  (43 PTS)")</f>
        <v>27' 3PT  (43 PTS)</v>
      </c>
      <c r="L1222" s="2" t="str">
        <f>HYPERLINK("https://www.nba.com/game/...-vs-...-0021900603/play-by-play?watchFullGame=true", "LAC vs CLE - Q3 00:33.20")</f>
        <v>LAC vs CLE - Q3 00:33.20</v>
      </c>
      <c r="M1222">
        <v>26.57</v>
      </c>
      <c r="N1222">
        <v>67.72</v>
      </c>
      <c r="O1222">
        <v>63.9</v>
      </c>
      <c r="P1222">
        <v>70</v>
      </c>
      <c r="Q1222">
        <v>251</v>
      </c>
      <c r="R1222">
        <v>67</v>
      </c>
      <c r="S1222">
        <v>63</v>
      </c>
    </row>
    <row r="1223" spans="1:21" hidden="1" x14ac:dyDescent="0.25">
      <c r="A1223">
        <v>21901232</v>
      </c>
      <c r="B1223" t="s">
        <v>26</v>
      </c>
      <c r="C1223" t="s">
        <v>84</v>
      </c>
      <c r="D1223">
        <v>90</v>
      </c>
      <c r="E1223">
        <v>96</v>
      </c>
      <c r="F1223">
        <v>6</v>
      </c>
      <c r="G1223">
        <v>4</v>
      </c>
      <c r="H1223" s="1">
        <v>2.8472222222222223E-3</v>
      </c>
      <c r="I1223">
        <v>2019</v>
      </c>
      <c r="J1223" t="s">
        <v>83</v>
      </c>
      <c r="K1223" s="2" t="str">
        <f>HYPERLINK("https://www.nba.com/stats/events?CFID=&amp;CFPARAMS=&amp;GameEventID=659&amp;GameID=0021901232&amp;Season=2019-20&amp;flag=1&amp;title=Leonard%2026'%203PT%20%20(25%20PTS)", "26' 3PT  (25 PTS)")</f>
        <v>26' 3PT  (25 PTS)</v>
      </c>
      <c r="L1223" s="2" t="str">
        <f>HYPERLINK("https://www.nba.com/game/...-vs-...-0021901232/play-by-play?watchFullGame=true", "LAC vs LAL - Q4 04:06.00")</f>
        <v>LAC vs LAL - Q4 04:06.00</v>
      </c>
      <c r="M1223">
        <v>26.36</v>
      </c>
      <c r="N1223">
        <v>67.489999999999995</v>
      </c>
      <c r="O1223">
        <v>39.770000000000003</v>
      </c>
      <c r="P1223">
        <v>-51</v>
      </c>
      <c r="Q1223">
        <v>253</v>
      </c>
      <c r="R1223">
        <v>67</v>
      </c>
      <c r="S1223">
        <v>39</v>
      </c>
    </row>
    <row r="1224" spans="1:21" s="3" customFormat="1" hidden="1" x14ac:dyDescent="0.25">
      <c r="A1224">
        <v>22400783</v>
      </c>
      <c r="B1224" t="s">
        <v>26</v>
      </c>
      <c r="C1224" t="s">
        <v>19</v>
      </c>
      <c r="D1224">
        <v>88</v>
      </c>
      <c r="E1224">
        <v>70</v>
      </c>
      <c r="F1224">
        <v>18</v>
      </c>
      <c r="G1224">
        <v>3</v>
      </c>
      <c r="H1224" s="1">
        <v>4.9421296296296297E-3</v>
      </c>
      <c r="I1224">
        <v>2024</v>
      </c>
      <c r="J1224" t="s">
        <v>83</v>
      </c>
      <c r="K1224" s="2" t="str">
        <f>HYPERLINK("https://www.nba.com/stats/events?CFID=&amp;CFPARAMS=&amp;GameEventID=402&amp;GameID=0022400783&amp;Season=2024-25&amp;flag=1&amp;title=Leonard%2026'%203PT%20pullup%20(21%20PTS)", "26' 3PT pullup (21 PTS)")</f>
        <v>26' 3PT pullup (21 PTS)</v>
      </c>
      <c r="L1224" s="2" t="str">
        <f>HYPERLINK("https://www.nba.com/game/...-vs-...-0022400783/play-by-play?watchFullGame=true", "LAC vs MEM - Q3 07:07.00")</f>
        <v>LAC vs MEM - Q3 07:07.00</v>
      </c>
      <c r="M1224">
        <v>26.27</v>
      </c>
      <c r="N1224">
        <v>67.150000000000006</v>
      </c>
      <c r="O1224">
        <v>38.46</v>
      </c>
      <c r="P1224">
        <v>-58</v>
      </c>
      <c r="Q1224">
        <v>256</v>
      </c>
      <c r="R1224">
        <v>67</v>
      </c>
      <c r="S1224">
        <v>38</v>
      </c>
      <c r="T1224"/>
      <c r="U1224"/>
    </row>
    <row r="1225" spans="1:21" hidden="1" x14ac:dyDescent="0.25">
      <c r="A1225">
        <v>21901258</v>
      </c>
      <c r="B1225" t="s">
        <v>26</v>
      </c>
      <c r="C1225" t="s">
        <v>84</v>
      </c>
      <c r="D1225">
        <v>87</v>
      </c>
      <c r="E1225">
        <v>88</v>
      </c>
      <c r="F1225">
        <v>1</v>
      </c>
      <c r="G1225">
        <v>3</v>
      </c>
      <c r="H1225" s="1">
        <v>1.8634259259259259E-3</v>
      </c>
      <c r="I1225">
        <v>2019</v>
      </c>
      <c r="J1225" t="s">
        <v>83</v>
      </c>
      <c r="K1225" s="2" t="str">
        <f>HYPERLINK("https://www.nba.com/stats/events?CFID=&amp;CFPARAMS=&amp;GameEventID=421&amp;GameID=0021901258&amp;Season=2019-20&amp;flag=1&amp;title=Leonard%2026'%203PT%20%20(19%20PTS)%20(L.%20Williams%204%20AST)", "26' 3PT  (19 PTS) (L. Williams 4 AST)")</f>
        <v>26' 3PT  (19 PTS) (L. Williams 4 AST)</v>
      </c>
      <c r="L1225" s="2" t="str">
        <f>HYPERLINK("https://www.nba.com/game/...-vs-...-0021901258/play-by-play?watchFullGame=true", "LAC vs PHX - Q3 02:41.00")</f>
        <v>LAC vs PHX - Q3 02:41.00</v>
      </c>
      <c r="M1225">
        <v>26.15</v>
      </c>
      <c r="N1225">
        <v>67.23</v>
      </c>
      <c r="O1225">
        <v>46.64</v>
      </c>
      <c r="P1225">
        <v>-17</v>
      </c>
      <c r="Q1225">
        <v>256</v>
      </c>
      <c r="R1225">
        <v>67</v>
      </c>
      <c r="S1225">
        <v>46</v>
      </c>
    </row>
    <row r="1226" spans="1:21" hidden="1" x14ac:dyDescent="0.25">
      <c r="A1226">
        <v>21900239</v>
      </c>
      <c r="B1226" t="s">
        <v>26</v>
      </c>
      <c r="C1226" t="s">
        <v>84</v>
      </c>
      <c r="D1226">
        <v>9</v>
      </c>
      <c r="E1226">
        <v>10</v>
      </c>
      <c r="F1226">
        <v>1</v>
      </c>
      <c r="G1226">
        <v>1</v>
      </c>
      <c r="H1226" s="1">
        <v>6.0069444444444441E-3</v>
      </c>
      <c r="I1226">
        <v>2019</v>
      </c>
      <c r="J1226" t="s">
        <v>83</v>
      </c>
      <c r="K1226" s="2" t="str">
        <f>HYPERLINK("https://www.nba.com/stats/events?CFID=&amp;CFPARAMS=&amp;GameEventID=37&amp;GameID=0021900239&amp;Season=2019-20&amp;flag=1&amp;title=Leonard%2026'%203PT%20%20(5%20PTS)%20(P.%20Beverley%201%20AST)", "26' 3PT  (5 PTS) (P. Beverley 1 AST)")</f>
        <v>26' 3PT  (5 PTS) (P. Beverley 1 AST)</v>
      </c>
      <c r="L1226" s="2" t="str">
        <f>HYPERLINK("https://www.nba.com/game/...-vs-...-0021900239/play-by-play?watchFullGame=true", "LAC vs NOP - Q1 08:39.00")</f>
        <v>LAC vs NOP - Q1 08:39.00</v>
      </c>
      <c r="M1226">
        <v>26.02</v>
      </c>
      <c r="N1226">
        <v>67.33</v>
      </c>
      <c r="O1226">
        <v>48.71</v>
      </c>
      <c r="P1226">
        <v>-6</v>
      </c>
      <c r="Q1226">
        <v>255</v>
      </c>
      <c r="R1226">
        <v>67</v>
      </c>
      <c r="S1226">
        <v>48</v>
      </c>
    </row>
    <row r="1227" spans="1:21" hidden="1" x14ac:dyDescent="0.25">
      <c r="A1227">
        <v>22000105</v>
      </c>
      <c r="B1227" t="s">
        <v>26</v>
      </c>
      <c r="C1227" t="s">
        <v>19</v>
      </c>
      <c r="D1227">
        <v>53</v>
      </c>
      <c r="E1227">
        <v>67</v>
      </c>
      <c r="F1227">
        <v>14</v>
      </c>
      <c r="G1227">
        <v>3</v>
      </c>
      <c r="H1227" s="1">
        <v>6.4583333333333333E-3</v>
      </c>
      <c r="I1227">
        <v>2020</v>
      </c>
      <c r="J1227" t="s">
        <v>83</v>
      </c>
      <c r="K1227" s="2" t="str">
        <f>HYPERLINK("https://www.nba.com/stats/events?CFID=&amp;CFPARAMS=&amp;GameEventID=347&amp;GameID=0022000105&amp;Season=2020-21&amp;flag=1&amp;title=Leonard%2025'%203PT%20step%20back%20(22%20PTS)", "25' 3PT step back (22 PTS)")</f>
        <v>25' 3PT step back (22 PTS)</v>
      </c>
      <c r="L1227" s="2" t="str">
        <f>HYPERLINK("https://www.nba.com/game/...-vs-...-0022000105/play-by-play?watchFullGame=true", "LAC vs SAS - Q3 09:18.00")</f>
        <v>LAC vs SAS - Q3 09:18.00</v>
      </c>
      <c r="M1227">
        <v>25.97</v>
      </c>
      <c r="N1227">
        <v>67.62</v>
      </c>
      <c r="O1227">
        <v>37.32</v>
      </c>
      <c r="P1227">
        <v>-63</v>
      </c>
      <c r="Q1227">
        <v>252</v>
      </c>
      <c r="R1227">
        <v>67</v>
      </c>
      <c r="S1227">
        <v>37</v>
      </c>
    </row>
    <row r="1228" spans="1:21" hidden="1" x14ac:dyDescent="0.25">
      <c r="A1228">
        <v>22300264</v>
      </c>
      <c r="B1228" t="s">
        <v>26</v>
      </c>
      <c r="C1228" t="s">
        <v>19</v>
      </c>
      <c r="D1228">
        <v>116</v>
      </c>
      <c r="E1228">
        <v>100</v>
      </c>
      <c r="F1228">
        <v>16</v>
      </c>
      <c r="G1228">
        <v>4</v>
      </c>
      <c r="H1228" s="1">
        <v>4.2824074074074075E-3</v>
      </c>
      <c r="I1228">
        <v>2023</v>
      </c>
      <c r="J1228" t="s">
        <v>83</v>
      </c>
      <c r="K1228" s="2" t="str">
        <f>HYPERLINK("https://www.nba.com/stats/events?CFID=&amp;CFPARAMS=&amp;GameEventID=594&amp;GameID=0022300264&amp;Season=2023-24&amp;flag=1&amp;title=Leonard%2025'%203PT%20%20(30%20PTS)%20(I.%20Zubac%201%20AST)", "25' 3PT  (30 PTS) (I. Zubac 1 AST)")</f>
        <v>25' 3PT  (30 PTS) (I. Zubac 1 AST)</v>
      </c>
      <c r="L1228" s="2" t="str">
        <f>HYPERLINK("https://www.nba.com/game/...-vs-...-0022300264/play-by-play?watchFullGame=true", "LAC vs SAC - Q4 06:10.00")</f>
        <v>LAC vs SAC - Q4 06:10.00</v>
      </c>
      <c r="M1228">
        <v>25.83</v>
      </c>
      <c r="N1228">
        <v>67.36</v>
      </c>
      <c r="O1228">
        <v>40.93</v>
      </c>
      <c r="P1228">
        <v>-45</v>
      </c>
      <c r="Q1228">
        <v>254</v>
      </c>
      <c r="R1228">
        <v>67</v>
      </c>
      <c r="S1228">
        <v>40</v>
      </c>
    </row>
    <row r="1229" spans="1:21" hidden="1" x14ac:dyDescent="0.25">
      <c r="A1229">
        <v>21900618</v>
      </c>
      <c r="B1229" t="s">
        <v>26</v>
      </c>
      <c r="C1229" t="s">
        <v>84</v>
      </c>
      <c r="D1229">
        <v>67</v>
      </c>
      <c r="E1229">
        <v>44</v>
      </c>
      <c r="F1229">
        <v>23</v>
      </c>
      <c r="G1229">
        <v>2</v>
      </c>
      <c r="H1229" s="1">
        <v>1.3310185185185185E-3</v>
      </c>
      <c r="I1229">
        <v>2019</v>
      </c>
      <c r="J1229" t="s">
        <v>83</v>
      </c>
      <c r="K1229" s="2" t="str">
        <f>HYPERLINK("https://www.nba.com/stats/events?CFID=&amp;CFPARAMS=&amp;GameEventID=283&amp;GameID=0021900618&amp;Season=2019-20&amp;flag=1&amp;title=Leonard%2026'%203PT%20%20(22%20PTS)%20(P.%20Beverley%207%20AST)", "26' 3PT  (22 PTS) (P. Beverley 7 AST)")</f>
        <v>26' 3PT  (22 PTS) (P. Beverley 7 AST)</v>
      </c>
      <c r="L1229" s="2" t="str">
        <f>HYPERLINK("https://www.nba.com/game/...-vs-...-0021900618/play-by-play?watchFullGame=true", "LAC vs ORL - Q2 01:55.00")</f>
        <v>LAC vs ORL - Q2 01:55.00</v>
      </c>
      <c r="M1229">
        <v>25.82</v>
      </c>
      <c r="N1229">
        <v>67.72</v>
      </c>
      <c r="O1229">
        <v>56.06</v>
      </c>
      <c r="P1229">
        <v>30</v>
      </c>
      <c r="Q1229">
        <v>251</v>
      </c>
      <c r="R1229">
        <v>67</v>
      </c>
      <c r="S1229">
        <v>56</v>
      </c>
    </row>
    <row r="1230" spans="1:21" hidden="1" x14ac:dyDescent="0.25">
      <c r="A1230">
        <v>21900618</v>
      </c>
      <c r="B1230" t="s">
        <v>26</v>
      </c>
      <c r="C1230" t="s">
        <v>84</v>
      </c>
      <c r="D1230">
        <v>57</v>
      </c>
      <c r="E1230">
        <v>36</v>
      </c>
      <c r="F1230">
        <v>21</v>
      </c>
      <c r="G1230">
        <v>2</v>
      </c>
      <c r="H1230" s="1">
        <v>3.3449074074074076E-3</v>
      </c>
      <c r="I1230">
        <v>2019</v>
      </c>
      <c r="J1230" t="s">
        <v>83</v>
      </c>
      <c r="K1230" s="2" t="str">
        <f>HYPERLINK("https://www.nba.com/stats/events?CFID=&amp;CFPARAMS=&amp;GameEventID=239&amp;GameID=0021900618&amp;Season=2019-20&amp;flag=1&amp;title=Leonard%2026'%203PT%20%20(17%20PTS)%20(M.%20Harrell%201%20AST)", "26' 3PT  (17 PTS) (M. Harrell 1 AST)")</f>
        <v>26' 3PT  (17 PTS) (M. Harrell 1 AST)</v>
      </c>
      <c r="L1230" s="2" t="str">
        <f>HYPERLINK("https://www.nba.com/game/...-vs-...-0021900618/play-by-play?watchFullGame=true", "LAC vs ORL - Q2 04:49.00")</f>
        <v>LAC vs ORL - Q2 04:49.00</v>
      </c>
      <c r="M1230">
        <v>25.8</v>
      </c>
      <c r="N1230">
        <v>67.59</v>
      </c>
      <c r="O1230">
        <v>46.99</v>
      </c>
      <c r="P1230">
        <v>-15</v>
      </c>
      <c r="Q1230">
        <v>252</v>
      </c>
      <c r="R1230">
        <v>67</v>
      </c>
      <c r="S1230">
        <v>46</v>
      </c>
    </row>
    <row r="1231" spans="1:21" hidden="1" x14ac:dyDescent="0.25">
      <c r="A1231">
        <v>22201215</v>
      </c>
      <c r="B1231" t="s">
        <v>26</v>
      </c>
      <c r="C1231" t="s">
        <v>19</v>
      </c>
      <c r="D1231">
        <v>62</v>
      </c>
      <c r="E1231">
        <v>69</v>
      </c>
      <c r="F1231">
        <v>7</v>
      </c>
      <c r="G1231">
        <v>2</v>
      </c>
      <c r="H1231" s="1">
        <v>9.4907407407407408E-4</v>
      </c>
      <c r="I1231">
        <v>2022</v>
      </c>
      <c r="J1231" t="s">
        <v>83</v>
      </c>
      <c r="K1231" s="2" t="str">
        <f>HYPERLINK("https://www.nba.com/stats/events?CFID=&amp;CFPARAMS=&amp;GameEventID=312&amp;GameID=0022201215&amp;Season=2022-23&amp;flag=1&amp;title=Leonard%2025'%203PT%20pullup%20(12%20PTS)", "25' 3PT pullup (12 PTS)")</f>
        <v>25' 3PT pullup (12 PTS)</v>
      </c>
      <c r="L1231" s="2" t="str">
        <f>HYPERLINK("https://www.nba.com/game/...-vs-...-0022201215/play-by-play?watchFullGame=true", "LAC vs POR - Q2 01:22.00")</f>
        <v>LAC vs POR - Q2 01:22.00</v>
      </c>
      <c r="M1231">
        <v>25.77</v>
      </c>
      <c r="N1231">
        <v>67.069999999999993</v>
      </c>
      <c r="O1231">
        <v>53.43</v>
      </c>
      <c r="P1231">
        <v>17</v>
      </c>
      <c r="Q1231">
        <v>257</v>
      </c>
      <c r="R1231">
        <v>67</v>
      </c>
      <c r="S1231">
        <v>53</v>
      </c>
    </row>
    <row r="1232" spans="1:21" hidden="1" x14ac:dyDescent="0.25">
      <c r="A1232">
        <v>22400793</v>
      </c>
      <c r="B1232" t="s">
        <v>26</v>
      </c>
      <c r="C1232" t="s">
        <v>19</v>
      </c>
      <c r="D1232">
        <v>68</v>
      </c>
      <c r="E1232">
        <v>67</v>
      </c>
      <c r="F1232">
        <v>1</v>
      </c>
      <c r="G1232">
        <v>3</v>
      </c>
      <c r="H1232" s="1">
        <v>4.9884259259259257E-3</v>
      </c>
      <c r="I1232">
        <v>2024</v>
      </c>
      <c r="J1232" t="s">
        <v>83</v>
      </c>
      <c r="K1232" s="2" t="str">
        <f>HYPERLINK("https://www.nba.com/stats/events?CFID=&amp;CFPARAMS=&amp;GameEventID=363&amp;GameID=0022400793&amp;Season=2024-25&amp;flag=1&amp;title=Leonard%2025'%203PT%20%20(13%20PTS)%20(Dunn%204%20AST)", "25' 3PT  (13 PTS) (K. Dunn 4 AST)")</f>
        <v>25' 3PT  (13 PTS) (K. Dunn 4 AST)</v>
      </c>
      <c r="L1232" s="2" t="str">
        <f>HYPERLINK("https://www.nba.com/game/...-vs-...-0022400793/play-by-play?watchFullGame=true", "LAC vs MIL - Q3 07:11.00")</f>
        <v>LAC vs MIL - Q3 07:11.00</v>
      </c>
      <c r="M1232">
        <v>25.76</v>
      </c>
      <c r="N1232">
        <v>67.010000000000005</v>
      </c>
      <c r="O1232">
        <v>51</v>
      </c>
      <c r="P1232">
        <v>5</v>
      </c>
      <c r="Q1232">
        <v>258</v>
      </c>
      <c r="R1232">
        <v>67</v>
      </c>
      <c r="S1232">
        <v>51</v>
      </c>
    </row>
    <row r="1233" spans="1:19" hidden="1" x14ac:dyDescent="0.25">
      <c r="A1233">
        <v>22300505</v>
      </c>
      <c r="B1233" t="s">
        <v>26</v>
      </c>
      <c r="C1233" t="s">
        <v>19</v>
      </c>
      <c r="D1233">
        <v>16</v>
      </c>
      <c r="E1233">
        <v>7</v>
      </c>
      <c r="F1233">
        <v>9</v>
      </c>
      <c r="G1233">
        <v>1</v>
      </c>
      <c r="H1233" s="1">
        <v>4.3518518518518515E-3</v>
      </c>
      <c r="I1233">
        <v>2023</v>
      </c>
      <c r="J1233" t="s">
        <v>83</v>
      </c>
      <c r="K1233" s="2" t="str">
        <f>HYPERLINK("https://www.nba.com/stats/events?CFID=&amp;CFPARAMS=&amp;GameEventID=60&amp;GameID=0022300505&amp;Season=2023-24&amp;flag=1&amp;title=Leonard%2025'%203PT%20running%20pullup%20(4%20PTS)", "25' 3PT running pullup (4 PTS)")</f>
        <v>25' 3PT running pullup (4 PTS)</v>
      </c>
      <c r="L1233" s="2" t="str">
        <f>HYPERLINK("https://www.nba.com/game/...-vs-...-0022300505/play-by-play?watchFullGame=true", "LAC vs LAL - Q1 06:16.00")</f>
        <v>LAC vs LAL - Q1 06:16.00</v>
      </c>
      <c r="M1233">
        <v>25.74</v>
      </c>
      <c r="N1233">
        <v>67.069999999999993</v>
      </c>
      <c r="O1233">
        <v>47.55</v>
      </c>
      <c r="P1233">
        <v>-12</v>
      </c>
      <c r="Q1233">
        <v>257</v>
      </c>
      <c r="R1233">
        <v>67</v>
      </c>
      <c r="S1233">
        <v>47</v>
      </c>
    </row>
    <row r="1234" spans="1:19" hidden="1" x14ac:dyDescent="0.25">
      <c r="A1234">
        <v>22001047</v>
      </c>
      <c r="B1234" t="s">
        <v>26</v>
      </c>
      <c r="C1234" t="s">
        <v>19</v>
      </c>
      <c r="D1234">
        <v>47</v>
      </c>
      <c r="E1234">
        <v>47</v>
      </c>
      <c r="F1234">
        <v>0</v>
      </c>
      <c r="G1234">
        <v>3</v>
      </c>
      <c r="H1234" s="1">
        <v>7.7777777777777776E-3</v>
      </c>
      <c r="I1234">
        <v>2020</v>
      </c>
      <c r="J1234" t="s">
        <v>83</v>
      </c>
      <c r="K1234" s="2" t="str">
        <f>HYPERLINK("https://www.nba.com/stats/events?CFID=&amp;CFPARAMS=&amp;GameEventID=315&amp;GameID=0022001047&amp;Season=2020-21&amp;flag=1&amp;title=Leonard%2025'%203PT%20%20(9%20PTS)%20(P.%20George%203%20AST)", "25' 3PT  (9 PTS) (P. George 3 AST)")</f>
        <v>25' 3PT  (9 PTS) (P. George 3 AST)</v>
      </c>
      <c r="L1234" s="2" t="str">
        <f>HYPERLINK("https://www.nba.com/game/...-vs-...-0022001047/play-by-play?watchFullGame=true", "LAC vs CHA - Q3 11:12.00")</f>
        <v>LAC vs CHA - Q3 11:12.00</v>
      </c>
      <c r="M1234">
        <v>25.72</v>
      </c>
      <c r="N1234">
        <v>67.489999999999995</v>
      </c>
      <c r="O1234">
        <v>59.14</v>
      </c>
      <c r="P1234">
        <v>46</v>
      </c>
      <c r="Q1234">
        <v>253</v>
      </c>
      <c r="R1234">
        <v>67</v>
      </c>
      <c r="S1234">
        <v>59</v>
      </c>
    </row>
    <row r="1235" spans="1:19" hidden="1" x14ac:dyDescent="0.25">
      <c r="A1235">
        <v>22000520</v>
      </c>
      <c r="B1235" t="s">
        <v>26</v>
      </c>
      <c r="C1235" t="s">
        <v>19</v>
      </c>
      <c r="D1235">
        <v>9</v>
      </c>
      <c r="E1235">
        <v>7</v>
      </c>
      <c r="F1235">
        <v>2</v>
      </c>
      <c r="G1235">
        <v>1</v>
      </c>
      <c r="H1235" s="1">
        <v>5.4976851851851853E-3</v>
      </c>
      <c r="I1235">
        <v>2020</v>
      </c>
      <c r="J1235" t="s">
        <v>83</v>
      </c>
      <c r="K1235" s="2" t="str">
        <f>HYPERLINK("https://www.nba.com/stats/events?CFID=&amp;CFPARAMS=&amp;GameEventID=40&amp;GameID=0022000520&amp;Season=2020-21&amp;flag=1&amp;title=Leonard%2025'%203PT%20pullup%20(3%20PTS)", "25' 3PT pullup (3 PTS)")</f>
        <v>25' 3PT pullup (3 PTS)</v>
      </c>
      <c r="L1235" s="2" t="str">
        <f>HYPERLINK("https://www.nba.com/game/...-vs-...-0022000520/play-by-play?watchFullGame=true", "LAC vs MIL - Q1 07:55.00")</f>
        <v>LAC vs MIL - Q1 07:55.00</v>
      </c>
      <c r="M1235">
        <v>25.7</v>
      </c>
      <c r="N1235">
        <v>67.099999999999994</v>
      </c>
      <c r="O1235">
        <v>52.03</v>
      </c>
      <c r="P1235">
        <v>10</v>
      </c>
      <c r="Q1235">
        <v>257</v>
      </c>
      <c r="R1235">
        <v>67</v>
      </c>
      <c r="S1235">
        <v>52</v>
      </c>
    </row>
    <row r="1236" spans="1:19" hidden="1" x14ac:dyDescent="0.25">
      <c r="A1236">
        <v>22301225</v>
      </c>
      <c r="B1236" t="s">
        <v>26</v>
      </c>
      <c r="C1236" t="s">
        <v>19</v>
      </c>
      <c r="D1236">
        <v>5</v>
      </c>
      <c r="E1236">
        <v>2</v>
      </c>
      <c r="F1236">
        <v>3</v>
      </c>
      <c r="G1236">
        <v>1</v>
      </c>
      <c r="H1236" s="1">
        <v>7.3726851851851852E-3</v>
      </c>
      <c r="I1236">
        <v>2023</v>
      </c>
      <c r="J1236" t="s">
        <v>83</v>
      </c>
      <c r="K1236" s="2" t="str">
        <f>HYPERLINK("https://www.nba.com/stats/events?CFID=&amp;CFPARAMS=&amp;GameEventID=15&amp;GameID=0022301225&amp;Season=2023-24&amp;flag=1&amp;title=Leonard%2025'%203PT%20%20(3%20PTS)%20(I.%20Zubac%201%20AST)", "25' 3PT  (3 PTS) (I. Zubac 1 AST)")</f>
        <v>25' 3PT  (3 PTS) (I. Zubac 1 AST)</v>
      </c>
      <c r="L1236" s="2" t="str">
        <f>HYPERLINK("https://www.nba.com/game/...-vs-...-0022301225/play-by-play?watchFullGame=true", "LAC vs UTA - Q1 10:37.00")</f>
        <v>LAC vs UTA - Q1 10:37.00</v>
      </c>
      <c r="M1236">
        <v>25.7</v>
      </c>
      <c r="N1236">
        <v>67.099999999999994</v>
      </c>
      <c r="O1236">
        <v>51.96</v>
      </c>
      <c r="P1236">
        <v>10</v>
      </c>
      <c r="Q1236">
        <v>257</v>
      </c>
      <c r="R1236">
        <v>67</v>
      </c>
      <c r="S1236">
        <v>51</v>
      </c>
    </row>
    <row r="1237" spans="1:19" hidden="1" x14ac:dyDescent="0.25">
      <c r="A1237">
        <v>22300982</v>
      </c>
      <c r="B1237" t="s">
        <v>26</v>
      </c>
      <c r="C1237" t="s">
        <v>19</v>
      </c>
      <c r="D1237">
        <v>28</v>
      </c>
      <c r="E1237">
        <v>29</v>
      </c>
      <c r="F1237">
        <v>1</v>
      </c>
      <c r="G1237">
        <v>1</v>
      </c>
      <c r="H1237" s="1">
        <v>4.6296296296296298E-4</v>
      </c>
      <c r="I1237">
        <v>2023</v>
      </c>
      <c r="J1237" t="s">
        <v>83</v>
      </c>
      <c r="K1237" s="2" t="str">
        <f>HYPERLINK("https://www.nba.com/stats/events?CFID=&amp;CFPARAMS=&amp;GameEventID=144&amp;GameID=0022300982&amp;Season=2023-24&amp;flag=1&amp;title=Leonard%2025'%203PT%20%20(16%20PTS)%20(B.%20Hyland%201%20AST)", "25' 3PT  (16 PTS) (B. Hyland 1 AST)")</f>
        <v>25' 3PT  (16 PTS) (B. Hyland 1 AST)</v>
      </c>
      <c r="L1237" s="2" t="str">
        <f>HYPERLINK("https://www.nba.com/game/...-vs-...-0022300982/play-by-play?watchFullGame=true", "LAC vs ATL - Q1 00:40.00")</f>
        <v>LAC vs ATL - Q1 00:40.00</v>
      </c>
      <c r="M1237">
        <v>25.66</v>
      </c>
      <c r="N1237">
        <v>67.2</v>
      </c>
      <c r="O1237">
        <v>45.83</v>
      </c>
      <c r="P1237">
        <v>-21</v>
      </c>
      <c r="Q1237">
        <v>256</v>
      </c>
      <c r="R1237">
        <v>67</v>
      </c>
      <c r="S1237">
        <v>45</v>
      </c>
    </row>
    <row r="1238" spans="1:19" hidden="1" x14ac:dyDescent="0.25">
      <c r="A1238">
        <v>22200649</v>
      </c>
      <c r="B1238" t="s">
        <v>26</v>
      </c>
      <c r="C1238" t="s">
        <v>19</v>
      </c>
      <c r="D1238">
        <v>28</v>
      </c>
      <c r="E1238">
        <v>28</v>
      </c>
      <c r="F1238">
        <v>0</v>
      </c>
      <c r="G1238">
        <v>1</v>
      </c>
      <c r="H1238" s="1">
        <v>1.261574074074074E-3</v>
      </c>
      <c r="I1238">
        <v>2022</v>
      </c>
      <c r="J1238" t="s">
        <v>83</v>
      </c>
      <c r="K1238" s="2" t="str">
        <f>HYPERLINK("https://www.nba.com/stats/events?CFID=&amp;CFPARAMS=&amp;GameEventID=121&amp;GameID=0022200649&amp;Season=2022-23&amp;flag=1&amp;title=Leonard%2025'%203PT%20%20(13%20PTS)%20(R.%20Covington%201%20AST)", "25' 3PT  (13 PTS) (R. Covington 1 AST)")</f>
        <v>25' 3PT  (13 PTS) (R. Covington 1 AST)</v>
      </c>
      <c r="L1238" s="2" t="str">
        <f>HYPERLINK("https://www.nba.com/game/...-vs-...-0022200649/play-by-play?watchFullGame=true", "LAC vs HOU - Q1 01:49.00")</f>
        <v>LAC vs HOU - Q1 01:49.00</v>
      </c>
      <c r="M1238">
        <v>25.61</v>
      </c>
      <c r="N1238">
        <v>67.599999999999994</v>
      </c>
      <c r="O1238">
        <v>59.05</v>
      </c>
      <c r="P1238">
        <v>45</v>
      </c>
      <c r="Q1238">
        <v>252</v>
      </c>
      <c r="R1238">
        <v>67</v>
      </c>
      <c r="S1238">
        <v>59</v>
      </c>
    </row>
    <row r="1239" spans="1:19" hidden="1" x14ac:dyDescent="0.25">
      <c r="A1239">
        <v>22400733</v>
      </c>
      <c r="B1239" t="s">
        <v>26</v>
      </c>
      <c r="C1239" t="s">
        <v>19</v>
      </c>
      <c r="D1239">
        <v>16</v>
      </c>
      <c r="E1239">
        <v>7</v>
      </c>
      <c r="F1239">
        <v>9</v>
      </c>
      <c r="G1239">
        <v>1</v>
      </c>
      <c r="H1239" s="1">
        <v>5.2199074074074075E-3</v>
      </c>
      <c r="I1239">
        <v>2024</v>
      </c>
      <c r="J1239" t="s">
        <v>83</v>
      </c>
      <c r="K1239" s="2" t="str">
        <f>HYPERLINK("https://www.nba.com/stats/events?CFID=&amp;CFPARAMS=&amp;GameEventID=50&amp;GameID=0022400733&amp;Season=2024-25&amp;flag=1&amp;title=Leonard%2025'%203PT%20%20(8%20PTS)%20(J.%20Harden%201%20AST)", "25' 3PT  (8 PTS) (J. Harden 1 AST)")</f>
        <v>25' 3PT  (8 PTS) (J. Harden 1 AST)</v>
      </c>
      <c r="L1239" s="2" t="str">
        <f>HYPERLINK("https://www.nba.com/game/...-vs-...-0022400733/play-by-play?watchFullGame=true", "LAC vs IND - Q1 07:31.00")</f>
        <v>LAC vs IND - Q1 07:31.00</v>
      </c>
      <c r="M1239">
        <v>25.58</v>
      </c>
      <c r="N1239">
        <v>67.23</v>
      </c>
      <c r="O1239">
        <v>47.55</v>
      </c>
      <c r="P1239">
        <v>-12</v>
      </c>
      <c r="Q1239">
        <v>256</v>
      </c>
      <c r="R1239">
        <v>67</v>
      </c>
      <c r="S1239">
        <v>47</v>
      </c>
    </row>
    <row r="1240" spans="1:19" hidden="1" x14ac:dyDescent="0.25">
      <c r="A1240">
        <v>22300716</v>
      </c>
      <c r="B1240" t="s">
        <v>26</v>
      </c>
      <c r="C1240" t="s">
        <v>19</v>
      </c>
      <c r="D1240">
        <v>31</v>
      </c>
      <c r="E1240">
        <v>21</v>
      </c>
      <c r="F1240">
        <v>10</v>
      </c>
      <c r="G1240">
        <v>1</v>
      </c>
      <c r="H1240" s="1">
        <v>1.9791666666666668E-3</v>
      </c>
      <c r="I1240">
        <v>2023</v>
      </c>
      <c r="J1240" t="s">
        <v>83</v>
      </c>
      <c r="K1240" s="2" t="str">
        <f>HYPERLINK("https://www.nba.com/stats/events?CFID=&amp;CFPARAMS=&amp;GameEventID=102&amp;GameID=0022300716&amp;Season=2023-24&amp;flag=1&amp;title=Leonard%2025'%203PT%20pullup%20(8%20PTS)", "25' 3PT pullup (8 PTS)")</f>
        <v>25' 3PT pullup (8 PTS)</v>
      </c>
      <c r="L1240" s="2" t="str">
        <f>HYPERLINK("https://www.nba.com/game/...-vs-...-0022300716/play-by-play?watchFullGame=true", "LAC vs ATL - Q1 02:51.00")</f>
        <v>LAC vs ATL - Q1 02:51.00</v>
      </c>
      <c r="M1240">
        <v>25.55</v>
      </c>
      <c r="N1240">
        <v>67.23</v>
      </c>
      <c r="O1240">
        <v>50.49</v>
      </c>
      <c r="P1240">
        <v>2</v>
      </c>
      <c r="Q1240">
        <v>256</v>
      </c>
      <c r="R1240">
        <v>67</v>
      </c>
      <c r="S1240">
        <v>50</v>
      </c>
    </row>
    <row r="1241" spans="1:19" hidden="1" x14ac:dyDescent="0.25">
      <c r="A1241">
        <v>22300807</v>
      </c>
      <c r="B1241" t="s">
        <v>26</v>
      </c>
      <c r="C1241" t="s">
        <v>19</v>
      </c>
      <c r="D1241">
        <v>79</v>
      </c>
      <c r="E1241">
        <v>75</v>
      </c>
      <c r="F1241">
        <v>4</v>
      </c>
      <c r="G1241">
        <v>3</v>
      </c>
      <c r="H1241" s="1">
        <v>0</v>
      </c>
      <c r="I1241">
        <v>2023</v>
      </c>
      <c r="J1241" t="s">
        <v>83</v>
      </c>
      <c r="K1241" s="2" t="str">
        <f>HYPERLINK("https://www.nba.com/stats/events?CFID=&amp;CFPARAMS=&amp;GameEventID=485&amp;GameID=0022300807&amp;Season=2023-24&amp;flag=1&amp;title=Leonard%2025'%203PT%20fadeaway%20(20%20PTS)", "25' 3PT fadeaway (20 PTS)")</f>
        <v>25' 3PT fadeaway (20 PTS)</v>
      </c>
      <c r="L1241" s="2" t="str">
        <f>HYPERLINK("https://www.nba.com/game/...-vs-...-0022300807/play-by-play?watchFullGame=true", "LAC vs MEM - Q3 00:00.00")</f>
        <v>LAC vs MEM - Q3 00:00.00</v>
      </c>
      <c r="M1241">
        <v>25.54</v>
      </c>
      <c r="N1241">
        <v>67.89</v>
      </c>
      <c r="O1241">
        <v>38.97</v>
      </c>
      <c r="P1241">
        <v>-55</v>
      </c>
      <c r="Q1241">
        <v>249</v>
      </c>
      <c r="R1241">
        <v>67</v>
      </c>
      <c r="S1241">
        <v>38</v>
      </c>
    </row>
    <row r="1242" spans="1:19" hidden="1" x14ac:dyDescent="0.25">
      <c r="A1242">
        <v>22000077</v>
      </c>
      <c r="B1242" t="s">
        <v>26</v>
      </c>
      <c r="C1242" t="s">
        <v>19</v>
      </c>
      <c r="D1242">
        <v>47</v>
      </c>
      <c r="E1242">
        <v>60</v>
      </c>
      <c r="F1242">
        <v>13</v>
      </c>
      <c r="G1242">
        <v>3</v>
      </c>
      <c r="H1242" s="1">
        <v>5.5555555555555558E-3</v>
      </c>
      <c r="I1242">
        <v>2020</v>
      </c>
      <c r="J1242" t="s">
        <v>83</v>
      </c>
      <c r="K1242" s="2" t="str">
        <f>HYPERLINK("https://www.nba.com/stats/events?CFID=&amp;CFPARAMS=&amp;GameEventID=384&amp;GameID=0022000077&amp;Season=2020-21&amp;flag=1&amp;title=Leonard%2025'%203PT%20step%20back%20(14%20PTS)%20(L.%20Williams%201%20AST)", "25' 3PT step back (14 PTS) (L. Williams 1 AST)")</f>
        <v>25' 3PT step back (14 PTS) (L. Williams 1 AST)</v>
      </c>
      <c r="L1242" s="2" t="str">
        <f>HYPERLINK("https://www.nba.com/game/...-vs-...-0022000077/play-by-play?watchFullGame=true", "LAC vs UTA - Q3 08:00.00")</f>
        <v>LAC vs UTA - Q3 08:00.00</v>
      </c>
      <c r="M1242">
        <v>25.44</v>
      </c>
      <c r="N1242">
        <v>67.36</v>
      </c>
      <c r="O1242">
        <v>51.54</v>
      </c>
      <c r="P1242">
        <v>8</v>
      </c>
      <c r="Q1242">
        <v>254</v>
      </c>
      <c r="R1242">
        <v>67</v>
      </c>
      <c r="S1242">
        <v>51</v>
      </c>
    </row>
    <row r="1243" spans="1:19" hidden="1" x14ac:dyDescent="0.25">
      <c r="A1243">
        <v>22000520</v>
      </c>
      <c r="B1243" t="s">
        <v>26</v>
      </c>
      <c r="C1243" t="s">
        <v>19</v>
      </c>
      <c r="D1243">
        <v>41</v>
      </c>
      <c r="E1243">
        <v>45</v>
      </c>
      <c r="F1243">
        <v>4</v>
      </c>
      <c r="G1243">
        <v>2</v>
      </c>
      <c r="H1243" s="1">
        <v>2.7314814814814814E-3</v>
      </c>
      <c r="I1243">
        <v>2020</v>
      </c>
      <c r="J1243" t="s">
        <v>83</v>
      </c>
      <c r="K1243" s="2" t="str">
        <f>HYPERLINK("https://www.nba.com/stats/events?CFID=&amp;CFPARAMS=&amp;GameEventID=253&amp;GameID=0022000520&amp;Season=2020-21&amp;flag=1&amp;title=Leonard%2025'%203PT%20pullup%20(14%20PTS)", "25' 3PT pullup (14 PTS)")</f>
        <v>25' 3PT pullup (14 PTS)</v>
      </c>
      <c r="L1243" s="2" t="str">
        <f>HYPERLINK("https://www.nba.com/game/...-vs-...-0022000520/play-by-play?watchFullGame=true", "LAC vs MIL - Q2 03:56.00")</f>
        <v>LAC vs MIL - Q2 03:56.00</v>
      </c>
      <c r="M1243">
        <v>25.43</v>
      </c>
      <c r="N1243">
        <v>67.36</v>
      </c>
      <c r="O1243">
        <v>49.33</v>
      </c>
      <c r="P1243">
        <v>-3</v>
      </c>
      <c r="Q1243">
        <v>254</v>
      </c>
      <c r="R1243">
        <v>67</v>
      </c>
      <c r="S1243">
        <v>49</v>
      </c>
    </row>
    <row r="1244" spans="1:19" hidden="1" x14ac:dyDescent="0.25">
      <c r="A1244">
        <v>22200438</v>
      </c>
      <c r="B1244" t="s">
        <v>26</v>
      </c>
      <c r="C1244" t="s">
        <v>19</v>
      </c>
      <c r="D1244">
        <v>57</v>
      </c>
      <c r="E1244">
        <v>59</v>
      </c>
      <c r="F1244">
        <v>2</v>
      </c>
      <c r="G1244">
        <v>3</v>
      </c>
      <c r="H1244" s="1">
        <v>6.6203703703703702E-3</v>
      </c>
      <c r="I1244">
        <v>2022</v>
      </c>
      <c r="J1244" t="s">
        <v>83</v>
      </c>
      <c r="K1244" s="2" t="str">
        <f>HYPERLINK("https://www.nba.com/stats/events?CFID=&amp;CFPARAMS=&amp;GameEventID=336&amp;GameID=0022200438&amp;Season=2022-23&amp;flag=1&amp;title=Leonard%2025'%203PT%20%20(21%20PTS)%20(J.%20Wall%204%20AST)", "25' 3PT  (21 PTS) (J. Wall 4 AST)")</f>
        <v>25' 3PT  (21 PTS) (J. Wall 4 AST)</v>
      </c>
      <c r="L1244" s="2" t="str">
        <f>HYPERLINK("https://www.nba.com/game/...-vs-...-0022200438/play-by-play?watchFullGame=true", "LAC vs WAS - Q3 09:32.00")</f>
        <v>LAC vs WAS - Q3 09:32.00</v>
      </c>
      <c r="M1244">
        <v>25.39</v>
      </c>
      <c r="N1244">
        <v>67.989999999999995</v>
      </c>
      <c r="O1244">
        <v>39.46</v>
      </c>
      <c r="P1244">
        <v>-53</v>
      </c>
      <c r="Q1244">
        <v>248</v>
      </c>
      <c r="R1244">
        <v>67</v>
      </c>
      <c r="S1244">
        <v>39</v>
      </c>
    </row>
    <row r="1245" spans="1:19" hidden="1" x14ac:dyDescent="0.25">
      <c r="A1245">
        <v>22301225</v>
      </c>
      <c r="B1245" t="s">
        <v>26</v>
      </c>
      <c r="C1245" t="s">
        <v>19</v>
      </c>
      <c r="D1245">
        <v>13</v>
      </c>
      <c r="E1245">
        <v>6</v>
      </c>
      <c r="F1245">
        <v>7</v>
      </c>
      <c r="G1245">
        <v>1</v>
      </c>
      <c r="H1245" s="1">
        <v>5.4745370370370373E-3</v>
      </c>
      <c r="I1245">
        <v>2023</v>
      </c>
      <c r="J1245" t="s">
        <v>83</v>
      </c>
      <c r="K1245" s="2" t="str">
        <f>HYPERLINK("https://www.nba.com/stats/events?CFID=&amp;CFPARAMS=&amp;GameEventID=46&amp;GameID=0022301225&amp;Season=2023-24&amp;flag=1&amp;title=Leonard%2025'%203PT%20%20(9%20PTS)%20(I.%20Zubac%203%20AST)", "25' 3PT  (9 PTS) (I. Zubac 3 AST)")</f>
        <v>25' 3PT  (9 PTS) (I. Zubac 3 AST)</v>
      </c>
      <c r="L1245" s="2" t="str">
        <f>HYPERLINK("https://www.nba.com/game/...-vs-...-0022301225/play-by-play?watchFullGame=true", "LAC vs UTA - Q1 07:53.00")</f>
        <v>LAC vs UTA - Q1 07:53.00</v>
      </c>
      <c r="M1245">
        <v>25.32</v>
      </c>
      <c r="N1245">
        <v>67.489999999999995</v>
      </c>
      <c r="O1245">
        <v>48.77</v>
      </c>
      <c r="P1245">
        <v>-6</v>
      </c>
      <c r="Q1245">
        <v>253</v>
      </c>
      <c r="R1245">
        <v>67</v>
      </c>
      <c r="S1245">
        <v>48</v>
      </c>
    </row>
    <row r="1246" spans="1:19" hidden="1" x14ac:dyDescent="0.25">
      <c r="A1246">
        <v>22201096</v>
      </c>
      <c r="B1246" t="s">
        <v>26</v>
      </c>
      <c r="C1246" t="s">
        <v>19</v>
      </c>
      <c r="D1246">
        <v>30</v>
      </c>
      <c r="E1246">
        <v>27</v>
      </c>
      <c r="F1246">
        <v>3</v>
      </c>
      <c r="G1246">
        <v>1</v>
      </c>
      <c r="H1246" s="1">
        <v>1.2152777777777778E-3</v>
      </c>
      <c r="I1246">
        <v>2022</v>
      </c>
      <c r="J1246" t="s">
        <v>83</v>
      </c>
      <c r="K1246" s="2" t="str">
        <f>HYPERLINK("https://www.nba.com/stats/events?CFID=&amp;CFPARAMS=&amp;GameEventID=117&amp;GameID=0022201096&amp;Season=2022-23&amp;flag=1&amp;title=Leonard%2025'%203PT%20%20(13%20PTS)%20(T.%20Mann%201%20AST)", "25' 3PT  (13 PTS) (T. Mann 1 AST)")</f>
        <v>25' 3PT  (13 PTS) (T. Mann 1 AST)</v>
      </c>
      <c r="L1246" s="2" t="str">
        <f>HYPERLINK("https://www.nba.com/game/...-vs-...-0022201096/play-by-play?watchFullGame=true", "LAC vs OKC - Q1 01:45.00")</f>
        <v>LAC vs OKC - Q1 01:45.00</v>
      </c>
      <c r="M1246">
        <v>25.13</v>
      </c>
      <c r="N1246">
        <v>67.849999999999994</v>
      </c>
      <c r="O1246">
        <v>44.36</v>
      </c>
      <c r="P1246">
        <v>-28</v>
      </c>
      <c r="Q1246">
        <v>250</v>
      </c>
      <c r="R1246">
        <v>67</v>
      </c>
      <c r="S1246">
        <v>44</v>
      </c>
    </row>
    <row r="1247" spans="1:19" hidden="1" x14ac:dyDescent="0.25">
      <c r="A1247">
        <v>22400715</v>
      </c>
      <c r="B1247" t="s">
        <v>26</v>
      </c>
      <c r="C1247" t="s">
        <v>19</v>
      </c>
      <c r="D1247">
        <v>13</v>
      </c>
      <c r="E1247">
        <v>13</v>
      </c>
      <c r="F1247">
        <v>0</v>
      </c>
      <c r="G1247">
        <v>1</v>
      </c>
      <c r="H1247" s="1">
        <v>5.6828703703703702E-3</v>
      </c>
      <c r="I1247">
        <v>2024</v>
      </c>
      <c r="J1247" t="s">
        <v>83</v>
      </c>
      <c r="K1247" s="2" t="str">
        <f>HYPERLINK("https://www.nba.com/stats/events?CFID=&amp;CFPARAMS=&amp;GameEventID=49&amp;GameID=0022400715&amp;Season=2024-25&amp;flag=1&amp;title=Leonard%2028'%203PT%20%20(3%20PTS)%20(J.%20Harden%202%20AST)", "28' 3PT  (3 PTS) (J. Harden 2 AST)")</f>
        <v>28' 3PT  (3 PTS) (J. Harden 2 AST)</v>
      </c>
      <c r="L1247" s="2" t="str">
        <f>HYPERLINK("https://www.nba.com/game/...-vs-...-0022400715/play-by-play?watchFullGame=true", "LAC vs LAL - Q1 08:11.00")</f>
        <v>LAC vs LAL - Q1 08:11.00</v>
      </c>
      <c r="M1247">
        <v>28.37</v>
      </c>
      <c r="N1247">
        <v>68.94</v>
      </c>
      <c r="O1247">
        <v>80.39</v>
      </c>
      <c r="P1247">
        <v>152</v>
      </c>
      <c r="Q1247">
        <v>239</v>
      </c>
      <c r="R1247">
        <v>68</v>
      </c>
      <c r="S1247">
        <v>80</v>
      </c>
    </row>
    <row r="1248" spans="1:19" hidden="1" x14ac:dyDescent="0.25">
      <c r="A1248">
        <v>22000576</v>
      </c>
      <c r="B1248" t="s">
        <v>26</v>
      </c>
      <c r="C1248" t="s">
        <v>19</v>
      </c>
      <c r="D1248">
        <v>51</v>
      </c>
      <c r="E1248">
        <v>35</v>
      </c>
      <c r="F1248">
        <v>16</v>
      </c>
      <c r="G1248">
        <v>2</v>
      </c>
      <c r="H1248" s="1">
        <v>2.3958333333333331E-3</v>
      </c>
      <c r="I1248">
        <v>2020</v>
      </c>
      <c r="J1248" t="s">
        <v>83</v>
      </c>
      <c r="K1248" s="2" t="str">
        <f>HYPERLINK("https://www.nba.com/stats/events?CFID=&amp;CFPARAMS=&amp;GameEventID=292&amp;GameID=0022000576&amp;Season=2020-21&amp;flag=1&amp;title=Leonard%2028'%203PT%20%20(20%20PTS)%20(N.%20Batum%201%20AST)", "28' 3PT  (20 PTS) (N. Batum 1 AST)")</f>
        <v>28' 3PT  (20 PTS) (N. Batum 1 AST)</v>
      </c>
      <c r="L1248" s="2" t="str">
        <f>HYPERLINK("https://www.nba.com/game/...-vs-...-0022000576/play-by-play?watchFullGame=true", "LAC vs GSW - Q2 03:27.00")</f>
        <v>LAC vs GSW - Q2 03:27.00</v>
      </c>
      <c r="M1248">
        <v>28.15</v>
      </c>
      <c r="N1248">
        <v>68.540000000000006</v>
      </c>
      <c r="O1248">
        <v>21.64</v>
      </c>
      <c r="P1248">
        <v>-142</v>
      </c>
      <c r="Q1248">
        <v>243</v>
      </c>
      <c r="R1248">
        <v>68</v>
      </c>
      <c r="S1248">
        <v>21</v>
      </c>
    </row>
    <row r="1249" spans="1:19" hidden="1" x14ac:dyDescent="0.25">
      <c r="A1249">
        <v>41900231</v>
      </c>
      <c r="B1249" t="s">
        <v>26</v>
      </c>
      <c r="C1249" t="s">
        <v>84</v>
      </c>
      <c r="D1249">
        <v>49</v>
      </c>
      <c r="E1249">
        <v>40</v>
      </c>
      <c r="F1249">
        <v>9</v>
      </c>
      <c r="G1249">
        <v>2</v>
      </c>
      <c r="H1249" s="1">
        <v>4.0393518518518521E-3</v>
      </c>
      <c r="I1249" t="s">
        <v>85</v>
      </c>
      <c r="J1249" t="s">
        <v>83</v>
      </c>
      <c r="K1249" s="2" t="str">
        <f>HYPERLINK("https://www.nba.com/stats/events?CFID=&amp;CFPARAMS=&amp;GameEventID=240&amp;GameID=0041900231&amp;Season=2019-20&amp;flag=1&amp;title=Leonard%2027'%203PT%20%20(13%20PTS)%20(P.%20George%202%20AST)", "27' 3PT  (13 PTS) (P. George 2 AST)")</f>
        <v>27' 3PT  (13 PTS) (P. George 2 AST)</v>
      </c>
      <c r="L1249" s="2" t="str">
        <f>HYPERLINK("https://www.nba.com/game/...-vs-...-0041900231/play-by-play?watchFullGame=true", "LAC vs DEN - Q2 05:49.00")</f>
        <v>LAC vs DEN - Q2 05:49.00</v>
      </c>
      <c r="M1249">
        <v>27.31</v>
      </c>
      <c r="N1249">
        <v>68.02</v>
      </c>
      <c r="O1249">
        <v>29.73</v>
      </c>
      <c r="P1249">
        <v>-101</v>
      </c>
      <c r="Q1249">
        <v>248</v>
      </c>
      <c r="R1249">
        <v>68</v>
      </c>
      <c r="S1249">
        <v>29</v>
      </c>
    </row>
    <row r="1250" spans="1:19" hidden="1" x14ac:dyDescent="0.25">
      <c r="A1250">
        <v>42000172</v>
      </c>
      <c r="B1250" t="s">
        <v>26</v>
      </c>
      <c r="C1250" t="s">
        <v>19</v>
      </c>
      <c r="D1250">
        <v>71</v>
      </c>
      <c r="E1250">
        <v>68</v>
      </c>
      <c r="F1250">
        <v>3</v>
      </c>
      <c r="G1250">
        <v>2</v>
      </c>
      <c r="H1250" s="1">
        <v>3.9467592592592592E-4</v>
      </c>
      <c r="I1250" t="s">
        <v>91</v>
      </c>
      <c r="J1250" t="s">
        <v>83</v>
      </c>
      <c r="K1250" s="2" t="str">
        <f>HYPERLINK("https://www.nba.com/stats/events?CFID=&amp;CFPARAMS=&amp;GameEventID=298&amp;GameID=0042000172&amp;Season=2020-21&amp;flag=1&amp;title=Leonard%2027'%203PT%20%20(30%20PTS)%20(R.%20Rondo%203%20AST)", "27' 3PT  (30 PTS) (R. Rondo 3 AST)")</f>
        <v>27' 3PT  (30 PTS) (R. Rondo 3 AST)</v>
      </c>
      <c r="L1250" s="2" t="str">
        <f>HYPERLINK("https://www.nba.com/game/...-vs-...-0042000172/play-by-play?watchFullGame=true", "LAC vs DAL - Q2 00:34.10")</f>
        <v>LAC vs DAL - Q2 00:34.10</v>
      </c>
      <c r="M1250">
        <v>27.15</v>
      </c>
      <c r="N1250">
        <v>68.94</v>
      </c>
      <c r="O1250">
        <v>75.56</v>
      </c>
      <c r="P1250">
        <v>68</v>
      </c>
      <c r="Q1250">
        <v>75</v>
      </c>
      <c r="R1250">
        <v>68</v>
      </c>
      <c r="S1250">
        <v>75</v>
      </c>
    </row>
    <row r="1251" spans="1:19" hidden="1" x14ac:dyDescent="0.25">
      <c r="A1251">
        <v>22000142</v>
      </c>
      <c r="B1251" t="s">
        <v>26</v>
      </c>
      <c r="C1251" t="s">
        <v>19</v>
      </c>
      <c r="D1251">
        <v>62</v>
      </c>
      <c r="E1251">
        <v>66</v>
      </c>
      <c r="F1251">
        <v>4</v>
      </c>
      <c r="G1251">
        <v>3</v>
      </c>
      <c r="H1251" s="1">
        <v>6.8634259259259256E-3</v>
      </c>
      <c r="I1251">
        <v>2020</v>
      </c>
      <c r="J1251" t="s">
        <v>83</v>
      </c>
      <c r="K1251" s="2" t="str">
        <f>HYPERLINK("https://www.nba.com/stats/events?CFID=&amp;CFPARAMS=&amp;GameEventID=349&amp;GameID=0022000142&amp;Season=2020-21&amp;flag=1&amp;title=Leonard%2027'%203PT%20%20(17%20PTS)%20(P.%20George%206%20AST)", "27' 3PT  (17 PTS) (P. George 6 AST)")</f>
        <v>27' 3PT  (17 PTS) (P. George 6 AST)</v>
      </c>
      <c r="L1251" s="2" t="str">
        <f>HYPERLINK("https://www.nba.com/game/...-vs-...-0022000142/play-by-play?watchFullGame=true", "LAC vs CHI - Q3 09:53.00")</f>
        <v>LAC vs CHI - Q3 09:53.00</v>
      </c>
      <c r="M1251">
        <v>27.12</v>
      </c>
      <c r="N1251">
        <v>68.28</v>
      </c>
      <c r="O1251">
        <v>27.03</v>
      </c>
      <c r="P1251">
        <v>-115</v>
      </c>
      <c r="Q1251">
        <v>246</v>
      </c>
      <c r="R1251">
        <v>68</v>
      </c>
      <c r="S1251">
        <v>27</v>
      </c>
    </row>
    <row r="1252" spans="1:19" hidden="1" x14ac:dyDescent="0.25">
      <c r="A1252">
        <v>22201041</v>
      </c>
      <c r="B1252" t="s">
        <v>26</v>
      </c>
      <c r="C1252" t="s">
        <v>19</v>
      </c>
      <c r="D1252">
        <v>91</v>
      </c>
      <c r="E1252">
        <v>86</v>
      </c>
      <c r="F1252">
        <v>5</v>
      </c>
      <c r="G1252">
        <v>3</v>
      </c>
      <c r="H1252" s="1">
        <v>1.3657407407407407E-3</v>
      </c>
      <c r="I1252">
        <v>2022</v>
      </c>
      <c r="J1252" t="s">
        <v>83</v>
      </c>
      <c r="K1252" s="2" t="str">
        <f>HYPERLINK("https://www.nba.com/stats/events?CFID=&amp;CFPARAMS=&amp;GameEventID=448&amp;GameID=0022201041&amp;Season=2022-23&amp;flag=1&amp;title=Leonard%2026'%203PT%20%20(25%20PTS)%20(I.%20Zubac%202%20AST)", "26' 3PT  (25 PTS) (I. Zubac 2 AST)")</f>
        <v>26' 3PT  (25 PTS) (I. Zubac 2 AST)</v>
      </c>
      <c r="L1252" s="2" t="str">
        <f>HYPERLINK("https://www.nba.com/game/...-vs-...-0022201041/play-by-play?watchFullGame=true", "LAC vs GSW - Q3 01:58.00")</f>
        <v>LAC vs GSW - Q3 01:58.00</v>
      </c>
      <c r="M1252">
        <v>26.76</v>
      </c>
      <c r="N1252">
        <v>68.77</v>
      </c>
      <c r="O1252">
        <v>73.28</v>
      </c>
      <c r="P1252">
        <v>116</v>
      </c>
      <c r="Q1252">
        <v>241</v>
      </c>
      <c r="R1252">
        <v>68</v>
      </c>
      <c r="S1252">
        <v>73</v>
      </c>
    </row>
    <row r="1253" spans="1:19" hidden="1" x14ac:dyDescent="0.25">
      <c r="A1253">
        <v>42200172</v>
      </c>
      <c r="B1253" t="s">
        <v>26</v>
      </c>
      <c r="C1253" t="s">
        <v>19</v>
      </c>
      <c r="D1253">
        <v>26</v>
      </c>
      <c r="E1253">
        <v>22</v>
      </c>
      <c r="F1253">
        <v>4</v>
      </c>
      <c r="G1253">
        <v>1</v>
      </c>
      <c r="H1253" s="1">
        <v>5.5555555555555556E-4</v>
      </c>
      <c r="I1253" t="s">
        <v>96</v>
      </c>
      <c r="J1253" t="s">
        <v>83</v>
      </c>
      <c r="K1253" s="2" t="str">
        <f>HYPERLINK("https://www.nba.com/stats/events?CFID=&amp;CFPARAMS=&amp;GameEventID=143&amp;GameID=0042200172&amp;Season=2022-23&amp;flag=1&amp;title=Leonard%2026'%203PT%20pullup%20(8%20PTS)", "26' 3PT pullup (8 PTS)")</f>
        <v>26' 3PT pullup (8 PTS)</v>
      </c>
      <c r="L1253" s="2" t="str">
        <f>HYPERLINK("https://www.nba.com/game/...-vs-...-0042200172/play-by-play?watchFullGame=true", "LAC vs PHX - Q1 00:48.00")</f>
        <v>LAC vs PHX - Q1 00:48.00</v>
      </c>
      <c r="M1253">
        <v>26.43</v>
      </c>
      <c r="N1253">
        <v>68.680000000000007</v>
      </c>
      <c r="O1253">
        <v>71.319999999999993</v>
      </c>
      <c r="P1253">
        <v>68</v>
      </c>
      <c r="Q1253">
        <v>71</v>
      </c>
      <c r="R1253">
        <v>68</v>
      </c>
      <c r="S1253">
        <v>71</v>
      </c>
    </row>
    <row r="1254" spans="1:19" hidden="1" x14ac:dyDescent="0.25">
      <c r="A1254">
        <v>22300880</v>
      </c>
      <c r="B1254" t="s">
        <v>26</v>
      </c>
      <c r="C1254" t="s">
        <v>19</v>
      </c>
      <c r="D1254">
        <v>62</v>
      </c>
      <c r="E1254">
        <v>50</v>
      </c>
      <c r="F1254">
        <v>12</v>
      </c>
      <c r="G1254">
        <v>3</v>
      </c>
      <c r="H1254" s="1">
        <v>6.6435185185185182E-3</v>
      </c>
      <c r="I1254">
        <v>2023</v>
      </c>
      <c r="J1254" t="s">
        <v>83</v>
      </c>
      <c r="K1254" s="2" t="str">
        <f>HYPERLINK("https://www.nba.com/stats/events?CFID=&amp;CFPARAMS=&amp;GameEventID=311&amp;GameID=0022300880&amp;Season=2023-24&amp;flag=1&amp;title=Leonard%2026'%203PT%20%20(10%20PTS)%20(P.%20George%201%20AST)", "26' 3PT  (10 PTS) (P. George 1 AST)")</f>
        <v>26' 3PT  (10 PTS) (P. George 1 AST)</v>
      </c>
      <c r="L1254" s="2" t="str">
        <f>HYPERLINK("https://www.nba.com/game/...-vs-...-0022300880/play-by-play?watchFullGame=true", "LAC vs MIL - Q3 09:34.00")</f>
        <v>LAC vs MIL - Q3 09:34.00</v>
      </c>
      <c r="M1254">
        <v>26.3</v>
      </c>
      <c r="N1254">
        <v>68.150000000000006</v>
      </c>
      <c r="O1254">
        <v>68.14</v>
      </c>
      <c r="P1254">
        <v>91</v>
      </c>
      <c r="Q1254">
        <v>247</v>
      </c>
      <c r="R1254">
        <v>68</v>
      </c>
      <c r="S1254">
        <v>68</v>
      </c>
    </row>
    <row r="1255" spans="1:19" hidden="1" x14ac:dyDescent="0.25">
      <c r="A1255">
        <v>21900035</v>
      </c>
      <c r="B1255" t="s">
        <v>26</v>
      </c>
      <c r="C1255" t="s">
        <v>84</v>
      </c>
      <c r="D1255">
        <v>122</v>
      </c>
      <c r="E1255">
        <v>129</v>
      </c>
      <c r="F1255">
        <v>7</v>
      </c>
      <c r="G1255">
        <v>4</v>
      </c>
      <c r="H1255" s="1">
        <v>2.8125000000000003E-4</v>
      </c>
      <c r="I1255">
        <v>2019</v>
      </c>
      <c r="J1255" t="s">
        <v>83</v>
      </c>
      <c r="K1255" s="2" t="str">
        <f>HYPERLINK("https://www.nba.com/stats/events?CFID=&amp;CFPARAMS=&amp;GameEventID=754&amp;GameID=0021900035&amp;Season=2019-20&amp;flag=1&amp;title=[LAC]%20Leonard%203pt%20shot:%20Made%20(27%20PTS)%20assist:%20Williams%20(2%20AST)", "[LAC] Leonard 3pt shot: Made (27 PTS) assist: Williams (2 AST)")</f>
        <v>[LAC] Leonard 3pt shot: Made (27 PTS) assist: Williams (2 AST)</v>
      </c>
      <c r="L1255" s="2" t="str">
        <f>HYPERLINK("https://www.nba.com/game/...-vs-...-0021900035/play-by-play?watchFullGame=true", "LAC vs PHX - Q4 00:24.30")</f>
        <v>LAC vs PHX - Q4 00:24.30</v>
      </c>
      <c r="M1255">
        <v>26.28</v>
      </c>
      <c r="N1255">
        <v>68.02</v>
      </c>
      <c r="O1255">
        <v>63.79</v>
      </c>
      <c r="P1255">
        <v>69</v>
      </c>
      <c r="Q1255">
        <v>248</v>
      </c>
      <c r="R1255">
        <v>68</v>
      </c>
      <c r="S1255">
        <v>63</v>
      </c>
    </row>
    <row r="1256" spans="1:19" hidden="1" x14ac:dyDescent="0.25">
      <c r="A1256">
        <v>22000002</v>
      </c>
      <c r="B1256" t="s">
        <v>26</v>
      </c>
      <c r="C1256" t="s">
        <v>19</v>
      </c>
      <c r="D1256">
        <v>68</v>
      </c>
      <c r="E1256">
        <v>63</v>
      </c>
      <c r="F1256">
        <v>5</v>
      </c>
      <c r="G1256">
        <v>3</v>
      </c>
      <c r="H1256" s="1">
        <v>6.2037037037037035E-3</v>
      </c>
      <c r="I1256">
        <v>2020</v>
      </c>
      <c r="J1256" t="s">
        <v>83</v>
      </c>
      <c r="K1256" s="2" t="str">
        <f>HYPERLINK("https://www.nba.com/stats/events?CFID=&amp;CFPARAMS=&amp;GameEventID=405&amp;GameID=0022000002&amp;Season=2020-21&amp;flag=1&amp;title=Leonard%2026'%203PT%20%20(20%20PTS)%20(P.%20Beverley%203%20AST)", "26' 3PT  (20 PTS) (P. Beverley 3 AST)")</f>
        <v>26' 3PT  (20 PTS) (P. Beverley 3 AST)</v>
      </c>
      <c r="L1256" s="2" t="str">
        <f>HYPERLINK("https://www.nba.com/game/...-vs-...-0022000002/play-by-play?watchFullGame=true", "LAC vs LAL - Q3 08:56.00")</f>
        <v>LAC vs LAL - Q3 08:56.00</v>
      </c>
      <c r="M1256">
        <v>26.15</v>
      </c>
      <c r="N1256">
        <v>68.02</v>
      </c>
      <c r="O1256">
        <v>66.489999999999995</v>
      </c>
      <c r="P1256">
        <v>82</v>
      </c>
      <c r="Q1256">
        <v>248</v>
      </c>
      <c r="R1256">
        <v>68</v>
      </c>
      <c r="S1256">
        <v>66</v>
      </c>
    </row>
    <row r="1257" spans="1:19" hidden="1" x14ac:dyDescent="0.25">
      <c r="A1257">
        <v>41900155</v>
      </c>
      <c r="B1257" t="s">
        <v>26</v>
      </c>
      <c r="C1257" t="s">
        <v>84</v>
      </c>
      <c r="D1257">
        <v>107</v>
      </c>
      <c r="E1257">
        <v>81</v>
      </c>
      <c r="F1257">
        <v>26</v>
      </c>
      <c r="G1257">
        <v>3</v>
      </c>
      <c r="H1257" s="1">
        <v>1.4467592592592592E-3</v>
      </c>
      <c r="I1257" t="s">
        <v>86</v>
      </c>
      <c r="J1257" t="s">
        <v>83</v>
      </c>
      <c r="K1257" s="2" t="str">
        <f>HYPERLINK("https://www.nba.com/stats/events?CFID=&amp;CFPARAMS=&amp;GameEventID=500&amp;GameID=0041900155&amp;Season=2019-20&amp;flag=1&amp;title=Leonard%2026'%203PT%20%20(32%20PTS)%20(T.%20Mann%201%20AST)", "26' 3PT  (32 PTS) (T. Mann 1 AST)")</f>
        <v>26' 3PT  (32 PTS) (T. Mann 1 AST)</v>
      </c>
      <c r="L1257" s="2" t="str">
        <f>HYPERLINK("https://www.nba.com/game/...-vs-...-0041900155/play-by-play?watchFullGame=true", "LAC vs DAL - Q3 02:05.00")</f>
        <v>LAC vs DAL - Q3 02:05.00</v>
      </c>
      <c r="M1257">
        <v>26.13</v>
      </c>
      <c r="N1257">
        <v>68.150000000000006</v>
      </c>
      <c r="O1257">
        <v>63.55</v>
      </c>
      <c r="P1257">
        <v>68</v>
      </c>
      <c r="Q1257">
        <v>247</v>
      </c>
      <c r="R1257">
        <v>68</v>
      </c>
      <c r="S1257">
        <v>63</v>
      </c>
    </row>
    <row r="1258" spans="1:19" hidden="1" x14ac:dyDescent="0.25">
      <c r="A1258">
        <v>22001002</v>
      </c>
      <c r="B1258" t="s">
        <v>26</v>
      </c>
      <c r="C1258" t="s">
        <v>19</v>
      </c>
      <c r="D1258">
        <v>8</v>
      </c>
      <c r="E1258">
        <v>4</v>
      </c>
      <c r="F1258">
        <v>4</v>
      </c>
      <c r="G1258">
        <v>1</v>
      </c>
      <c r="H1258" s="1">
        <v>6.4583333333333333E-3</v>
      </c>
      <c r="I1258">
        <v>2020</v>
      </c>
      <c r="J1258" t="s">
        <v>83</v>
      </c>
      <c r="K1258" s="2" t="str">
        <f>HYPERLINK("https://www.nba.com/stats/events?CFID=&amp;CFPARAMS=&amp;GameEventID=32&amp;GameID=0022001002&amp;Season=2020-21&amp;flag=1&amp;title=Leonard%2026'%203PT%20pullup%20(3%20PTS)", "26' 3PT pullup (3 PTS)")</f>
        <v>26' 3PT pullup (3 PTS)</v>
      </c>
      <c r="L1258" s="2" t="str">
        <f>HYPERLINK("https://www.nba.com/game/...-vs-...-0022001002/play-by-play?watchFullGame=true", "LAC vs LAL - Q1 09:18.00")</f>
        <v>LAC vs LAL - Q1 09:18.00</v>
      </c>
      <c r="M1258">
        <v>26.08</v>
      </c>
      <c r="N1258">
        <v>68.94</v>
      </c>
      <c r="O1258">
        <v>70.66</v>
      </c>
      <c r="P1258">
        <v>103</v>
      </c>
      <c r="Q1258">
        <v>239</v>
      </c>
      <c r="R1258">
        <v>68</v>
      </c>
      <c r="S1258">
        <v>70</v>
      </c>
    </row>
    <row r="1259" spans="1:19" hidden="1" x14ac:dyDescent="0.25">
      <c r="A1259">
        <v>22300600</v>
      </c>
      <c r="B1259" t="s">
        <v>26</v>
      </c>
      <c r="C1259" t="s">
        <v>19</v>
      </c>
      <c r="D1259">
        <v>120</v>
      </c>
      <c r="E1259">
        <v>114</v>
      </c>
      <c r="F1259">
        <v>6</v>
      </c>
      <c r="G1259">
        <v>4</v>
      </c>
      <c r="H1259" s="1">
        <v>7.407407407407407E-4</v>
      </c>
      <c r="I1259">
        <v>2023</v>
      </c>
      <c r="J1259" t="s">
        <v>83</v>
      </c>
      <c r="K1259" s="2" t="str">
        <f>HYPERLINK("https://www.nba.com/stats/events?CFID=&amp;CFPARAMS=&amp;GameEventID=621&amp;GameID=0022300600&amp;Season=2023-24&amp;flag=1&amp;title=Leonard%2026'%203PT%20step%20back%20(18%20PTS)", "26' 3PT step back (18 PTS)")</f>
        <v>26' 3PT step back (18 PTS)</v>
      </c>
      <c r="L1259" s="2" t="str">
        <f>HYPERLINK("https://www.nba.com/game/...-vs-...-0022300600/play-by-play?watchFullGame=true", "LAC vs BKN - Q4 01:04.00")</f>
        <v>LAC vs BKN - Q4 01:04.00</v>
      </c>
      <c r="M1259">
        <v>26.05</v>
      </c>
      <c r="N1259">
        <v>68.64</v>
      </c>
      <c r="O1259">
        <v>30.88</v>
      </c>
      <c r="P1259">
        <v>-96</v>
      </c>
      <c r="Q1259">
        <v>242</v>
      </c>
      <c r="R1259">
        <v>68</v>
      </c>
      <c r="S1259">
        <v>30</v>
      </c>
    </row>
    <row r="1260" spans="1:19" hidden="1" x14ac:dyDescent="0.25">
      <c r="A1260">
        <v>22400889</v>
      </c>
      <c r="B1260" t="s">
        <v>26</v>
      </c>
      <c r="C1260" t="s">
        <v>19</v>
      </c>
      <c r="D1260">
        <v>39</v>
      </c>
      <c r="E1260">
        <v>35</v>
      </c>
      <c r="F1260">
        <v>4</v>
      </c>
      <c r="G1260">
        <v>2</v>
      </c>
      <c r="H1260" s="1">
        <v>4.9652777777777777E-3</v>
      </c>
      <c r="I1260">
        <v>2024</v>
      </c>
      <c r="J1260" t="s">
        <v>83</v>
      </c>
      <c r="K1260" s="2" t="str">
        <f>HYPERLINK("https://www.nba.com/stats/events?CFID=&amp;CFPARAMS=&amp;GameEventID=209&amp;GameID=0022400889&amp;Season=2024-25&amp;flag=1&amp;title=Leonard%2025'%203PT%20%20(9%20PTS)%20(N.%20Batum%202%20AST)", "25' 3PT  (9 PTS) (N. Batum 2 AST)")</f>
        <v>25' 3PT  (9 PTS) (N. Batum 2 AST)</v>
      </c>
      <c r="L1260" s="2" t="str">
        <f>HYPERLINK("https://www.nba.com/game/...-vs-...-0022400889/play-by-play?watchFullGame=true", "LAC vs PHX - Q2 07:09.00")</f>
        <v>LAC vs PHX - Q2 07:09.00</v>
      </c>
      <c r="M1260">
        <v>25.96</v>
      </c>
      <c r="N1260">
        <v>68.59</v>
      </c>
      <c r="O1260">
        <v>68.44</v>
      </c>
      <c r="P1260">
        <v>92</v>
      </c>
      <c r="Q1260">
        <v>243</v>
      </c>
      <c r="R1260">
        <v>68</v>
      </c>
      <c r="S1260">
        <v>68</v>
      </c>
    </row>
    <row r="1261" spans="1:19" hidden="1" x14ac:dyDescent="0.25">
      <c r="A1261">
        <v>22300473</v>
      </c>
      <c r="B1261" t="s">
        <v>26</v>
      </c>
      <c r="C1261" t="s">
        <v>19</v>
      </c>
      <c r="D1261">
        <v>51</v>
      </c>
      <c r="E1261">
        <v>37</v>
      </c>
      <c r="F1261">
        <v>14</v>
      </c>
      <c r="G1261">
        <v>2</v>
      </c>
      <c r="H1261" s="1">
        <v>4.3981481481481484E-3</v>
      </c>
      <c r="I1261">
        <v>2023</v>
      </c>
      <c r="J1261" t="s">
        <v>83</v>
      </c>
      <c r="K1261" s="2" t="str">
        <f>HYPERLINK("https://www.nba.com/stats/events?CFID=&amp;CFPARAMS=&amp;GameEventID=217&amp;GameID=0022300473&amp;Season=2023-24&amp;flag=1&amp;title=Leonard%2025'%203PT%20%20(6%20PTS)%20(J.%20Harden%206%20AST)", "25' 3PT  (6 PTS) (J. Harden 6 AST)")</f>
        <v>25' 3PT  (6 PTS) (J. Harden 6 AST)</v>
      </c>
      <c r="L1261" s="2" t="str">
        <f>HYPERLINK("https://www.nba.com/game/...-vs-...-0022300473/play-by-play?watchFullGame=true", "LAC vs PHX - Q2 06:20.00")</f>
        <v>LAC vs PHX - Q2 06:20.00</v>
      </c>
      <c r="M1261">
        <v>25.9</v>
      </c>
      <c r="N1261">
        <v>68.81</v>
      </c>
      <c r="O1261">
        <v>30.88</v>
      </c>
      <c r="P1261">
        <v>-96</v>
      </c>
      <c r="Q1261">
        <v>241</v>
      </c>
      <c r="R1261">
        <v>68</v>
      </c>
      <c r="S1261">
        <v>30</v>
      </c>
    </row>
    <row r="1262" spans="1:19" hidden="1" x14ac:dyDescent="0.25">
      <c r="A1262">
        <v>22300127</v>
      </c>
      <c r="B1262" t="s">
        <v>26</v>
      </c>
      <c r="C1262" t="s">
        <v>19</v>
      </c>
      <c r="D1262">
        <v>19</v>
      </c>
      <c r="E1262">
        <v>11</v>
      </c>
      <c r="F1262">
        <v>8</v>
      </c>
      <c r="G1262">
        <v>1</v>
      </c>
      <c r="H1262" s="1">
        <v>4.8958333333333336E-3</v>
      </c>
      <c r="I1262">
        <v>2023</v>
      </c>
      <c r="J1262" t="s">
        <v>83</v>
      </c>
      <c r="K1262" s="2" t="str">
        <f>HYPERLINK("https://www.nba.com/stats/events?CFID=&amp;CFPARAMS=&amp;GameEventID=50&amp;GameID=0022300127&amp;Season=2023-24&amp;flag=1&amp;title=Leonard%2025'%203PT%20pullup%20(13%20PTS)", "25' 3PT pullup (13 PTS)")</f>
        <v>25' 3PT pullup (13 PTS)</v>
      </c>
      <c r="L1262" s="2" t="str">
        <f>HYPERLINK("https://www.nba.com/game/...-vs-...-0022300127/play-by-play?watchFullGame=true", "LAC vs LAL - Q1 07:03.00")</f>
        <v>LAC vs LAL - Q1 07:03.00</v>
      </c>
      <c r="M1262">
        <v>25.9</v>
      </c>
      <c r="N1262">
        <v>68.12</v>
      </c>
      <c r="O1262">
        <v>65.44</v>
      </c>
      <c r="P1262">
        <v>77</v>
      </c>
      <c r="Q1262">
        <v>247</v>
      </c>
      <c r="R1262">
        <v>68</v>
      </c>
      <c r="S1262">
        <v>65</v>
      </c>
    </row>
    <row r="1263" spans="1:19" hidden="1" x14ac:dyDescent="0.25">
      <c r="A1263">
        <v>22000736</v>
      </c>
      <c r="B1263" t="s">
        <v>26</v>
      </c>
      <c r="C1263" t="s">
        <v>19</v>
      </c>
      <c r="D1263">
        <v>49</v>
      </c>
      <c r="E1263">
        <v>62</v>
      </c>
      <c r="F1263">
        <v>13</v>
      </c>
      <c r="G1263">
        <v>2</v>
      </c>
      <c r="H1263" s="1">
        <v>1.4583333333333332E-4</v>
      </c>
      <c r="I1263">
        <v>2020</v>
      </c>
      <c r="J1263" t="s">
        <v>83</v>
      </c>
      <c r="K1263" s="2" t="str">
        <f>HYPERLINK("https://www.nba.com/stats/events?CFID=&amp;CFPARAMS=&amp;GameEventID=295&amp;GameID=0022000736&amp;Season=2020-21&amp;flag=1&amp;title=Leonard%2025'%203PT%20%20(9%20PTS)", "25' 3PT  (9 PTS)")</f>
        <v>25' 3PT  (9 PTS)</v>
      </c>
      <c r="L1263" s="2" t="str">
        <f>HYPERLINK("https://www.nba.com/game/...-vs-...-0022000736/play-by-play?watchFullGame=true", "LAC vs DEN - Q2 00:12.60")</f>
        <v>LAC vs DEN - Q2 00:12.60</v>
      </c>
      <c r="M1263">
        <v>25.85</v>
      </c>
      <c r="N1263">
        <v>68.94</v>
      </c>
      <c r="O1263">
        <v>69.430000000000007</v>
      </c>
      <c r="P1263">
        <v>97</v>
      </c>
      <c r="Q1263">
        <v>239</v>
      </c>
      <c r="R1263">
        <v>68</v>
      </c>
      <c r="S1263">
        <v>69</v>
      </c>
    </row>
    <row r="1264" spans="1:19" hidden="1" x14ac:dyDescent="0.25">
      <c r="A1264">
        <v>22000775</v>
      </c>
      <c r="B1264" t="s">
        <v>26</v>
      </c>
      <c r="C1264" t="s">
        <v>19</v>
      </c>
      <c r="D1264">
        <v>50</v>
      </c>
      <c r="E1264">
        <v>33</v>
      </c>
      <c r="F1264">
        <v>17</v>
      </c>
      <c r="G1264">
        <v>2</v>
      </c>
      <c r="H1264" s="1">
        <v>7.5925925925925926E-3</v>
      </c>
      <c r="I1264">
        <v>2020</v>
      </c>
      <c r="J1264" t="s">
        <v>83</v>
      </c>
      <c r="K1264" s="2" t="str">
        <f>HYPERLINK("https://www.nba.com/stats/events?CFID=&amp;CFPARAMS=&amp;GameEventID=186&amp;GameID=0022000775&amp;Season=2020-21&amp;flag=1&amp;title=Leonard%2025'%203PT%20running%20pullup%20(7%20PTS)", "25' 3PT running pullup (7 PTS)")</f>
        <v>25' 3PT running pullup (7 PTS)</v>
      </c>
      <c r="L1264" s="2" t="str">
        <f>HYPERLINK("https://www.nba.com/game/...-vs-...-0022000775/play-by-play?watchFullGame=true", "LAC vs POR - Q2 10:56.00")</f>
        <v>LAC vs POR - Q2 10:56.00</v>
      </c>
      <c r="M1264">
        <v>25.85</v>
      </c>
      <c r="N1264">
        <v>68.94</v>
      </c>
      <c r="O1264">
        <v>69.430000000000007</v>
      </c>
      <c r="P1264">
        <v>97</v>
      </c>
      <c r="Q1264">
        <v>239</v>
      </c>
      <c r="R1264">
        <v>68</v>
      </c>
      <c r="S1264">
        <v>69</v>
      </c>
    </row>
    <row r="1265" spans="1:19" hidden="1" x14ac:dyDescent="0.25">
      <c r="A1265">
        <v>21900035</v>
      </c>
      <c r="B1265" t="s">
        <v>26</v>
      </c>
      <c r="C1265" t="s">
        <v>84</v>
      </c>
      <c r="D1265">
        <v>115</v>
      </c>
      <c r="E1265">
        <v>121</v>
      </c>
      <c r="F1265">
        <v>6</v>
      </c>
      <c r="G1265">
        <v>4</v>
      </c>
      <c r="H1265" s="1">
        <v>1.0879629629629629E-3</v>
      </c>
      <c r="I1265">
        <v>2019</v>
      </c>
      <c r="J1265" t="s">
        <v>83</v>
      </c>
      <c r="K1265" s="2" t="str">
        <f>HYPERLINK("https://www.nba.com/stats/events?CFID=&amp;CFPARAMS=&amp;GameEventID=737&amp;GameID=0021900035&amp;Season=2019-20&amp;flag=1&amp;title=[LAC]%20Leonard%203pt%20shot:%20Made%20(24%20PTS)", "[LAC] Leonard 3pt shot: Made (24 PTS)")</f>
        <v>[LAC] Leonard 3pt shot: Made (24 PTS)</v>
      </c>
      <c r="L1265" s="2" t="str">
        <f>HYPERLINK("https://www.nba.com/game/...-vs-...-0021900035/play-by-play?watchFullGame=true", "LAC vs PHX - Q4 01:34.00")</f>
        <v>LAC vs PHX - Q4 01:34.00</v>
      </c>
      <c r="M1265">
        <v>25.78</v>
      </c>
      <c r="N1265">
        <v>68.81</v>
      </c>
      <c r="O1265">
        <v>65.27</v>
      </c>
      <c r="P1265">
        <v>76</v>
      </c>
      <c r="Q1265">
        <v>241</v>
      </c>
      <c r="R1265">
        <v>68</v>
      </c>
      <c r="S1265">
        <v>65</v>
      </c>
    </row>
    <row r="1266" spans="1:19" hidden="1" x14ac:dyDescent="0.25">
      <c r="A1266">
        <v>22200918</v>
      </c>
      <c r="B1266" t="s">
        <v>26</v>
      </c>
      <c r="C1266" t="s">
        <v>19</v>
      </c>
      <c r="D1266">
        <v>49</v>
      </c>
      <c r="E1266">
        <v>58</v>
      </c>
      <c r="F1266">
        <v>9</v>
      </c>
      <c r="G1266">
        <v>2</v>
      </c>
      <c r="H1266" s="1">
        <v>2.0138888888888888E-3</v>
      </c>
      <c r="I1266">
        <v>2022</v>
      </c>
      <c r="J1266" t="s">
        <v>83</v>
      </c>
      <c r="K1266" s="2" t="str">
        <f>HYPERLINK("https://www.nba.com/stats/events?CFID=&amp;CFPARAMS=&amp;GameEventID=268&amp;GameID=0022200918&amp;Season=2022-23&amp;flag=1&amp;title=Leonard%2025'%203PT%20pullup%20(12%20PTS)", "25' 3PT pullup (12 PTS)")</f>
        <v>25' 3PT pullup (12 PTS)</v>
      </c>
      <c r="L1266" s="2" t="str">
        <f>HYPERLINK("https://www.nba.com/game/...-vs-...-0022200918/play-by-play?watchFullGame=true", "LAC vs DEN - Q2 02:54.00")</f>
        <v>LAC vs DEN - Q2 02:54.00</v>
      </c>
      <c r="M1266">
        <v>25.74</v>
      </c>
      <c r="N1266">
        <v>68.94</v>
      </c>
      <c r="O1266">
        <v>31.13</v>
      </c>
      <c r="P1266">
        <v>-94</v>
      </c>
      <c r="Q1266">
        <v>239</v>
      </c>
      <c r="R1266">
        <v>68</v>
      </c>
      <c r="S1266">
        <v>31</v>
      </c>
    </row>
    <row r="1267" spans="1:19" hidden="1" x14ac:dyDescent="0.25">
      <c r="A1267">
        <v>21900377</v>
      </c>
      <c r="B1267" t="s">
        <v>26</v>
      </c>
      <c r="C1267" t="s">
        <v>84</v>
      </c>
      <c r="D1267">
        <v>30</v>
      </c>
      <c r="E1267">
        <v>18</v>
      </c>
      <c r="F1267">
        <v>12</v>
      </c>
      <c r="G1267">
        <v>1</v>
      </c>
      <c r="H1267" s="1">
        <v>2.1064814814814813E-3</v>
      </c>
      <c r="I1267">
        <v>2019</v>
      </c>
      <c r="J1267" t="s">
        <v>83</v>
      </c>
      <c r="K1267" s="2" t="str">
        <f>HYPERLINK("https://www.nba.com/stats/events?CFID=&amp;CFPARAMS=&amp;GameEventID=107&amp;GameID=0021900377&amp;Season=2019-20&amp;flag=1&amp;title=Leonard%2026'%203PT%20%20(16%20PTS)", "26' 3PT  (16 PTS)")</f>
        <v>26' 3PT  (16 PTS)</v>
      </c>
      <c r="L1267" s="2" t="str">
        <f>HYPERLINK("https://www.nba.com/game/...-vs-...-0021900377/play-by-play?watchFullGame=true", "LAC vs MIN - Q1 03:02.00")</f>
        <v>LAC vs MIN - Q1 03:02.00</v>
      </c>
      <c r="M1267">
        <v>25.65</v>
      </c>
      <c r="N1267">
        <v>68.150000000000006</v>
      </c>
      <c r="O1267">
        <v>59.14</v>
      </c>
      <c r="P1267">
        <v>46</v>
      </c>
      <c r="Q1267">
        <v>247</v>
      </c>
      <c r="R1267">
        <v>68</v>
      </c>
      <c r="S1267">
        <v>59</v>
      </c>
    </row>
    <row r="1268" spans="1:19" hidden="1" x14ac:dyDescent="0.25">
      <c r="A1268">
        <v>22000224</v>
      </c>
      <c r="B1268" t="s">
        <v>26</v>
      </c>
      <c r="C1268" t="s">
        <v>19</v>
      </c>
      <c r="D1268">
        <v>48</v>
      </c>
      <c r="E1268">
        <v>43</v>
      </c>
      <c r="F1268">
        <v>5</v>
      </c>
      <c r="G1268">
        <v>2</v>
      </c>
      <c r="H1268" s="1">
        <v>3.3101851851851851E-3</v>
      </c>
      <c r="I1268">
        <v>2020</v>
      </c>
      <c r="J1268" t="s">
        <v>83</v>
      </c>
      <c r="K1268" s="2" t="str">
        <f>HYPERLINK("https://www.nba.com/stats/events?CFID=&amp;CFPARAMS=&amp;GameEventID=254&amp;GameID=0022000224&amp;Season=2020-21&amp;flag=1&amp;title=Leonard%2025'%203PT%20pullup%20(13%20PTS)", "25' 3PT pullup (13 PTS)")</f>
        <v>25' 3PT pullup (13 PTS)</v>
      </c>
      <c r="L1268" s="2" t="str">
        <f>HYPERLINK("https://www.nba.com/game/...-vs-...-0022000224/play-by-play?watchFullGame=true", "LAC vs SAC - Q2 04:46.00")</f>
        <v>LAC vs SAC - Q2 04:46.00</v>
      </c>
      <c r="M1268">
        <v>25.48</v>
      </c>
      <c r="N1268">
        <v>68.680000000000007</v>
      </c>
      <c r="O1268">
        <v>66</v>
      </c>
      <c r="P1268">
        <v>80</v>
      </c>
      <c r="Q1268">
        <v>242</v>
      </c>
      <c r="R1268">
        <v>68</v>
      </c>
      <c r="S1268">
        <v>66</v>
      </c>
    </row>
    <row r="1269" spans="1:19" hidden="1" x14ac:dyDescent="0.25">
      <c r="A1269">
        <v>21900618</v>
      </c>
      <c r="B1269" t="s">
        <v>26</v>
      </c>
      <c r="C1269" t="s">
        <v>84</v>
      </c>
      <c r="D1269">
        <v>15</v>
      </c>
      <c r="E1269">
        <v>13</v>
      </c>
      <c r="F1269">
        <v>2</v>
      </c>
      <c r="G1269">
        <v>1</v>
      </c>
      <c r="H1269" s="1">
        <v>5.6249999999999998E-3</v>
      </c>
      <c r="I1269">
        <v>2019</v>
      </c>
      <c r="J1269" t="s">
        <v>83</v>
      </c>
      <c r="K1269" s="2" t="str">
        <f>HYPERLINK("https://www.nba.com/stats/events?CFID=&amp;CFPARAMS=&amp;GameEventID=36&amp;GameID=0021900618&amp;Season=2019-20&amp;flag=1&amp;title=Leonard%2025'%203PT%20%20(7%20PTS)%20(P.%20Beverley%203%20AST)", "25' 3PT  (7 PTS) (P. Beverley 3 AST)")</f>
        <v>25' 3PT  (7 PTS) (P. Beverley 3 AST)</v>
      </c>
      <c r="L1269" s="2" t="str">
        <f>HYPERLINK("https://www.nba.com/game/...-vs-...-0021900618/play-by-play?watchFullGame=true", "LAC vs ORL - Q1 08:06.00")</f>
        <v>LAC vs ORL - Q1 08:06.00</v>
      </c>
      <c r="M1269">
        <v>25.44</v>
      </c>
      <c r="N1269">
        <v>68.77</v>
      </c>
      <c r="O1269">
        <v>37.43</v>
      </c>
      <c r="P1269">
        <v>-63</v>
      </c>
      <c r="Q1269">
        <v>241</v>
      </c>
      <c r="R1269">
        <v>68</v>
      </c>
      <c r="S1269">
        <v>37</v>
      </c>
    </row>
    <row r="1270" spans="1:19" hidden="1" x14ac:dyDescent="0.25">
      <c r="A1270">
        <v>22200604</v>
      </c>
      <c r="B1270" t="s">
        <v>26</v>
      </c>
      <c r="C1270" t="s">
        <v>19</v>
      </c>
      <c r="D1270">
        <v>47</v>
      </c>
      <c r="E1270">
        <v>59</v>
      </c>
      <c r="F1270">
        <v>12</v>
      </c>
      <c r="G1270">
        <v>2</v>
      </c>
      <c r="H1270" s="1">
        <v>7.9861111111111116E-4</v>
      </c>
      <c r="I1270">
        <v>2022</v>
      </c>
      <c r="J1270" t="s">
        <v>83</v>
      </c>
      <c r="K1270" s="2" t="str">
        <f>HYPERLINK("https://www.nba.com/stats/events?CFID=&amp;CFPARAMS=&amp;GameEventID=307&amp;GameID=0022200604&amp;Season=2022-23&amp;flag=1&amp;title=Leonard%2025'%203PT%20running%20pullup%20(14%20PTS)", "25' 3PT running pullup (14 PTS)")</f>
        <v>25' 3PT running pullup (14 PTS)</v>
      </c>
      <c r="L1270" s="2" t="str">
        <f>HYPERLINK("https://www.nba.com/game/...-vs-...-0022200604/play-by-play?watchFullGame=true", "LAC vs ATL - Q2 01:09.00")</f>
        <v>LAC vs ATL - Q2 01:09.00</v>
      </c>
      <c r="M1270">
        <v>25.35</v>
      </c>
      <c r="N1270">
        <v>68.91</v>
      </c>
      <c r="O1270">
        <v>66.42</v>
      </c>
      <c r="P1270">
        <v>82</v>
      </c>
      <c r="Q1270">
        <v>240</v>
      </c>
      <c r="R1270">
        <v>68</v>
      </c>
      <c r="S1270">
        <v>66</v>
      </c>
    </row>
    <row r="1271" spans="1:19" hidden="1" x14ac:dyDescent="0.25">
      <c r="A1271">
        <v>22300372</v>
      </c>
      <c r="B1271" t="s">
        <v>26</v>
      </c>
      <c r="C1271" t="s">
        <v>19</v>
      </c>
      <c r="D1271">
        <v>29</v>
      </c>
      <c r="E1271">
        <v>20</v>
      </c>
      <c r="F1271">
        <v>9</v>
      </c>
      <c r="G1271">
        <v>1</v>
      </c>
      <c r="H1271" s="1">
        <v>1.2962962962962963E-3</v>
      </c>
      <c r="I1271">
        <v>2023</v>
      </c>
      <c r="J1271" t="s">
        <v>83</v>
      </c>
      <c r="K1271" s="2" t="str">
        <f>HYPERLINK("https://www.nba.com/stats/events?CFID=&amp;CFPARAMS=&amp;GameEventID=139&amp;GameID=0022300372&amp;Season=2023-24&amp;flag=1&amp;title=Leonard%2025'%203PT%20%20(10%20PTS)", "25' 3PT  (10 PTS)")</f>
        <v>25' 3PT  (10 PTS)</v>
      </c>
      <c r="L1271" s="2" t="str">
        <f>HYPERLINK("https://www.nba.com/game/...-vs-...-0022300372/play-by-play?watchFullGame=true", "LAC vs DAL - Q1 01:52.00")</f>
        <v>LAC vs DAL - Q1 01:52.00</v>
      </c>
      <c r="M1271">
        <v>25.33</v>
      </c>
      <c r="N1271">
        <v>68.150000000000006</v>
      </c>
      <c r="O1271">
        <v>38.729999999999997</v>
      </c>
      <c r="P1271">
        <v>-56</v>
      </c>
      <c r="Q1271">
        <v>247</v>
      </c>
      <c r="R1271">
        <v>68</v>
      </c>
      <c r="S1271">
        <v>38</v>
      </c>
    </row>
    <row r="1272" spans="1:19" hidden="1" x14ac:dyDescent="0.25">
      <c r="A1272">
        <v>22200932</v>
      </c>
      <c r="B1272" t="s">
        <v>26</v>
      </c>
      <c r="C1272" t="s">
        <v>19</v>
      </c>
      <c r="D1272">
        <v>11</v>
      </c>
      <c r="E1272">
        <v>4</v>
      </c>
      <c r="F1272">
        <v>7</v>
      </c>
      <c r="G1272">
        <v>1</v>
      </c>
      <c r="H1272" s="1">
        <v>5.9606481481481481E-3</v>
      </c>
      <c r="I1272">
        <v>2022</v>
      </c>
      <c r="J1272" t="s">
        <v>83</v>
      </c>
      <c r="K1272" s="2" t="str">
        <f>HYPERLINK("https://www.nba.com/stats/events?CFID=&amp;CFPARAMS=&amp;GameEventID=39&amp;GameID=0022200932&amp;Season=2022-23&amp;flag=1&amp;title=Leonard%2025'%203PT%20running%20pullup%20(3%20PTS)%20(I.%20Zubac%201%20AST)", "25' 3PT running pullup (3 PTS) (I. Zubac 1 AST)")</f>
        <v>25' 3PT running pullup (3 PTS) (I. Zubac 1 AST)</v>
      </c>
      <c r="L1272" s="2" t="str">
        <f>HYPERLINK("https://www.nba.com/game/...-vs-...-0022200932/play-by-play?watchFullGame=true", "LAC vs MIN - Q1 08:35.00")</f>
        <v>LAC vs MIN - Q1 08:35.00</v>
      </c>
      <c r="M1272">
        <v>25.31</v>
      </c>
      <c r="N1272">
        <v>68.12</v>
      </c>
      <c r="O1272">
        <v>39.1</v>
      </c>
      <c r="P1272">
        <v>-54</v>
      </c>
      <c r="Q1272">
        <v>247</v>
      </c>
      <c r="R1272">
        <v>68</v>
      </c>
      <c r="S1272">
        <v>39</v>
      </c>
    </row>
    <row r="1273" spans="1:19" hidden="1" x14ac:dyDescent="0.25">
      <c r="A1273">
        <v>22301225</v>
      </c>
      <c r="B1273" t="s">
        <v>26</v>
      </c>
      <c r="C1273" t="s">
        <v>19</v>
      </c>
      <c r="D1273">
        <v>52</v>
      </c>
      <c r="E1273">
        <v>42</v>
      </c>
      <c r="F1273">
        <v>10</v>
      </c>
      <c r="G1273">
        <v>2</v>
      </c>
      <c r="H1273" s="1">
        <v>1.1342592592592593E-3</v>
      </c>
      <c r="I1273">
        <v>2023</v>
      </c>
      <c r="J1273" t="s">
        <v>83</v>
      </c>
      <c r="K1273" s="2" t="str">
        <f>HYPERLINK("https://www.nba.com/stats/events?CFID=&amp;CFPARAMS=&amp;GameEventID=303&amp;GameID=0022301225&amp;Season=2023-24&amp;flag=1&amp;title=Leonard%2025'%203PT%20%20(19%20PTS)", "25' 3PT  (19 PTS)")</f>
        <v>25' 3PT  (19 PTS)</v>
      </c>
      <c r="L1273" s="2" t="str">
        <f>HYPERLINK("https://www.nba.com/game/...-vs-...-0022301225/play-by-play?watchFullGame=true", "LAC vs UTA - Q2 01:38.00")</f>
        <v>LAC vs UTA - Q2 01:38.00</v>
      </c>
      <c r="M1273">
        <v>25.18</v>
      </c>
      <c r="N1273">
        <v>68.680000000000007</v>
      </c>
      <c r="O1273">
        <v>63.97</v>
      </c>
      <c r="P1273">
        <v>70</v>
      </c>
      <c r="Q1273">
        <v>242</v>
      </c>
      <c r="R1273">
        <v>68</v>
      </c>
      <c r="S1273">
        <v>63</v>
      </c>
    </row>
    <row r="1274" spans="1:19" hidden="1" x14ac:dyDescent="0.25">
      <c r="A1274">
        <v>22000387</v>
      </c>
      <c r="B1274" t="s">
        <v>26</v>
      </c>
      <c r="C1274" t="s">
        <v>19</v>
      </c>
      <c r="D1274">
        <v>16</v>
      </c>
      <c r="E1274">
        <v>24</v>
      </c>
      <c r="F1274">
        <v>8</v>
      </c>
      <c r="G1274">
        <v>1</v>
      </c>
      <c r="H1274" s="1">
        <v>3.6226851851851854E-3</v>
      </c>
      <c r="I1274">
        <v>2020</v>
      </c>
      <c r="J1274" t="s">
        <v>83</v>
      </c>
      <c r="K1274" s="2" t="str">
        <f>HYPERLINK("https://www.nba.com/stats/events?CFID=&amp;CFPARAMS=&amp;GameEventID=82&amp;GameID=0022000387&amp;Season=2020-21&amp;flag=1&amp;title=Leonard%2025'%203PT%20step%20back%20(7%20PTS)", "25' 3PT step back (7 PTS)")</f>
        <v>25' 3PT step back (7 PTS)</v>
      </c>
      <c r="L1274" s="2" t="str">
        <f>HYPERLINK("https://www.nba.com/game/...-vs-...-0022000387/play-by-play?watchFullGame=true", "LAC vs MIN - Q1 05:13.00")</f>
        <v>LAC vs MIN - Q1 05:13.00</v>
      </c>
      <c r="M1274">
        <v>25.18</v>
      </c>
      <c r="N1274">
        <v>68.94</v>
      </c>
      <c r="O1274">
        <v>65.510000000000005</v>
      </c>
      <c r="P1274">
        <v>78</v>
      </c>
      <c r="Q1274">
        <v>239</v>
      </c>
      <c r="R1274">
        <v>68</v>
      </c>
      <c r="S1274">
        <v>65</v>
      </c>
    </row>
    <row r="1275" spans="1:19" hidden="1" x14ac:dyDescent="0.25">
      <c r="A1275">
        <v>42000173</v>
      </c>
      <c r="B1275" t="s">
        <v>26</v>
      </c>
      <c r="C1275" t="s">
        <v>19</v>
      </c>
      <c r="D1275">
        <v>36</v>
      </c>
      <c r="E1275">
        <v>37</v>
      </c>
      <c r="F1275">
        <v>1</v>
      </c>
      <c r="G1275">
        <v>2</v>
      </c>
      <c r="H1275" s="1">
        <v>7.789351851851852E-3</v>
      </c>
      <c r="I1275" t="s">
        <v>91</v>
      </c>
      <c r="J1275" t="s">
        <v>83</v>
      </c>
      <c r="K1275" s="2" t="str">
        <f>HYPERLINK("https://www.nba.com/stats/events?CFID=&amp;CFPARAMS=&amp;GameEventID=158&amp;GameID=0042000173&amp;Season=2020-21&amp;flag=1&amp;title=Leonard%2025'%203PT%20%20(12%20PTS)%20(R.%20Rondo%202%20AST)", "25' 3PT  (12 PTS) (R. Rondo 2 AST)")</f>
        <v>25' 3PT  (12 PTS) (R. Rondo 2 AST)</v>
      </c>
      <c r="L1275" s="2" t="str">
        <f>HYPERLINK("https://www.nba.com/game/...-vs-...-0042000173/play-by-play?watchFullGame=true", "LAC vs DAL - Q2 11:13.00")</f>
        <v>LAC vs DAL - Q2 11:13.00</v>
      </c>
      <c r="M1275">
        <v>25.15</v>
      </c>
      <c r="N1275">
        <v>68.680000000000007</v>
      </c>
      <c r="O1275">
        <v>63.79</v>
      </c>
      <c r="P1275">
        <v>68</v>
      </c>
      <c r="Q1275">
        <v>63</v>
      </c>
      <c r="R1275">
        <v>68</v>
      </c>
      <c r="S1275">
        <v>63</v>
      </c>
    </row>
    <row r="1276" spans="1:19" hidden="1" x14ac:dyDescent="0.25">
      <c r="A1276">
        <v>22201129</v>
      </c>
      <c r="B1276" t="s">
        <v>26</v>
      </c>
      <c r="C1276" t="s">
        <v>19</v>
      </c>
      <c r="D1276">
        <v>99</v>
      </c>
      <c r="E1276">
        <v>77</v>
      </c>
      <c r="F1276">
        <v>22</v>
      </c>
      <c r="G1276">
        <v>3</v>
      </c>
      <c r="H1276" s="1">
        <v>7.0601851851851847E-4</v>
      </c>
      <c r="I1276">
        <v>2022</v>
      </c>
      <c r="J1276" t="s">
        <v>83</v>
      </c>
      <c r="K1276" s="2" t="str">
        <f>HYPERLINK("https://www.nba.com/stats/events?CFID=&amp;CFPARAMS=&amp;GameEventID=424&amp;GameID=0022201129&amp;Season=2022-23&amp;flag=1&amp;title=Leonard%2028'%203PT%20pullup%20(16%20PTS)%20(B.%20Hyland%206%20AST)", "28' 3PT pullup (16 PTS) (B. Hyland 6 AST)")</f>
        <v>28' 3PT pullup (16 PTS) (B. Hyland 6 AST)</v>
      </c>
      <c r="L1276" s="2" t="str">
        <f>HYPERLINK("https://www.nba.com/game/...-vs-...-0022201129/play-by-play?watchFullGame=true", "LAC vs CHI - Q3 01:01.00")</f>
        <v>LAC vs CHI - Q3 01:01.00</v>
      </c>
      <c r="M1276">
        <v>28</v>
      </c>
      <c r="N1276">
        <v>69.83</v>
      </c>
      <c r="O1276">
        <v>81.62</v>
      </c>
      <c r="P1276">
        <v>158</v>
      </c>
      <c r="Q1276">
        <v>231</v>
      </c>
      <c r="R1276">
        <v>69</v>
      </c>
      <c r="S1276">
        <v>81</v>
      </c>
    </row>
    <row r="1277" spans="1:19" hidden="1" x14ac:dyDescent="0.25">
      <c r="A1277">
        <v>22300688</v>
      </c>
      <c r="B1277" t="s">
        <v>26</v>
      </c>
      <c r="C1277" t="s">
        <v>19</v>
      </c>
      <c r="D1277">
        <v>63</v>
      </c>
      <c r="E1277">
        <v>59</v>
      </c>
      <c r="F1277">
        <v>4</v>
      </c>
      <c r="G1277">
        <v>2</v>
      </c>
      <c r="H1277" s="1">
        <v>6.018518518518519E-4</v>
      </c>
      <c r="I1277">
        <v>2023</v>
      </c>
      <c r="J1277" t="s">
        <v>83</v>
      </c>
      <c r="K1277" s="2" t="str">
        <f>HYPERLINK("https://www.nba.com/stats/events?CFID=&amp;CFPARAMS=&amp;GameEventID=303&amp;GameID=0022300688&amp;Season=2023-24&amp;flag=1&amp;title=Leonard%2027'%203PT%20step%20back%20(21%20PTS)", "27' 3PT step back (21 PTS)")</f>
        <v>27' 3PT step back (21 PTS)</v>
      </c>
      <c r="L1277" s="2" t="str">
        <f>HYPERLINK("https://www.nba.com/game/...-vs-...-0022300688/play-by-play?watchFullGame=true", "LAC vs DET - Q2 00:52.00")</f>
        <v>LAC vs DET - Q2 00:52.00</v>
      </c>
      <c r="M1277">
        <v>27.6</v>
      </c>
      <c r="N1277">
        <v>69.33</v>
      </c>
      <c r="O1277">
        <v>21.32</v>
      </c>
      <c r="P1277">
        <v>-143</v>
      </c>
      <c r="Q1277">
        <v>236</v>
      </c>
      <c r="R1277">
        <v>69</v>
      </c>
      <c r="S1277">
        <v>21</v>
      </c>
    </row>
    <row r="1278" spans="1:19" hidden="1" x14ac:dyDescent="0.25">
      <c r="A1278">
        <v>22200945</v>
      </c>
      <c r="B1278" t="s">
        <v>26</v>
      </c>
      <c r="C1278" t="s">
        <v>19</v>
      </c>
      <c r="D1278">
        <v>56</v>
      </c>
      <c r="E1278">
        <v>45</v>
      </c>
      <c r="F1278">
        <v>11</v>
      </c>
      <c r="G1278">
        <v>2</v>
      </c>
      <c r="H1278" s="1">
        <v>1.5046296296296297E-5</v>
      </c>
      <c r="I1278">
        <v>2022</v>
      </c>
      <c r="J1278" t="s">
        <v>83</v>
      </c>
      <c r="K1278" s="2" t="str">
        <f>HYPERLINK("https://www.nba.com/stats/events?CFID=&amp;CFPARAMS=&amp;GameEventID=328&amp;GameID=0022200945&amp;Season=2022-23&amp;flag=1&amp;title=Leonard%2027'%203PT%20%20(15%20PTS)%20(P.%20George%205%20AST)", "27' 3PT  (15 PTS) (P. George 5 AST)")</f>
        <v>27' 3PT  (15 PTS) (P. George 5 AST)</v>
      </c>
      <c r="L1278" s="2" t="str">
        <f>HYPERLINK("https://www.nba.com/game/...-vs-...-0022200945/play-by-play?watchFullGame=true", "LAC vs GSW - Q2 00:01.30")</f>
        <v>LAC vs GSW - Q2 00:01.30</v>
      </c>
      <c r="M1278">
        <v>27.55</v>
      </c>
      <c r="N1278">
        <v>69.069999999999993</v>
      </c>
      <c r="O1278">
        <v>22.3</v>
      </c>
      <c r="P1278">
        <v>-138</v>
      </c>
      <c r="Q1278">
        <v>238</v>
      </c>
      <c r="R1278">
        <v>69</v>
      </c>
      <c r="S1278">
        <v>22</v>
      </c>
    </row>
    <row r="1279" spans="1:19" hidden="1" x14ac:dyDescent="0.25">
      <c r="A1279">
        <v>22300223</v>
      </c>
      <c r="B1279" t="s">
        <v>26</v>
      </c>
      <c r="C1279" t="s">
        <v>19</v>
      </c>
      <c r="D1279">
        <v>26</v>
      </c>
      <c r="E1279">
        <v>21</v>
      </c>
      <c r="F1279">
        <v>5</v>
      </c>
      <c r="G1279">
        <v>1</v>
      </c>
      <c r="H1279" s="1">
        <v>1.0995370370370371E-3</v>
      </c>
      <c r="I1279">
        <v>2023</v>
      </c>
      <c r="J1279" t="s">
        <v>83</v>
      </c>
      <c r="K1279" s="2" t="str">
        <f>HYPERLINK("https://www.nba.com/stats/events?CFID=&amp;CFPARAMS=&amp;GameEventID=124&amp;GameID=0022300223&amp;Season=2023-24&amp;flag=1&amp;title=Leonard%2027'%203PT%20%20(8%20PTS)%20(J.%20Harden%204%20AST)", "27' 3PT  (8 PTS) (J. Harden 4 AST)")</f>
        <v>27' 3PT  (8 PTS) (J. Harden 4 AST)</v>
      </c>
      <c r="L1279" s="2" t="str">
        <f>HYPERLINK("https://www.nba.com/game/...-vs-...-0022300223/play-by-play?watchFullGame=true", "LAC vs SAS - Q1 01:35.00")</f>
        <v>LAC vs SAS - Q1 01:35.00</v>
      </c>
      <c r="M1279">
        <v>27.49</v>
      </c>
      <c r="N1279">
        <v>69.459999999999994</v>
      </c>
      <c r="O1279">
        <v>21.32</v>
      </c>
      <c r="P1279">
        <v>-143</v>
      </c>
      <c r="Q1279">
        <v>235</v>
      </c>
      <c r="R1279">
        <v>69</v>
      </c>
      <c r="S1279">
        <v>21</v>
      </c>
    </row>
    <row r="1280" spans="1:19" hidden="1" x14ac:dyDescent="0.25">
      <c r="A1280">
        <v>22400927</v>
      </c>
      <c r="B1280" t="s">
        <v>26</v>
      </c>
      <c r="C1280" t="s">
        <v>19</v>
      </c>
      <c r="D1280">
        <v>10</v>
      </c>
      <c r="E1280">
        <v>10</v>
      </c>
      <c r="F1280">
        <v>0</v>
      </c>
      <c r="G1280">
        <v>1</v>
      </c>
      <c r="H1280" s="1">
        <v>4.7453703703703703E-3</v>
      </c>
      <c r="I1280">
        <v>2024</v>
      </c>
      <c r="J1280" t="s">
        <v>83</v>
      </c>
      <c r="K1280" s="2" t="str">
        <f>HYPERLINK("https://www.nba.com/stats/events?CFID=&amp;CFPARAMS=&amp;GameEventID=52&amp;GameID=0022400927&amp;Season=2024-25&amp;flag=1&amp;title=Leonard%2027'%203PT%20%20(3%20PTS)%20(J.%20Harden%201%20AST)", "27' 3PT  (3 PTS) (J. Harden 1 AST)")</f>
        <v>27' 3PT  (3 PTS) (J. Harden 1 AST)</v>
      </c>
      <c r="L1280" s="2" t="str">
        <f>HYPERLINK("https://www.nba.com/game/...-vs-...-0022400927/play-by-play?watchFullGame=true", "LAC vs SAC - Q1 06:50.00")</f>
        <v>LAC vs SAC - Q1 06:50.00</v>
      </c>
      <c r="M1280">
        <v>27.45</v>
      </c>
      <c r="N1280">
        <v>69.2</v>
      </c>
      <c r="O1280">
        <v>77.7</v>
      </c>
      <c r="P1280">
        <v>138</v>
      </c>
      <c r="Q1280">
        <v>237</v>
      </c>
      <c r="R1280">
        <v>69</v>
      </c>
      <c r="S1280">
        <v>77</v>
      </c>
    </row>
    <row r="1281" spans="1:19" hidden="1" x14ac:dyDescent="0.25">
      <c r="A1281">
        <v>22300127</v>
      </c>
      <c r="B1281" t="s">
        <v>26</v>
      </c>
      <c r="C1281" t="s">
        <v>19</v>
      </c>
      <c r="D1281">
        <v>16</v>
      </c>
      <c r="E1281">
        <v>9</v>
      </c>
      <c r="F1281">
        <v>7</v>
      </c>
      <c r="G1281">
        <v>1</v>
      </c>
      <c r="H1281" s="1">
        <v>5.2314814814814811E-3</v>
      </c>
      <c r="I1281">
        <v>2023</v>
      </c>
      <c r="J1281" t="s">
        <v>83</v>
      </c>
      <c r="K1281" s="2" t="str">
        <f>HYPERLINK("https://www.nba.com/stats/events?CFID=&amp;CFPARAMS=&amp;GameEventID=46&amp;GameID=0022300127&amp;Season=2023-24&amp;flag=1&amp;title=Leonard%2027'%203PT%20running%20(10%20PTS)%20(B.%20Hyland%201%20AST)", "27' 3PT running (10 PTS) (B. Hyland 1 AST)")</f>
        <v>27' 3PT running (10 PTS) (B. Hyland 1 AST)</v>
      </c>
      <c r="L1281" s="2" t="str">
        <f>HYPERLINK("https://www.nba.com/game/...-vs-...-0022300127/play-by-play?watchFullGame=true", "LAC vs LAL - Q1 07:32.00")</f>
        <v>LAC vs LAL - Q1 07:32.00</v>
      </c>
      <c r="M1281">
        <v>27.35</v>
      </c>
      <c r="N1281">
        <v>69.56</v>
      </c>
      <c r="O1281">
        <v>21.57</v>
      </c>
      <c r="P1281">
        <v>-142</v>
      </c>
      <c r="Q1281">
        <v>234</v>
      </c>
      <c r="R1281">
        <v>69</v>
      </c>
      <c r="S1281">
        <v>21</v>
      </c>
    </row>
    <row r="1282" spans="1:19" hidden="1" x14ac:dyDescent="0.25">
      <c r="A1282">
        <v>21900458</v>
      </c>
      <c r="B1282" t="s">
        <v>26</v>
      </c>
      <c r="C1282" t="s">
        <v>84</v>
      </c>
      <c r="D1282">
        <v>101</v>
      </c>
      <c r="E1282">
        <v>101</v>
      </c>
      <c r="F1282">
        <v>0</v>
      </c>
      <c r="G1282">
        <v>4</v>
      </c>
      <c r="H1282" s="1">
        <v>3.6458333333333334E-3</v>
      </c>
      <c r="I1282">
        <v>2019</v>
      </c>
      <c r="J1282" t="s">
        <v>83</v>
      </c>
      <c r="K1282" s="2" t="str">
        <f>HYPERLINK("https://www.nba.com/stats/events?CFID=&amp;CFPARAMS=&amp;GameEventID=632&amp;GameID=0021900458&amp;Season=2019-20&amp;flag=1&amp;title=Leonard%2027'%203PT%20%20(31%20PTS)", "27' 3PT  (31 PTS)")</f>
        <v>27' 3PT  (31 PTS)</v>
      </c>
      <c r="L1282" s="2" t="str">
        <f>HYPERLINK("https://www.nba.com/game/...-vs-...-0021900458/play-by-play?watchFullGame=true", "LAC vs LAL - Q4 05:15.00")</f>
        <v>LAC vs LAL - Q4 05:15.00</v>
      </c>
      <c r="M1282">
        <v>27.18</v>
      </c>
      <c r="N1282">
        <v>69.040000000000006</v>
      </c>
      <c r="O1282">
        <v>73.95</v>
      </c>
      <c r="P1282">
        <v>120</v>
      </c>
      <c r="Q1282">
        <v>239</v>
      </c>
      <c r="R1282">
        <v>69</v>
      </c>
      <c r="S1282">
        <v>73</v>
      </c>
    </row>
    <row r="1283" spans="1:19" hidden="1" x14ac:dyDescent="0.25">
      <c r="A1283">
        <v>42200172</v>
      </c>
      <c r="B1283" t="s">
        <v>26</v>
      </c>
      <c r="C1283" t="s">
        <v>19</v>
      </c>
      <c r="D1283">
        <v>48</v>
      </c>
      <c r="E1283">
        <v>36</v>
      </c>
      <c r="F1283">
        <v>12</v>
      </c>
      <c r="G1283">
        <v>2</v>
      </c>
      <c r="H1283" s="1">
        <v>4.0972222222222226E-3</v>
      </c>
      <c r="I1283" t="s">
        <v>96</v>
      </c>
      <c r="J1283" t="s">
        <v>83</v>
      </c>
      <c r="K1283" s="2" t="str">
        <f>HYPERLINK("https://www.nba.com/stats/events?CFID=&amp;CFPARAMS=&amp;GameEventID=246&amp;GameID=0042200172&amp;Season=2022-23&amp;flag=1&amp;title=Leonard%2027'%203PT%20pullup%20(11%20PTS)", "27' 3PT pullup (11 PTS)")</f>
        <v>27' 3PT pullup (11 PTS)</v>
      </c>
      <c r="L1283" s="2" t="str">
        <f>HYPERLINK("https://www.nba.com/game/...-vs-...-0042200172/play-by-play?watchFullGame=true", "LAC vs PHX - Q2 05:54.00")</f>
        <v>LAC vs PHX - Q2 05:54.00</v>
      </c>
      <c r="M1283">
        <v>27.17</v>
      </c>
      <c r="N1283">
        <v>69.459999999999994</v>
      </c>
      <c r="O1283">
        <v>22.55</v>
      </c>
      <c r="P1283">
        <v>69</v>
      </c>
      <c r="Q1283">
        <v>22</v>
      </c>
      <c r="R1283">
        <v>69</v>
      </c>
      <c r="S1283">
        <v>22</v>
      </c>
    </row>
    <row r="1284" spans="1:19" hidden="1" x14ac:dyDescent="0.25">
      <c r="A1284">
        <v>22000660</v>
      </c>
      <c r="B1284" t="s">
        <v>26</v>
      </c>
      <c r="C1284" t="s">
        <v>19</v>
      </c>
      <c r="D1284">
        <v>56</v>
      </c>
      <c r="E1284">
        <v>68</v>
      </c>
      <c r="F1284">
        <v>12</v>
      </c>
      <c r="G1284">
        <v>3</v>
      </c>
      <c r="H1284" s="1">
        <v>6.3310185185185188E-3</v>
      </c>
      <c r="I1284">
        <v>2020</v>
      </c>
      <c r="J1284" t="s">
        <v>83</v>
      </c>
      <c r="K1284" s="2" t="str">
        <f>HYPERLINK("https://www.nba.com/stats/events?CFID=&amp;CFPARAMS=&amp;GameEventID=354&amp;GameID=0022000660&amp;Season=2020-21&amp;flag=1&amp;title=Leonard%2026'%203PT%20%20(14%20PTS)%20(P.%20George%204%20AST)", "26' 3PT  (14 PTS) (P. George 4 AST)")</f>
        <v>26' 3PT  (14 PTS) (P. George 4 AST)</v>
      </c>
      <c r="L1284" s="2" t="str">
        <f>HYPERLINK("https://www.nba.com/game/...-vs-...-0022000660/play-by-play?watchFullGame=true", "LAC vs ATL - Q3 09:07.00")</f>
        <v>LAC vs ATL - Q3 09:07.00</v>
      </c>
      <c r="M1284">
        <v>26.96</v>
      </c>
      <c r="N1284">
        <v>69.3</v>
      </c>
      <c r="O1284">
        <v>23.95</v>
      </c>
      <c r="P1284">
        <v>-130</v>
      </c>
      <c r="Q1284">
        <v>236</v>
      </c>
      <c r="R1284">
        <v>69</v>
      </c>
      <c r="S1284">
        <v>23</v>
      </c>
    </row>
    <row r="1285" spans="1:19" hidden="1" x14ac:dyDescent="0.25">
      <c r="A1285">
        <v>22000472</v>
      </c>
      <c r="B1285" t="s">
        <v>26</v>
      </c>
      <c r="C1285" t="s">
        <v>19</v>
      </c>
      <c r="D1285">
        <v>3</v>
      </c>
      <c r="E1285">
        <v>2</v>
      </c>
      <c r="F1285">
        <v>1</v>
      </c>
      <c r="G1285">
        <v>1</v>
      </c>
      <c r="H1285" s="1">
        <v>7.4074074074074077E-3</v>
      </c>
      <c r="I1285">
        <v>2020</v>
      </c>
      <c r="J1285" t="s">
        <v>83</v>
      </c>
      <c r="K1285" s="2" t="str">
        <f>HYPERLINK("https://www.nba.com/stats/events?CFID=&amp;CFPARAMS=&amp;GameEventID=12&amp;GameID=0022000472&amp;Season=2020-21&amp;flag=1&amp;title=Leonard%2026'%203PT%20%20(3%20PTS)%20(P.%20George%201%20AST)", "26' 3PT  (3 PTS) (P. George 1 AST)")</f>
        <v>26' 3PT  (3 PTS) (P. George 1 AST)</v>
      </c>
      <c r="L1285" s="2" t="str">
        <f>HYPERLINK("https://www.nba.com/game/...-vs-...-0022000472/play-by-play?watchFullGame=true", "LAC vs BKN - Q1 10:40.00")</f>
        <v>LAC vs BKN - Q1 10:40.00</v>
      </c>
      <c r="M1285">
        <v>26.89</v>
      </c>
      <c r="N1285">
        <v>69.2</v>
      </c>
      <c r="O1285">
        <v>24.58</v>
      </c>
      <c r="P1285">
        <v>-127</v>
      </c>
      <c r="Q1285">
        <v>237</v>
      </c>
      <c r="R1285">
        <v>69</v>
      </c>
      <c r="S1285">
        <v>24</v>
      </c>
    </row>
    <row r="1286" spans="1:19" hidden="1" x14ac:dyDescent="0.25">
      <c r="A1286">
        <v>22400486</v>
      </c>
      <c r="B1286" t="s">
        <v>26</v>
      </c>
      <c r="C1286" t="s">
        <v>19</v>
      </c>
      <c r="D1286">
        <v>72</v>
      </c>
      <c r="E1286">
        <v>47</v>
      </c>
      <c r="F1286">
        <v>25</v>
      </c>
      <c r="G1286">
        <v>2</v>
      </c>
      <c r="H1286" s="1">
        <v>1.1574074074074073E-3</v>
      </c>
      <c r="I1286">
        <v>2024</v>
      </c>
      <c r="J1286" t="s">
        <v>83</v>
      </c>
      <c r="K1286" s="2" t="str">
        <f>HYPERLINK("https://www.nba.com/stats/events?CFID=&amp;CFPARAMS=&amp;GameEventID=314&amp;GameID=0022400486&amp;Season=2024-25&amp;flag=1&amp;title=Leonard%2026'%203PT%20%20(9%20PTS)%20(I.%20Zubac%203%20AST)", "26' 3PT  (9 PTS) (I. Zubac 3 AST)")</f>
        <v>26' 3PT  (9 PTS) (I. Zubac 3 AST)</v>
      </c>
      <c r="L1286" s="2" t="str">
        <f>HYPERLINK("https://www.nba.com/game/...-vs-...-0022400486/play-by-play?watchFullGame=true", "LAC vs ATL - Q2 01:40.00")</f>
        <v>LAC vs ATL - Q2 01:40.00</v>
      </c>
      <c r="M1286">
        <v>26.57</v>
      </c>
      <c r="N1286">
        <v>69.33</v>
      </c>
      <c r="O1286">
        <v>74.510000000000005</v>
      </c>
      <c r="P1286">
        <v>123</v>
      </c>
      <c r="Q1286">
        <v>236</v>
      </c>
      <c r="R1286">
        <v>69</v>
      </c>
      <c r="S1286">
        <v>74</v>
      </c>
    </row>
    <row r="1287" spans="1:19" hidden="1" x14ac:dyDescent="0.25">
      <c r="A1287">
        <v>22301064</v>
      </c>
      <c r="B1287" t="s">
        <v>26</v>
      </c>
      <c r="C1287" t="s">
        <v>19</v>
      </c>
      <c r="D1287">
        <v>80</v>
      </c>
      <c r="E1287">
        <v>76</v>
      </c>
      <c r="F1287">
        <v>4</v>
      </c>
      <c r="G1287">
        <v>3</v>
      </c>
      <c r="H1287" s="1">
        <v>6.041666666666667E-4</v>
      </c>
      <c r="I1287">
        <v>2023</v>
      </c>
      <c r="J1287" t="s">
        <v>83</v>
      </c>
      <c r="K1287" s="2" t="str">
        <f>HYPERLINK("https://www.nba.com/stats/events?CFID=&amp;CFPARAMS=&amp;GameEventID=450&amp;GameID=0022301064&amp;Season=2023-24&amp;flag=1&amp;title=Leonard%2026'%203PT%20%20(23%20PTS)%20(R.%20Westbrook%205%20AST)", "26' 3PT  (23 PTS) (R. Westbrook 5 AST)")</f>
        <v>26' 3PT  (23 PTS) (R. Westbrook 5 AST)</v>
      </c>
      <c r="L1287" s="2" t="str">
        <f>HYPERLINK("https://www.nba.com/game/...-vs-...-0022301064/play-by-play?watchFullGame=true", "LAC vs ORL - Q3 00:52.20")</f>
        <v>LAC vs ORL - Q3 00:52.20</v>
      </c>
      <c r="M1287">
        <v>26.48</v>
      </c>
      <c r="N1287">
        <v>69.86</v>
      </c>
      <c r="O1287">
        <v>75.98</v>
      </c>
      <c r="P1287">
        <v>130</v>
      </c>
      <c r="Q1287">
        <v>231</v>
      </c>
      <c r="R1287">
        <v>69</v>
      </c>
      <c r="S1287">
        <v>75</v>
      </c>
    </row>
    <row r="1288" spans="1:19" hidden="1" x14ac:dyDescent="0.25">
      <c r="A1288">
        <v>21900377</v>
      </c>
      <c r="B1288" t="s">
        <v>26</v>
      </c>
      <c r="C1288" t="s">
        <v>84</v>
      </c>
      <c r="D1288">
        <v>14</v>
      </c>
      <c r="E1288">
        <v>7</v>
      </c>
      <c r="F1288">
        <v>7</v>
      </c>
      <c r="G1288">
        <v>1</v>
      </c>
      <c r="H1288" s="1">
        <v>5.2430555555555555E-3</v>
      </c>
      <c r="I1288">
        <v>2019</v>
      </c>
      <c r="J1288" t="s">
        <v>83</v>
      </c>
      <c r="K1288" s="2" t="str">
        <f>HYPERLINK("https://www.nba.com/stats/events?CFID=&amp;CFPARAMS=&amp;GameEventID=49&amp;GameID=0021900377&amp;Season=2019-20&amp;flag=1&amp;title=Leonard%2026'%203PT%20%20(9%20PTS)%20(T.%20Mann%201%20AST)", "26' 3PT  (9 PTS) (T. Mann 1 AST)")</f>
        <v>26' 3PT  (9 PTS) (T. Mann 1 AST)</v>
      </c>
      <c r="L1288" s="2" t="str">
        <f>HYPERLINK("https://www.nba.com/game/...-vs-...-0021900377/play-by-play?watchFullGame=true", "LAC vs MIN - Q1 07:33.00")</f>
        <v>LAC vs MIN - Q1 07:33.00</v>
      </c>
      <c r="M1288">
        <v>26.26</v>
      </c>
      <c r="N1288">
        <v>69.2</v>
      </c>
      <c r="O1288">
        <v>70.17</v>
      </c>
      <c r="P1288">
        <v>101</v>
      </c>
      <c r="Q1288">
        <v>237</v>
      </c>
      <c r="R1288">
        <v>69</v>
      </c>
      <c r="S1288">
        <v>70</v>
      </c>
    </row>
    <row r="1289" spans="1:19" hidden="1" x14ac:dyDescent="0.25">
      <c r="A1289">
        <v>41900155</v>
      </c>
      <c r="B1289" t="s">
        <v>26</v>
      </c>
      <c r="C1289" t="s">
        <v>84</v>
      </c>
      <c r="D1289">
        <v>100</v>
      </c>
      <c r="E1289">
        <v>73</v>
      </c>
      <c r="F1289">
        <v>27</v>
      </c>
      <c r="G1289">
        <v>3</v>
      </c>
      <c r="H1289" s="1">
        <v>3.5879629629629629E-3</v>
      </c>
      <c r="I1289" t="s">
        <v>86</v>
      </c>
      <c r="J1289" t="s">
        <v>83</v>
      </c>
      <c r="K1289" s="2" t="str">
        <f>HYPERLINK("https://www.nba.com/stats/events?CFID=&amp;CFPARAMS=&amp;GameEventID=460&amp;GameID=0041900155&amp;Season=2019-20&amp;flag=1&amp;title=Leonard%2026'%203PT%20%20(25%20PTS)%20(R.%20Jackson%203%20AST)", "26' 3PT  (25 PTS) (R. Jackson 3 AST)")</f>
        <v>26' 3PT  (25 PTS) (R. Jackson 3 AST)</v>
      </c>
      <c r="L1289" s="2" t="str">
        <f>HYPERLINK("https://www.nba.com/game/...-vs-...-0041900155/play-by-play?watchFullGame=true", "LAC vs DAL - Q3 05:10.00")</f>
        <v>LAC vs DAL - Q3 05:10.00</v>
      </c>
      <c r="M1289">
        <v>26.17</v>
      </c>
      <c r="N1289">
        <v>69.599999999999994</v>
      </c>
      <c r="O1289">
        <v>71.39</v>
      </c>
      <c r="P1289">
        <v>107</v>
      </c>
      <c r="Q1289">
        <v>233</v>
      </c>
      <c r="R1289">
        <v>69</v>
      </c>
      <c r="S1289">
        <v>71</v>
      </c>
    </row>
    <row r="1290" spans="1:19" hidden="1" x14ac:dyDescent="0.25">
      <c r="A1290">
        <v>22000576</v>
      </c>
      <c r="B1290" t="s">
        <v>26</v>
      </c>
      <c r="C1290" t="s">
        <v>19</v>
      </c>
      <c r="D1290">
        <v>28</v>
      </c>
      <c r="E1290">
        <v>25</v>
      </c>
      <c r="F1290">
        <v>3</v>
      </c>
      <c r="G1290">
        <v>1</v>
      </c>
      <c r="H1290" s="1">
        <v>4.9768518518518516E-5</v>
      </c>
      <c r="I1290">
        <v>2020</v>
      </c>
      <c r="J1290" t="s">
        <v>83</v>
      </c>
      <c r="K1290" s="2" t="str">
        <f>HYPERLINK("https://www.nba.com/stats/events?CFID=&amp;CFPARAMS=&amp;GameEventID=153&amp;GameID=0022000576&amp;Season=2020-21&amp;flag=1&amp;title=Leonard%2026'%203PT%20%20(14%20PTS)%20(L.%20Williams%201%20AST)", "26' 3PT  (14 PTS) (L. Williams 1 AST)")</f>
        <v>26' 3PT  (14 PTS) (L. Williams 1 AST)</v>
      </c>
      <c r="L1290" s="2" t="str">
        <f>HYPERLINK("https://www.nba.com/game/...-vs-...-0022000576/play-by-play?watchFullGame=true", "LAC vs GSW - Q1 00:04.30")</f>
        <v>LAC vs GSW - Q1 00:04.30</v>
      </c>
      <c r="M1290">
        <v>26.14</v>
      </c>
      <c r="N1290">
        <v>69.459999999999994</v>
      </c>
      <c r="O1290">
        <v>73.11</v>
      </c>
      <c r="P1290">
        <v>116</v>
      </c>
      <c r="Q1290">
        <v>235</v>
      </c>
      <c r="R1290">
        <v>69</v>
      </c>
      <c r="S1290">
        <v>73</v>
      </c>
    </row>
    <row r="1291" spans="1:19" hidden="1" x14ac:dyDescent="0.25">
      <c r="A1291">
        <v>21900339</v>
      </c>
      <c r="B1291" t="s">
        <v>26</v>
      </c>
      <c r="C1291" t="s">
        <v>84</v>
      </c>
      <c r="D1291">
        <v>9</v>
      </c>
      <c r="E1291">
        <v>2</v>
      </c>
      <c r="F1291">
        <v>7</v>
      </c>
      <c r="G1291">
        <v>1</v>
      </c>
      <c r="H1291" s="1">
        <v>6.9444444444444441E-3</v>
      </c>
      <c r="I1291">
        <v>2019</v>
      </c>
      <c r="J1291" t="s">
        <v>83</v>
      </c>
      <c r="K1291" s="2" t="str">
        <f>HYPERLINK("https://www.nba.com/stats/events?CFID=&amp;CFPARAMS=&amp;GameEventID=28&amp;GameID=0021900339&amp;Season=2019-20&amp;flag=1&amp;title=Leonard%2026'%203PT%20%20(3%20PTS)%20(P.%20George%201%20AST)", "26' 3PT  (3 PTS) (P. George 1 AST)")</f>
        <v>26' 3PT  (3 PTS) (P. George 1 AST)</v>
      </c>
      <c r="L1291" s="2" t="str">
        <f>HYPERLINK("https://www.nba.com/game/...-vs-...-0021900339/play-by-play?watchFullGame=true", "LAC vs WAS - Q1 10:00.00")</f>
        <v>LAC vs WAS - Q1 10:00.00</v>
      </c>
      <c r="M1291">
        <v>26.11</v>
      </c>
      <c r="N1291">
        <v>69.17</v>
      </c>
      <c r="O1291">
        <v>30.81</v>
      </c>
      <c r="P1291">
        <v>-96</v>
      </c>
      <c r="Q1291">
        <v>237</v>
      </c>
      <c r="R1291">
        <v>69</v>
      </c>
      <c r="S1291">
        <v>30</v>
      </c>
    </row>
    <row r="1292" spans="1:19" hidden="1" x14ac:dyDescent="0.25">
      <c r="A1292">
        <v>22000224</v>
      </c>
      <c r="B1292" t="s">
        <v>26</v>
      </c>
      <c r="C1292" t="s">
        <v>19</v>
      </c>
      <c r="D1292">
        <v>61</v>
      </c>
      <c r="E1292">
        <v>53</v>
      </c>
      <c r="F1292">
        <v>8</v>
      </c>
      <c r="G1292">
        <v>2</v>
      </c>
      <c r="H1292" s="1">
        <v>3.1597222222222221E-4</v>
      </c>
      <c r="I1292">
        <v>2020</v>
      </c>
      <c r="J1292" t="s">
        <v>83</v>
      </c>
      <c r="K1292" s="2" t="str">
        <f>HYPERLINK("https://www.nba.com/stats/events?CFID=&amp;CFPARAMS=&amp;GameEventID=310&amp;GameID=0022000224&amp;Season=2020-21&amp;flag=1&amp;title=Leonard%2025'%203PT%20running%20pullup%20(16%20PTS)", "25' 3PT running pullup (16 PTS)")</f>
        <v>25' 3PT running pullup (16 PTS)</v>
      </c>
      <c r="L1292" s="2" t="str">
        <f>HYPERLINK("https://www.nba.com/game/...-vs-...-0022000224/play-by-play?watchFullGame=true", "LAC vs SAC - Q2 00:27.30")</f>
        <v>LAC vs SAC - Q2 00:27.30</v>
      </c>
      <c r="M1292">
        <v>25.98</v>
      </c>
      <c r="N1292">
        <v>69.73</v>
      </c>
      <c r="O1292">
        <v>73.349999999999994</v>
      </c>
      <c r="P1292">
        <v>117</v>
      </c>
      <c r="Q1292">
        <v>232</v>
      </c>
      <c r="R1292">
        <v>69</v>
      </c>
      <c r="S1292">
        <v>73</v>
      </c>
    </row>
    <row r="1293" spans="1:19" hidden="1" x14ac:dyDescent="0.25">
      <c r="A1293">
        <v>22000788</v>
      </c>
      <c r="B1293" t="s">
        <v>26</v>
      </c>
      <c r="C1293" t="s">
        <v>19</v>
      </c>
      <c r="D1293">
        <v>79</v>
      </c>
      <c r="E1293">
        <v>77</v>
      </c>
      <c r="F1293">
        <v>2</v>
      </c>
      <c r="G1293">
        <v>3</v>
      </c>
      <c r="H1293" s="1">
        <v>1.0185185185185184E-3</v>
      </c>
      <c r="I1293">
        <v>2020</v>
      </c>
      <c r="J1293" t="s">
        <v>83</v>
      </c>
      <c r="K1293" s="2" t="str">
        <f>HYPERLINK("https://www.nba.com/stats/events?CFID=&amp;CFPARAMS=&amp;GameEventID=403&amp;GameID=0022000788&amp;Season=2020-21&amp;flag=1&amp;title=Leonard%2025'%203PT%20%20(20%20PTS)%20(R.%20Rondo%205%20AST)", "25' 3PT  (20 PTS) (R. Rondo 5 AST)")</f>
        <v>25' 3PT  (20 PTS) (R. Rondo 5 AST)</v>
      </c>
      <c r="L1293" s="2" t="str">
        <f>HYPERLINK("https://www.nba.com/game/...-vs-...-0022000788/play-by-play?watchFullGame=true", "LAC vs PHX - Q3 01:28.00")</f>
        <v>LAC vs PHX - Q3 01:28.00</v>
      </c>
      <c r="M1293">
        <v>25.92</v>
      </c>
      <c r="N1293">
        <v>69.86</v>
      </c>
      <c r="O1293">
        <v>73.599999999999994</v>
      </c>
      <c r="P1293">
        <v>118</v>
      </c>
      <c r="Q1293">
        <v>231</v>
      </c>
      <c r="R1293">
        <v>69</v>
      </c>
      <c r="S1293">
        <v>73</v>
      </c>
    </row>
    <row r="1294" spans="1:19" hidden="1" x14ac:dyDescent="0.25">
      <c r="A1294">
        <v>22000720</v>
      </c>
      <c r="B1294" t="s">
        <v>26</v>
      </c>
      <c r="C1294" t="s">
        <v>19</v>
      </c>
      <c r="D1294">
        <v>65</v>
      </c>
      <c r="E1294">
        <v>57</v>
      </c>
      <c r="F1294">
        <v>8</v>
      </c>
      <c r="G1294">
        <v>3</v>
      </c>
      <c r="H1294" s="1">
        <v>2.4074074074074076E-3</v>
      </c>
      <c r="I1294">
        <v>2020</v>
      </c>
      <c r="J1294" t="s">
        <v>83</v>
      </c>
      <c r="K1294" s="2" t="str">
        <f>HYPERLINK("https://www.nba.com/stats/events?CFID=&amp;CFPARAMS=&amp;GameEventID=393&amp;GameID=0022000720&amp;Season=2020-21&amp;flag=1&amp;title=Leonard%2025'%203PT%20%20(21%20PTS)%20(L.%20Kennard%202%20AST)", "25' 3PT  (21 PTS) (L. Kennard 2 AST)")</f>
        <v>25' 3PT  (21 PTS) (L. Kennard 2 AST)</v>
      </c>
      <c r="L1294" s="2" t="str">
        <f>HYPERLINK("https://www.nba.com/game/...-vs-...-0022000720/play-by-play?watchFullGame=true", "LAC vs ORL - Q3 03:28.00")</f>
        <v>LAC vs ORL - Q3 03:28.00</v>
      </c>
      <c r="M1294">
        <v>25.9</v>
      </c>
      <c r="N1294">
        <v>69.459999999999994</v>
      </c>
      <c r="O1294">
        <v>28.01</v>
      </c>
      <c r="P1294">
        <v>-110</v>
      </c>
      <c r="Q1294">
        <v>235</v>
      </c>
      <c r="R1294">
        <v>69</v>
      </c>
      <c r="S1294">
        <v>28</v>
      </c>
    </row>
    <row r="1295" spans="1:19" hidden="1" x14ac:dyDescent="0.25">
      <c r="A1295">
        <v>22400943</v>
      </c>
      <c r="B1295" t="s">
        <v>26</v>
      </c>
      <c r="C1295" t="s">
        <v>19</v>
      </c>
      <c r="D1295">
        <v>41</v>
      </c>
      <c r="E1295">
        <v>57</v>
      </c>
      <c r="F1295">
        <v>16</v>
      </c>
      <c r="G1295">
        <v>2</v>
      </c>
      <c r="H1295" s="1">
        <v>2.1527777777777778E-3</v>
      </c>
      <c r="I1295">
        <v>2024</v>
      </c>
      <c r="J1295" t="s">
        <v>83</v>
      </c>
      <c r="K1295" s="2" t="str">
        <f>HYPERLINK("https://www.nba.com/stats/events?CFID=&amp;CFPARAMS=&amp;GameEventID=251&amp;GameID=0022400943&amp;Season=2024-25&amp;flag=1&amp;title=Leonard%2025'%203PT%20%20(12%20PTS)%20(J.%20Harden%204%20AST)", "25' 3PT  (12 PTS) (J. Harden 4 AST)")</f>
        <v>25' 3PT  (12 PTS) (J. Harden 4 AST)</v>
      </c>
      <c r="L1295" s="2" t="str">
        <f>HYPERLINK("https://www.nba.com/game/...-vs-...-0022400943/play-by-play?watchFullGame=true", "LAC vs NOP - Q2 03:06.00")</f>
        <v>LAC vs NOP - Q2 03:06.00</v>
      </c>
      <c r="M1295">
        <v>25.86</v>
      </c>
      <c r="N1295">
        <v>69.599999999999994</v>
      </c>
      <c r="O1295">
        <v>72.3</v>
      </c>
      <c r="P1295">
        <v>112</v>
      </c>
      <c r="Q1295">
        <v>233</v>
      </c>
      <c r="R1295">
        <v>69</v>
      </c>
      <c r="S1295">
        <v>72</v>
      </c>
    </row>
    <row r="1296" spans="1:19" hidden="1" x14ac:dyDescent="0.25">
      <c r="A1296">
        <v>22300085</v>
      </c>
      <c r="B1296" t="s">
        <v>26</v>
      </c>
      <c r="C1296" t="s">
        <v>19</v>
      </c>
      <c r="D1296">
        <v>12</v>
      </c>
      <c r="E1296">
        <v>14</v>
      </c>
      <c r="F1296">
        <v>2</v>
      </c>
      <c r="G1296">
        <v>1</v>
      </c>
      <c r="H1296" s="1">
        <v>5.1041666666666666E-3</v>
      </c>
      <c r="I1296">
        <v>2023</v>
      </c>
      <c r="J1296" t="s">
        <v>83</v>
      </c>
      <c r="K1296" s="2" t="str">
        <f>HYPERLINK("https://www.nba.com/stats/events?CFID=&amp;CFPARAMS=&amp;GameEventID=51&amp;GameID=0022300085&amp;Season=2023-24&amp;flag=1&amp;title=Leonard%2025'%203PT%20%20(5%20PTS)", "25' 3PT  (5 PTS)")</f>
        <v>25' 3PT  (5 PTS)</v>
      </c>
      <c r="L1296" s="2" t="str">
        <f>HYPERLINK("https://www.nba.com/game/...-vs-...-0022300085/play-by-play?watchFullGame=true", "LAC vs UTA - Q1 07:21.00")</f>
        <v>LAC vs UTA - Q1 07:21.00</v>
      </c>
      <c r="M1296">
        <v>25.7</v>
      </c>
      <c r="N1296">
        <v>69.2</v>
      </c>
      <c r="O1296">
        <v>69.849999999999994</v>
      </c>
      <c r="P1296">
        <v>99</v>
      </c>
      <c r="Q1296">
        <v>237</v>
      </c>
      <c r="R1296">
        <v>69</v>
      </c>
      <c r="S1296">
        <v>69</v>
      </c>
    </row>
    <row r="1297" spans="1:19" hidden="1" x14ac:dyDescent="0.25">
      <c r="A1297">
        <v>22200480</v>
      </c>
      <c r="B1297" t="s">
        <v>26</v>
      </c>
      <c r="C1297" t="s">
        <v>19</v>
      </c>
      <c r="D1297">
        <v>61</v>
      </c>
      <c r="E1297">
        <v>47</v>
      </c>
      <c r="F1297">
        <v>14</v>
      </c>
      <c r="G1297">
        <v>2</v>
      </c>
      <c r="H1297" s="1">
        <v>8.3333333333333339E-4</v>
      </c>
      <c r="I1297">
        <v>2022</v>
      </c>
      <c r="J1297" t="s">
        <v>83</v>
      </c>
      <c r="K1297" s="2" t="str">
        <f>HYPERLINK("https://www.nba.com/stats/events?CFID=&amp;CFPARAMS=&amp;GameEventID=270&amp;GameID=0022200480&amp;Season=2022-23&amp;flag=1&amp;title=Leonard%2025'%203PT%20pullup%20(13%20PTS)%20(N.%20Batum%201%20AST)", "25' 3PT pullup (13 PTS) (N. Batum 1 AST)")</f>
        <v>25' 3PT pullup (13 PTS) (N. Batum 1 AST)</v>
      </c>
      <c r="L1297" s="2" t="str">
        <f>HYPERLINK("https://www.nba.com/game/...-vs-...-0022200480/play-by-play?watchFullGame=true", "LAC vs PHI - Q2 01:12.00")</f>
        <v>LAC vs PHI - Q2 01:12.00</v>
      </c>
      <c r="M1297">
        <v>25.64</v>
      </c>
      <c r="N1297">
        <v>69.430000000000007</v>
      </c>
      <c r="O1297">
        <v>29.41</v>
      </c>
      <c r="P1297">
        <v>-103</v>
      </c>
      <c r="Q1297">
        <v>235</v>
      </c>
      <c r="R1297">
        <v>69</v>
      </c>
      <c r="S1297">
        <v>29</v>
      </c>
    </row>
    <row r="1298" spans="1:19" hidden="1" x14ac:dyDescent="0.25">
      <c r="A1298">
        <v>21900016</v>
      </c>
      <c r="B1298" t="s">
        <v>26</v>
      </c>
      <c r="C1298" t="s">
        <v>84</v>
      </c>
      <c r="D1298">
        <v>86</v>
      </c>
      <c r="E1298">
        <v>65</v>
      </c>
      <c r="F1298">
        <v>21</v>
      </c>
      <c r="G1298">
        <v>3</v>
      </c>
      <c r="H1298" s="1">
        <v>5.1041666666666666E-3</v>
      </c>
      <c r="I1298">
        <v>2019</v>
      </c>
      <c r="J1298" t="s">
        <v>83</v>
      </c>
      <c r="K1298" s="2" t="str">
        <f>HYPERLINK("https://www.nba.com/stats/events?CFID=&amp;CFPARAMS=&amp;GameEventID=446&amp;GameID=0021900016&amp;Season=2019-20&amp;flag=1&amp;title=[LAC]%20Leonard%203pt%20shot:%20Made%20(21%20PTS)", "[LAC] Leonard 3pt shot: Made (21 PTS)")</f>
        <v>[LAC] Leonard 3pt shot: Made (21 PTS)</v>
      </c>
      <c r="L1298" s="2" t="str">
        <f>HYPERLINK("https://www.nba.com/game/...-vs-...-0021900016/play-by-play?watchFullGame=true", "LAC vs GSW - Q3 07:21.00")</f>
        <v>LAC vs GSW - Q3 07:21.00</v>
      </c>
      <c r="M1298">
        <v>25.43</v>
      </c>
      <c r="N1298">
        <v>69.86</v>
      </c>
      <c r="O1298">
        <v>31.2</v>
      </c>
      <c r="P1298">
        <v>-94</v>
      </c>
      <c r="Q1298">
        <v>231</v>
      </c>
      <c r="R1298">
        <v>69</v>
      </c>
      <c r="S1298">
        <v>31</v>
      </c>
    </row>
    <row r="1299" spans="1:19" hidden="1" x14ac:dyDescent="0.25">
      <c r="A1299">
        <v>22300343</v>
      </c>
      <c r="B1299" t="s">
        <v>26</v>
      </c>
      <c r="C1299" t="s">
        <v>19</v>
      </c>
      <c r="D1299">
        <v>31</v>
      </c>
      <c r="E1299">
        <v>25</v>
      </c>
      <c r="F1299">
        <v>6</v>
      </c>
      <c r="G1299">
        <v>1</v>
      </c>
      <c r="H1299" s="1">
        <v>1.4930555555555556E-3</v>
      </c>
      <c r="I1299">
        <v>2023</v>
      </c>
      <c r="J1299" t="s">
        <v>83</v>
      </c>
      <c r="K1299" s="2" t="str">
        <f>HYPERLINK("https://www.nba.com/stats/events?CFID=&amp;CFPARAMS=&amp;GameEventID=133&amp;GameID=0022300343&amp;Season=2023-24&amp;flag=1&amp;title=Leonard%2025'%203PT%20pullup%20(8%20PTS)", "25' 3PT pullup (8 PTS)")</f>
        <v>25' 3PT pullup (8 PTS)</v>
      </c>
      <c r="L1299" s="2" t="str">
        <f>HYPERLINK("https://www.nba.com/game/...-vs-...-0022300343/play-by-play?watchFullGame=true", "LAC vs NYK - Q1 02:09.00")</f>
        <v>LAC vs NYK - Q1 02:09.00</v>
      </c>
      <c r="M1299">
        <v>25.21</v>
      </c>
      <c r="N1299">
        <v>69.430000000000007</v>
      </c>
      <c r="O1299">
        <v>68.38</v>
      </c>
      <c r="P1299">
        <v>92</v>
      </c>
      <c r="Q1299">
        <v>235</v>
      </c>
      <c r="R1299">
        <v>69</v>
      </c>
      <c r="S1299">
        <v>68</v>
      </c>
    </row>
    <row r="1300" spans="1:19" hidden="1" x14ac:dyDescent="0.25">
      <c r="A1300">
        <v>22200687</v>
      </c>
      <c r="B1300" t="s">
        <v>26</v>
      </c>
      <c r="C1300" t="s">
        <v>19</v>
      </c>
      <c r="D1300">
        <v>3</v>
      </c>
      <c r="E1300">
        <v>3</v>
      </c>
      <c r="F1300">
        <v>0</v>
      </c>
      <c r="G1300">
        <v>1</v>
      </c>
      <c r="H1300" s="1">
        <v>7.789351851851852E-3</v>
      </c>
      <c r="I1300">
        <v>2022</v>
      </c>
      <c r="J1300" t="s">
        <v>83</v>
      </c>
      <c r="K1300" s="2" t="str">
        <f>HYPERLINK("https://www.nba.com/stats/events?CFID=&amp;CFPARAMS=&amp;GameEventID=11&amp;GameID=0022200687&amp;Season=2022-23&amp;flag=1&amp;title=Leonard%2025'%203PT%20%20(3%20PTS)%20(P.%20George%201%20AST)", "25' 3PT  (3 PTS) (P. George 1 AST)")</f>
        <v>25' 3PT  (3 PTS) (P. George 1 AST)</v>
      </c>
      <c r="L1300" s="2" t="str">
        <f>HYPERLINK("https://www.nba.com/game/...-vs-...-0022200687/play-by-play?watchFullGame=true", "LAC vs SAS - Q1 11:13.00")</f>
        <v>LAC vs SAS - Q1 11:13.00</v>
      </c>
      <c r="M1300">
        <v>25.16</v>
      </c>
      <c r="N1300">
        <v>69.989999999999995</v>
      </c>
      <c r="O1300">
        <v>70.59</v>
      </c>
      <c r="P1300">
        <v>103</v>
      </c>
      <c r="Q1300">
        <v>230</v>
      </c>
      <c r="R1300">
        <v>69</v>
      </c>
      <c r="S1300">
        <v>70</v>
      </c>
    </row>
    <row r="1301" spans="1:19" hidden="1" x14ac:dyDescent="0.25">
      <c r="A1301">
        <v>22400842</v>
      </c>
      <c r="B1301" t="s">
        <v>26</v>
      </c>
      <c r="C1301" t="s">
        <v>19</v>
      </c>
      <c r="D1301">
        <v>110</v>
      </c>
      <c r="E1301">
        <v>102</v>
      </c>
      <c r="F1301">
        <v>8</v>
      </c>
      <c r="G1301">
        <v>4</v>
      </c>
      <c r="H1301" s="1">
        <v>4.5370370370370373E-3</v>
      </c>
      <c r="I1301">
        <v>2024</v>
      </c>
      <c r="J1301" t="s">
        <v>83</v>
      </c>
      <c r="K1301" s="2" t="str">
        <f>HYPERLINK("https://www.nba.com/stats/events?CFID=&amp;CFPARAMS=&amp;GameEventID=549&amp;GameID=0022400842&amp;Season=2024-25&amp;flag=1&amp;title=Leonard%2029'%203PT%20%20(17%20PTS)", "29' 3PT  (17 PTS)")</f>
        <v>29' 3PT  (17 PTS)</v>
      </c>
      <c r="L1301" s="2" t="str">
        <f>HYPERLINK("https://www.nba.com/game/...-vs-...-0022400842/play-by-play?watchFullGame=true", "LAC vs CHI - Q4 06:32.00")</f>
        <v>LAC vs CHI - Q4 06:32.00</v>
      </c>
      <c r="M1301">
        <v>29.41</v>
      </c>
      <c r="N1301">
        <v>70.849999999999994</v>
      </c>
      <c r="O1301">
        <v>88.7</v>
      </c>
      <c r="P1301">
        <v>194</v>
      </c>
      <c r="Q1301">
        <v>221</v>
      </c>
      <c r="R1301">
        <v>70</v>
      </c>
      <c r="S1301">
        <v>88</v>
      </c>
    </row>
    <row r="1302" spans="1:19" hidden="1" x14ac:dyDescent="0.25">
      <c r="A1302">
        <v>22400486</v>
      </c>
      <c r="B1302" t="s">
        <v>26</v>
      </c>
      <c r="C1302" t="s">
        <v>19</v>
      </c>
      <c r="D1302">
        <v>55</v>
      </c>
      <c r="E1302">
        <v>39</v>
      </c>
      <c r="F1302">
        <v>16</v>
      </c>
      <c r="G1302">
        <v>2</v>
      </c>
      <c r="H1302" s="1">
        <v>3.4953703703703705E-3</v>
      </c>
      <c r="I1302">
        <v>2024</v>
      </c>
      <c r="J1302" t="s">
        <v>83</v>
      </c>
      <c r="K1302" s="2" t="str">
        <f>HYPERLINK("https://www.nba.com/stats/events?CFID=&amp;CFPARAMS=&amp;GameEventID=268&amp;GameID=0022400486&amp;Season=2024-25&amp;flag=1&amp;title=Leonard%2027'%203PT%20running%20(6%20PTS)%20(J.%20Harden%208%20AST)", "27' 3PT running (6 PTS) (J. Harden 8 AST)")</f>
        <v>27' 3PT running (6 PTS) (J. Harden 8 AST)</v>
      </c>
      <c r="L1302" s="2" t="str">
        <f>HYPERLINK("https://www.nba.com/game/...-vs-...-0022400486/play-by-play?watchFullGame=true", "LAC vs ATL - Q2 05:02.00")</f>
        <v>LAC vs ATL - Q2 05:02.00</v>
      </c>
      <c r="M1302">
        <v>27.9</v>
      </c>
      <c r="N1302">
        <v>70.52</v>
      </c>
      <c r="O1302">
        <v>16.91</v>
      </c>
      <c r="P1302">
        <v>-165</v>
      </c>
      <c r="Q1302">
        <v>225</v>
      </c>
      <c r="R1302">
        <v>70</v>
      </c>
      <c r="S1302">
        <v>16</v>
      </c>
    </row>
    <row r="1303" spans="1:19" hidden="1" x14ac:dyDescent="0.25">
      <c r="A1303">
        <v>21900224</v>
      </c>
      <c r="B1303" t="s">
        <v>26</v>
      </c>
      <c r="C1303" t="s">
        <v>84</v>
      </c>
      <c r="D1303">
        <v>51</v>
      </c>
      <c r="E1303">
        <v>47</v>
      </c>
      <c r="F1303">
        <v>4</v>
      </c>
      <c r="G1303">
        <v>2</v>
      </c>
      <c r="H1303" s="1">
        <v>1.5162037037037036E-3</v>
      </c>
      <c r="I1303">
        <v>2019</v>
      </c>
      <c r="J1303" t="s">
        <v>83</v>
      </c>
      <c r="K1303" s="2" t="str">
        <f>HYPERLINK("https://www.nba.com/stats/events?CFID=&amp;CFPARAMS=&amp;GameEventID=320&amp;GameID=0021900224&amp;Season=2019-20&amp;flag=1&amp;title=Leonard%2028'%203PT%20%20(11%20PTS)%20(I.%20Zubac%202%20AST)", "28' 3PT  (11 PTS) (I. Zubac 2 AST)")</f>
        <v>28' 3PT  (11 PTS) (I. Zubac 2 AST)</v>
      </c>
      <c r="L1303" s="2" t="str">
        <f>HYPERLINK("https://www.nba.com/game/...-vs-...-0021900224/play-by-play?watchFullGame=true", "LAC vs HOU - Q2 02:11.00")</f>
        <v>LAC vs HOU - Q2 02:11.00</v>
      </c>
      <c r="M1303">
        <v>27.77</v>
      </c>
      <c r="N1303">
        <v>70.09</v>
      </c>
      <c r="O1303">
        <v>79.83</v>
      </c>
      <c r="P1303">
        <v>149</v>
      </c>
      <c r="Q1303">
        <v>229</v>
      </c>
      <c r="R1303">
        <v>70</v>
      </c>
      <c r="S1303">
        <v>79</v>
      </c>
    </row>
    <row r="1304" spans="1:19" hidden="1" x14ac:dyDescent="0.25">
      <c r="A1304">
        <v>21900458</v>
      </c>
      <c r="B1304" t="s">
        <v>26</v>
      </c>
      <c r="C1304" t="s">
        <v>84</v>
      </c>
      <c r="D1304">
        <v>62</v>
      </c>
      <c r="E1304">
        <v>71</v>
      </c>
      <c r="F1304">
        <v>9</v>
      </c>
      <c r="G1304">
        <v>3</v>
      </c>
      <c r="H1304" s="1">
        <v>5.6712962962962967E-3</v>
      </c>
      <c r="I1304">
        <v>2019</v>
      </c>
      <c r="J1304" t="s">
        <v>83</v>
      </c>
      <c r="K1304" s="2" t="str">
        <f>HYPERLINK("https://www.nba.com/stats/events?CFID=&amp;CFPARAMS=&amp;GameEventID=429&amp;GameID=0021900458&amp;Season=2019-20&amp;flag=1&amp;title=Leonard%2027'%203PT%20%20(21%20PTS)%20(I.%20Zubac%201%20AST)", "27' 3PT  (21 PTS) (I. Zubac 1 AST)")</f>
        <v>27' 3PT  (21 PTS) (I. Zubac 1 AST)</v>
      </c>
      <c r="L1304" s="2" t="str">
        <f>HYPERLINK("https://www.nba.com/game/...-vs-...-0021900458/play-by-play?watchFullGame=true", "LAC vs LAL - Q3 08:10.00")</f>
        <v>LAC vs LAL - Q3 08:10.00</v>
      </c>
      <c r="M1304">
        <v>27.22</v>
      </c>
      <c r="N1304">
        <v>70.09</v>
      </c>
      <c r="O1304">
        <v>22.23</v>
      </c>
      <c r="P1304">
        <v>-139</v>
      </c>
      <c r="Q1304">
        <v>229</v>
      </c>
      <c r="R1304">
        <v>70</v>
      </c>
      <c r="S1304">
        <v>22</v>
      </c>
    </row>
    <row r="1305" spans="1:19" hidden="1" x14ac:dyDescent="0.25">
      <c r="A1305">
        <v>22300273</v>
      </c>
      <c r="B1305" t="s">
        <v>26</v>
      </c>
      <c r="C1305" t="s">
        <v>19</v>
      </c>
      <c r="D1305">
        <v>43</v>
      </c>
      <c r="E1305">
        <v>55</v>
      </c>
      <c r="F1305">
        <v>12</v>
      </c>
      <c r="G1305">
        <v>2</v>
      </c>
      <c r="H1305" s="1">
        <v>2.0254629629629629E-3</v>
      </c>
      <c r="I1305">
        <v>2023</v>
      </c>
      <c r="J1305" t="s">
        <v>83</v>
      </c>
      <c r="K1305" s="2" t="str">
        <f>HYPERLINK("https://www.nba.com/stats/events?CFID=&amp;CFPARAMS=&amp;GameEventID=296&amp;GameID=0022300273&amp;Season=2023-24&amp;flag=1&amp;title=Leonard%2026'%203PT%20running%20pullup%20(12%20PTS)", "26' 3PT running pullup (12 PTS)")</f>
        <v>26' 3PT running pullup (12 PTS)</v>
      </c>
      <c r="L1305" s="2" t="str">
        <f>HYPERLINK("https://www.nba.com/game/...-vs-...-0022300273/play-by-play?watchFullGame=true", "LAC vs GSW - Q2 02:55.00")</f>
        <v>LAC vs GSW - Q2 02:55.00</v>
      </c>
      <c r="M1305">
        <v>26.88</v>
      </c>
      <c r="N1305">
        <v>70.91</v>
      </c>
      <c r="O1305">
        <v>80.64</v>
      </c>
      <c r="P1305">
        <v>153</v>
      </c>
      <c r="Q1305">
        <v>221</v>
      </c>
      <c r="R1305">
        <v>70</v>
      </c>
      <c r="S1305">
        <v>80</v>
      </c>
    </row>
    <row r="1306" spans="1:19" hidden="1" x14ac:dyDescent="0.25">
      <c r="A1306">
        <v>21900068</v>
      </c>
      <c r="B1306" t="s">
        <v>26</v>
      </c>
      <c r="C1306" t="s">
        <v>84</v>
      </c>
      <c r="D1306">
        <v>89</v>
      </c>
      <c r="E1306">
        <v>77</v>
      </c>
      <c r="F1306">
        <v>12</v>
      </c>
      <c r="G1306">
        <v>4</v>
      </c>
      <c r="H1306" s="1">
        <v>6.4583333333333333E-3</v>
      </c>
      <c r="I1306">
        <v>2019</v>
      </c>
      <c r="J1306" t="s">
        <v>83</v>
      </c>
      <c r="K1306" s="2" t="str">
        <f>HYPERLINK("https://www.nba.com/stats/events?CFID=&amp;CFPARAMS=&amp;GameEventID=558&amp;GameID=0021900068&amp;Season=2019-20&amp;flag=1&amp;title=[LAC]%20Leonard%203pt%20shot:%20Made%20(30%20PTS)", "[LAC] Leonard 3pt shot: Made (30 PTS)")</f>
        <v>[LAC] Leonard 3pt shot: Made (30 PTS)</v>
      </c>
      <c r="L1306" s="2" t="str">
        <f>HYPERLINK("https://www.nba.com/game/...-vs-...-0021900068/play-by-play?watchFullGame=true", "LAC vs SAS - Q4 09:18.00")</f>
        <v>LAC vs SAS - Q4 09:18.00</v>
      </c>
      <c r="M1306">
        <v>26.79</v>
      </c>
      <c r="N1306">
        <v>70.349999999999994</v>
      </c>
      <c r="O1306">
        <v>76.89</v>
      </c>
      <c r="P1306">
        <v>134</v>
      </c>
      <c r="Q1306">
        <v>226</v>
      </c>
      <c r="R1306">
        <v>70</v>
      </c>
      <c r="S1306">
        <v>76</v>
      </c>
    </row>
    <row r="1307" spans="1:19" hidden="1" x14ac:dyDescent="0.25">
      <c r="A1307">
        <v>41900153</v>
      </c>
      <c r="B1307" t="s">
        <v>26</v>
      </c>
      <c r="C1307" t="s">
        <v>84</v>
      </c>
      <c r="D1307">
        <v>118</v>
      </c>
      <c r="E1307">
        <v>107</v>
      </c>
      <c r="F1307">
        <v>11</v>
      </c>
      <c r="G1307">
        <v>4</v>
      </c>
      <c r="H1307" s="1">
        <v>4.1319444444444442E-3</v>
      </c>
      <c r="I1307" t="s">
        <v>86</v>
      </c>
      <c r="J1307" t="s">
        <v>83</v>
      </c>
      <c r="K1307" s="2" t="str">
        <f>HYPERLINK("https://www.nba.com/stats/events?CFID=&amp;CFPARAMS=&amp;GameEventID=594&amp;GameID=0041900153&amp;Season=2019-20&amp;flag=1&amp;title=Leonard%2027'%203PT%20%20(32%20PTS)%20(P.%20George%206%20AST)", "27' 3PT  (32 PTS) (P. George 6 AST)")</f>
        <v>27' 3PT  (32 PTS) (P. George 6 AST)</v>
      </c>
      <c r="L1307" s="2" t="str">
        <f>HYPERLINK("https://www.nba.com/game/...-vs-...-0041900153/play-by-play?watchFullGame=true", "LAC vs DAL - Q4 05:57.00")</f>
        <v>LAC vs DAL - Q4 05:57.00</v>
      </c>
      <c r="M1307">
        <v>26.64</v>
      </c>
      <c r="N1307">
        <v>70.38</v>
      </c>
      <c r="O1307">
        <v>23.6</v>
      </c>
      <c r="P1307">
        <v>-132</v>
      </c>
      <c r="Q1307">
        <v>226</v>
      </c>
      <c r="R1307">
        <v>70</v>
      </c>
      <c r="S1307">
        <v>23</v>
      </c>
    </row>
    <row r="1308" spans="1:19" hidden="1" x14ac:dyDescent="0.25">
      <c r="A1308">
        <v>22300688</v>
      </c>
      <c r="B1308" t="s">
        <v>26</v>
      </c>
      <c r="C1308" t="s">
        <v>19</v>
      </c>
      <c r="D1308">
        <v>55</v>
      </c>
      <c r="E1308">
        <v>52</v>
      </c>
      <c r="F1308">
        <v>3</v>
      </c>
      <c r="G1308">
        <v>2</v>
      </c>
      <c r="H1308" s="1">
        <v>1.6898148148148148E-3</v>
      </c>
      <c r="I1308">
        <v>2023</v>
      </c>
      <c r="J1308" t="s">
        <v>83</v>
      </c>
      <c r="K1308" s="2" t="str">
        <f>HYPERLINK("https://www.nba.com/stats/events?CFID=&amp;CFPARAMS=&amp;GameEventID=289&amp;GameID=0022300688&amp;Season=2023-24&amp;flag=1&amp;title=Leonard%2026'%203PT%20pullup%20(15%20PTS)", "26' 3PT pullup (15 PTS)")</f>
        <v>26' 3PT pullup (15 PTS)</v>
      </c>
      <c r="L1308" s="2" t="str">
        <f>HYPERLINK("https://www.nba.com/game/...-vs-...-0022300688/play-by-play?watchFullGame=true", "LAC vs DET - Q2 02:26.00")</f>
        <v>LAC vs DET - Q2 02:26.00</v>
      </c>
      <c r="M1308">
        <v>26.62</v>
      </c>
      <c r="N1308">
        <v>70.38</v>
      </c>
      <c r="O1308">
        <v>78.19</v>
      </c>
      <c r="P1308">
        <v>141</v>
      </c>
      <c r="Q1308">
        <v>226</v>
      </c>
      <c r="R1308">
        <v>70</v>
      </c>
      <c r="S1308">
        <v>78</v>
      </c>
    </row>
    <row r="1309" spans="1:19" hidden="1" x14ac:dyDescent="0.25">
      <c r="A1309">
        <v>22300807</v>
      </c>
      <c r="B1309" t="s">
        <v>26</v>
      </c>
      <c r="C1309" t="s">
        <v>19</v>
      </c>
      <c r="D1309">
        <v>63</v>
      </c>
      <c r="E1309">
        <v>64</v>
      </c>
      <c r="F1309">
        <v>1</v>
      </c>
      <c r="G1309">
        <v>3</v>
      </c>
      <c r="H1309" s="1">
        <v>5.6828703703703702E-3</v>
      </c>
      <c r="I1309">
        <v>2023</v>
      </c>
      <c r="J1309" t="s">
        <v>83</v>
      </c>
      <c r="K1309" s="2" t="str">
        <f>HYPERLINK("https://www.nba.com/stats/events?CFID=&amp;CFPARAMS=&amp;GameEventID=371&amp;GameID=0022300807&amp;Season=2023-24&amp;flag=1&amp;title=Leonard%2026'%203PT%20%20(13%20PTS)", "26' 3PT  (13 PTS)")</f>
        <v>26' 3PT  (13 PTS)</v>
      </c>
      <c r="L1309" s="2" t="str">
        <f>HYPERLINK("https://www.nba.com/game/...-vs-...-0022300807/play-by-play?watchFullGame=true", "LAC vs MEM - Q3 08:11.00")</f>
        <v>LAC vs MEM - Q3 08:11.00</v>
      </c>
      <c r="M1309">
        <v>26.59</v>
      </c>
      <c r="N1309">
        <v>70.52</v>
      </c>
      <c r="O1309">
        <v>21.57</v>
      </c>
      <c r="P1309">
        <v>-142</v>
      </c>
      <c r="Q1309">
        <v>225</v>
      </c>
      <c r="R1309">
        <v>70</v>
      </c>
      <c r="S1309">
        <v>21</v>
      </c>
    </row>
    <row r="1310" spans="1:19" hidden="1" x14ac:dyDescent="0.25">
      <c r="A1310">
        <v>22400859</v>
      </c>
      <c r="B1310" t="s">
        <v>26</v>
      </c>
      <c r="C1310" t="s">
        <v>19</v>
      </c>
      <c r="D1310">
        <v>3</v>
      </c>
      <c r="E1310">
        <v>0</v>
      </c>
      <c r="F1310">
        <v>3</v>
      </c>
      <c r="G1310">
        <v>1</v>
      </c>
      <c r="H1310" s="1">
        <v>7.9745370370370369E-3</v>
      </c>
      <c r="I1310">
        <v>2024</v>
      </c>
      <c r="J1310" t="s">
        <v>83</v>
      </c>
      <c r="K1310" s="2" t="str">
        <f>HYPERLINK("https://www.nba.com/stats/events?CFID=&amp;CFPARAMS=&amp;GameEventID=10&amp;GameID=0022400859&amp;Season=2024-25&amp;flag=1&amp;title=Leonard%2026'%203PT%20%20(3%20PTS)", "26' 3PT  (3 PTS)")</f>
        <v>26' 3PT  (3 PTS)</v>
      </c>
      <c r="L1310" s="2" t="str">
        <f>HYPERLINK("https://www.nba.com/game/...-vs-...-0022400859/play-by-play?watchFullGame=true", "LAC vs LAL - Q1 11:29.00")</f>
        <v>LAC vs LAL - Q1 11:29.00</v>
      </c>
      <c r="M1310">
        <v>26.51</v>
      </c>
      <c r="N1310">
        <v>70.61</v>
      </c>
      <c r="O1310">
        <v>21.57</v>
      </c>
      <c r="P1310">
        <v>-142</v>
      </c>
      <c r="Q1310">
        <v>224</v>
      </c>
      <c r="R1310">
        <v>70</v>
      </c>
      <c r="S1310">
        <v>21</v>
      </c>
    </row>
    <row r="1311" spans="1:19" hidden="1" x14ac:dyDescent="0.25">
      <c r="A1311">
        <v>22201129</v>
      </c>
      <c r="B1311" t="s">
        <v>26</v>
      </c>
      <c r="C1311" t="s">
        <v>19</v>
      </c>
      <c r="D1311">
        <v>86</v>
      </c>
      <c r="E1311">
        <v>71</v>
      </c>
      <c r="F1311">
        <v>15</v>
      </c>
      <c r="G1311">
        <v>3</v>
      </c>
      <c r="H1311" s="1">
        <v>3.2060185185185186E-3</v>
      </c>
      <c r="I1311">
        <v>2022</v>
      </c>
      <c r="J1311" t="s">
        <v>83</v>
      </c>
      <c r="K1311" s="2" t="str">
        <f>HYPERLINK("https://www.nba.com/stats/events?CFID=&amp;CFPARAMS=&amp;GameEventID=388&amp;GameID=0022201129&amp;Season=2022-23&amp;flag=1&amp;title=Leonard%2026'%203PT%20running%20(13%20PTS)%20(B.%20Hyland%203%20AST)", "26' 3PT running (13 PTS) (B. Hyland 3 AST)")</f>
        <v>26' 3PT running (13 PTS) (B. Hyland 3 AST)</v>
      </c>
      <c r="L1311" s="2" t="str">
        <f>HYPERLINK("https://www.nba.com/game/...-vs-...-0022201129/play-by-play?watchFullGame=true", "LAC vs CHI - Q3 04:37.00")</f>
        <v>LAC vs CHI - Q3 04:37.00</v>
      </c>
      <c r="M1311">
        <v>26.43</v>
      </c>
      <c r="N1311">
        <v>70.09</v>
      </c>
      <c r="O1311">
        <v>23.53</v>
      </c>
      <c r="P1311">
        <v>-132</v>
      </c>
      <c r="Q1311">
        <v>229</v>
      </c>
      <c r="R1311">
        <v>70</v>
      </c>
      <c r="S1311">
        <v>23</v>
      </c>
    </row>
    <row r="1312" spans="1:19" hidden="1" x14ac:dyDescent="0.25">
      <c r="A1312">
        <v>21900458</v>
      </c>
      <c r="B1312" t="s">
        <v>26</v>
      </c>
      <c r="C1312" t="s">
        <v>84</v>
      </c>
      <c r="D1312">
        <v>76</v>
      </c>
      <c r="E1312">
        <v>80</v>
      </c>
      <c r="F1312">
        <v>4</v>
      </c>
      <c r="G1312">
        <v>3</v>
      </c>
      <c r="H1312" s="1">
        <v>2.1643518518518518E-3</v>
      </c>
      <c r="I1312">
        <v>2019</v>
      </c>
      <c r="J1312" t="s">
        <v>83</v>
      </c>
      <c r="K1312" s="2" t="str">
        <f>HYPERLINK("https://www.nba.com/stats/events?CFID=&amp;CFPARAMS=&amp;GameEventID=501&amp;GameID=0021900458&amp;Season=2019-20&amp;flag=1&amp;title=Leonard%2026'%203PT%20%20(24%20PTS)%20(J.%20Green%201%20AST)", "26' 3PT  (24 PTS) (J. Green 1 AST)")</f>
        <v>26' 3PT  (24 PTS) (J. Green 1 AST)</v>
      </c>
      <c r="L1312" s="2" t="str">
        <f>HYPERLINK("https://www.nba.com/game/...-vs-...-0021900458/play-by-play?watchFullGame=true", "LAC vs LAL - Q3 03:07.00")</f>
        <v>LAC vs LAL - Q3 03:07.00</v>
      </c>
      <c r="M1312">
        <v>26.27</v>
      </c>
      <c r="N1312">
        <v>70.61</v>
      </c>
      <c r="O1312">
        <v>75.67</v>
      </c>
      <c r="P1312">
        <v>128</v>
      </c>
      <c r="Q1312">
        <v>224</v>
      </c>
      <c r="R1312">
        <v>70</v>
      </c>
      <c r="S1312">
        <v>75</v>
      </c>
    </row>
    <row r="1313" spans="1:19" hidden="1" x14ac:dyDescent="0.25">
      <c r="A1313">
        <v>22300568</v>
      </c>
      <c r="B1313" t="s">
        <v>26</v>
      </c>
      <c r="C1313" t="s">
        <v>19</v>
      </c>
      <c r="D1313">
        <v>16</v>
      </c>
      <c r="E1313">
        <v>11</v>
      </c>
      <c r="F1313">
        <v>5</v>
      </c>
      <c r="G1313">
        <v>1</v>
      </c>
      <c r="H1313" s="1">
        <v>5.5092592592592589E-3</v>
      </c>
      <c r="I1313">
        <v>2023</v>
      </c>
      <c r="J1313" t="s">
        <v>83</v>
      </c>
      <c r="K1313" s="2" t="str">
        <f>HYPERLINK("https://www.nba.com/stats/events?CFID=&amp;CFPARAMS=&amp;GameEventID=43&amp;GameID=0022300568&amp;Season=2023-24&amp;flag=1&amp;title=Leonard%2026'%203PT%20%20(5%20PTS)%20(T.%20Mann%201%20AST)", "26' 3PT  (5 PTS) (T. Mann 1 AST)")</f>
        <v>26' 3PT  (5 PTS) (T. Mann 1 AST)</v>
      </c>
      <c r="L1313" s="2" t="str">
        <f>HYPERLINK("https://www.nba.com/game/...-vs-...-0022300568/play-by-play?watchFullGame=true", "LAC vs OKC - Q1 07:56.00")</f>
        <v>LAC vs OKC - Q1 07:56.00</v>
      </c>
      <c r="M1313">
        <v>26.25</v>
      </c>
      <c r="N1313">
        <v>70.61</v>
      </c>
      <c r="O1313">
        <v>22.55</v>
      </c>
      <c r="P1313">
        <v>-137</v>
      </c>
      <c r="Q1313">
        <v>224</v>
      </c>
      <c r="R1313">
        <v>70</v>
      </c>
      <c r="S1313">
        <v>22</v>
      </c>
    </row>
    <row r="1314" spans="1:19" hidden="1" x14ac:dyDescent="0.25">
      <c r="A1314">
        <v>21900339</v>
      </c>
      <c r="B1314" t="s">
        <v>26</v>
      </c>
      <c r="C1314" t="s">
        <v>84</v>
      </c>
      <c r="D1314">
        <v>52</v>
      </c>
      <c r="E1314">
        <v>50</v>
      </c>
      <c r="F1314">
        <v>2</v>
      </c>
      <c r="G1314">
        <v>2</v>
      </c>
      <c r="H1314" s="1">
        <v>3.5300925925925925E-3</v>
      </c>
      <c r="I1314">
        <v>2019</v>
      </c>
      <c r="J1314" t="s">
        <v>83</v>
      </c>
      <c r="K1314" s="2" t="str">
        <f>HYPERLINK("https://www.nba.com/stats/events?CFID=&amp;CFPARAMS=&amp;GameEventID=278&amp;GameID=0021900339&amp;Season=2019-20&amp;flag=1&amp;title=Leonard%2026'%203PT%20%20(13%20PTS)%20(P.%20Beverley%202%20AST)", "26' 3PT  (13 PTS) (P. Beverley 2 AST)")</f>
        <v>26' 3PT  (13 PTS) (P. Beverley 2 AST)</v>
      </c>
      <c r="L1314" s="2" t="str">
        <f>HYPERLINK("https://www.nba.com/game/...-vs-...-0021900339/play-by-play?watchFullGame=true", "LAC vs WAS - Q2 05:05.00")</f>
        <v>LAC vs WAS - Q2 05:05.00</v>
      </c>
      <c r="M1314">
        <v>26.12</v>
      </c>
      <c r="N1314">
        <v>70.88</v>
      </c>
      <c r="O1314">
        <v>75.91</v>
      </c>
      <c r="P1314">
        <v>130</v>
      </c>
      <c r="Q1314">
        <v>221</v>
      </c>
      <c r="R1314">
        <v>70</v>
      </c>
      <c r="S1314">
        <v>75</v>
      </c>
    </row>
    <row r="1315" spans="1:19" hidden="1" x14ac:dyDescent="0.25">
      <c r="A1315">
        <v>22200525</v>
      </c>
      <c r="B1315" t="s">
        <v>26</v>
      </c>
      <c r="C1315" t="s">
        <v>19</v>
      </c>
      <c r="D1315">
        <v>20</v>
      </c>
      <c r="E1315">
        <v>24</v>
      </c>
      <c r="F1315">
        <v>4</v>
      </c>
      <c r="G1315">
        <v>1</v>
      </c>
      <c r="H1315" s="1">
        <v>1.0532407407407407E-3</v>
      </c>
      <c r="I1315">
        <v>2022</v>
      </c>
      <c r="J1315" t="s">
        <v>83</v>
      </c>
      <c r="K1315" s="2" t="str">
        <f>HYPERLINK("https://www.nba.com/stats/events?CFID=&amp;CFPARAMS=&amp;GameEventID=128&amp;GameID=0022200525&amp;Season=2022-23&amp;flag=1&amp;title=Leonard%2025'%203PT%20%20(11%20PTS)%20(J.%20Wall%203%20AST)", "25' 3PT  (11 PTS) (J. Wall 3 AST)")</f>
        <v>25' 3PT  (11 PTS) (J. Wall 3 AST)</v>
      </c>
      <c r="L1315" s="2" t="str">
        <f>HYPERLINK("https://www.nba.com/game/...-vs-...-0022200525/play-by-play?watchFullGame=true", "LAC vs BOS - Q1 01:31.00")</f>
        <v>LAC vs BOS - Q1 01:31.00</v>
      </c>
      <c r="M1315">
        <v>25.92</v>
      </c>
      <c r="N1315">
        <v>70.25</v>
      </c>
      <c r="O1315">
        <v>25</v>
      </c>
      <c r="P1315">
        <v>-125</v>
      </c>
      <c r="Q1315">
        <v>227</v>
      </c>
      <c r="R1315">
        <v>70</v>
      </c>
      <c r="S1315">
        <v>25</v>
      </c>
    </row>
    <row r="1316" spans="1:19" hidden="1" x14ac:dyDescent="0.25">
      <c r="A1316">
        <v>22300865</v>
      </c>
      <c r="B1316" t="s">
        <v>26</v>
      </c>
      <c r="C1316" t="s">
        <v>19</v>
      </c>
      <c r="D1316">
        <v>33</v>
      </c>
      <c r="E1316">
        <v>28</v>
      </c>
      <c r="F1316">
        <v>5</v>
      </c>
      <c r="G1316">
        <v>1</v>
      </c>
      <c r="H1316" s="1">
        <v>8.3333333333333339E-4</v>
      </c>
      <c r="I1316">
        <v>2023</v>
      </c>
      <c r="J1316" t="s">
        <v>83</v>
      </c>
      <c r="K1316" s="2" t="str">
        <f>HYPERLINK("https://www.nba.com/stats/events?CFID=&amp;CFPARAMS=&amp;GameEventID=137&amp;GameID=0022300865&amp;Season=2023-24&amp;flag=1&amp;title=Leonard%2025'%203PT%20%20(9%20PTS)%20(R.%20Westbrook%201%20AST)", "25' 3PT  (9 PTS) (R. Westbrook 1 AST)")</f>
        <v>25' 3PT  (9 PTS) (R. Westbrook 1 AST)</v>
      </c>
      <c r="L1316" s="2" t="str">
        <f>HYPERLINK("https://www.nba.com/game/...-vs-...-0022300865/play-by-play?watchFullGame=true", "LAC vs WAS - Q1 01:12.00")</f>
        <v>LAC vs WAS - Q1 01:12.00</v>
      </c>
      <c r="M1316">
        <v>25.87</v>
      </c>
      <c r="N1316">
        <v>70.61</v>
      </c>
      <c r="O1316">
        <v>75.98</v>
      </c>
      <c r="P1316">
        <v>130</v>
      </c>
      <c r="Q1316">
        <v>224</v>
      </c>
      <c r="R1316">
        <v>70</v>
      </c>
      <c r="S1316">
        <v>75</v>
      </c>
    </row>
    <row r="1317" spans="1:19" hidden="1" x14ac:dyDescent="0.25">
      <c r="A1317">
        <v>22400679</v>
      </c>
      <c r="B1317" t="s">
        <v>26</v>
      </c>
      <c r="C1317" t="s">
        <v>19</v>
      </c>
      <c r="D1317">
        <v>34</v>
      </c>
      <c r="E1317">
        <v>28</v>
      </c>
      <c r="F1317">
        <v>6</v>
      </c>
      <c r="G1317">
        <v>2</v>
      </c>
      <c r="H1317" s="1">
        <v>5.324074074074074E-3</v>
      </c>
      <c r="I1317">
        <v>2024</v>
      </c>
      <c r="J1317" t="s">
        <v>83</v>
      </c>
      <c r="K1317" s="2" t="str">
        <f>HYPERLINK("https://www.nba.com/stats/events?CFID=&amp;CFPARAMS=&amp;GameEventID=211&amp;GameID=0022400679&amp;Season=2024-25&amp;flag=1&amp;title=Leonard%2025'%203PT%20running%20pullup%20(6%20PTS)", "25' 3PT running pullup (6 PTS)")</f>
        <v>25' 3PT running pullup (6 PTS)</v>
      </c>
      <c r="L1317" s="2" t="str">
        <f>HYPERLINK("https://www.nba.com/game/...-vs-...-0022400679/play-by-play?watchFullGame=true", "LAC vs CHA - Q2 07:40.00")</f>
        <v>LAC vs CHA - Q2 07:40.00</v>
      </c>
      <c r="M1317">
        <v>25.58</v>
      </c>
      <c r="N1317">
        <v>70.38</v>
      </c>
      <c r="O1317">
        <v>74.02</v>
      </c>
      <c r="P1317">
        <v>120</v>
      </c>
      <c r="Q1317">
        <v>226</v>
      </c>
      <c r="R1317">
        <v>70</v>
      </c>
      <c r="S1317">
        <v>74</v>
      </c>
    </row>
    <row r="1318" spans="1:19" hidden="1" x14ac:dyDescent="0.25">
      <c r="A1318">
        <v>22201196</v>
      </c>
      <c r="B1318" t="s">
        <v>26</v>
      </c>
      <c r="C1318" t="s">
        <v>19</v>
      </c>
      <c r="D1318">
        <v>63</v>
      </c>
      <c r="E1318">
        <v>46</v>
      </c>
      <c r="F1318">
        <v>17</v>
      </c>
      <c r="G1318">
        <v>2</v>
      </c>
      <c r="H1318" s="1">
        <v>3.2291666666666666E-3</v>
      </c>
      <c r="I1318">
        <v>2022</v>
      </c>
      <c r="J1318" t="s">
        <v>83</v>
      </c>
      <c r="K1318" s="2" t="str">
        <f>HYPERLINK("https://www.nba.com/stats/events?CFID=&amp;CFPARAMS=&amp;GameEventID=240&amp;GameID=0022201196&amp;Season=2022-23&amp;flag=1&amp;title=Leonard%2025'%203PT%20step%20back%20(11%20PTS)", "25' 3PT step back (11 PTS)")</f>
        <v>25' 3PT step back (11 PTS)</v>
      </c>
      <c r="L1318" s="2" t="str">
        <f>HYPERLINK("https://www.nba.com/game/...-vs-...-0022201196/play-by-play?watchFullGame=true", "LAC vs LAL - Q2 04:39.00")</f>
        <v>LAC vs LAL - Q2 04:39.00</v>
      </c>
      <c r="M1318">
        <v>25.49</v>
      </c>
      <c r="N1318">
        <v>70.22</v>
      </c>
      <c r="O1318">
        <v>73.040000000000006</v>
      </c>
      <c r="P1318">
        <v>115</v>
      </c>
      <c r="Q1318">
        <v>227</v>
      </c>
      <c r="R1318">
        <v>70</v>
      </c>
      <c r="S1318">
        <v>73</v>
      </c>
    </row>
    <row r="1319" spans="1:19" hidden="1" x14ac:dyDescent="0.25">
      <c r="A1319">
        <v>42000221</v>
      </c>
      <c r="B1319" t="s">
        <v>26</v>
      </c>
      <c r="C1319" t="s">
        <v>19</v>
      </c>
      <c r="D1319">
        <v>69</v>
      </c>
      <c r="E1319">
        <v>64</v>
      </c>
      <c r="F1319">
        <v>5</v>
      </c>
      <c r="G1319">
        <v>3</v>
      </c>
      <c r="H1319" s="1">
        <v>4.1203703703703706E-3</v>
      </c>
      <c r="I1319" t="s">
        <v>94</v>
      </c>
      <c r="J1319" t="s">
        <v>83</v>
      </c>
      <c r="K1319" s="2" t="str">
        <f>HYPERLINK("https://www.nba.com/stats/events?CFID=&amp;CFPARAMS=&amp;GameEventID=421&amp;GameID=0042000221&amp;Season=2020-21&amp;flag=1&amp;title=Leonard%2025'%203PT%20%20(14%20PTS)%20(R.%20Rondo%203%20AST)", "25' 3PT  (14 PTS) (R. Rondo 3 AST)")</f>
        <v>25' 3PT  (14 PTS) (R. Rondo 3 AST)</v>
      </c>
      <c r="L1319" s="2" t="str">
        <f>HYPERLINK("https://www.nba.com/game/...-vs-...-0042000221/play-by-play?watchFullGame=true", "LAC vs UTA - Q3 05:56.00")</f>
        <v>LAC vs UTA - Q3 05:56.00</v>
      </c>
      <c r="M1319">
        <v>25.4</v>
      </c>
      <c r="N1319">
        <v>70.52</v>
      </c>
      <c r="O1319">
        <v>26.29</v>
      </c>
      <c r="P1319">
        <v>70</v>
      </c>
      <c r="Q1319">
        <v>26</v>
      </c>
      <c r="R1319">
        <v>70</v>
      </c>
      <c r="S1319">
        <v>26</v>
      </c>
    </row>
    <row r="1320" spans="1:19" hidden="1" x14ac:dyDescent="0.25">
      <c r="A1320">
        <v>22300964</v>
      </c>
      <c r="B1320" t="s">
        <v>26</v>
      </c>
      <c r="C1320" t="s">
        <v>19</v>
      </c>
      <c r="D1320">
        <v>5</v>
      </c>
      <c r="E1320">
        <v>2</v>
      </c>
      <c r="F1320">
        <v>3</v>
      </c>
      <c r="G1320">
        <v>1</v>
      </c>
      <c r="H1320" s="1">
        <v>6.6203703703703702E-3</v>
      </c>
      <c r="I1320">
        <v>2023</v>
      </c>
      <c r="J1320" t="s">
        <v>83</v>
      </c>
      <c r="K1320" s="2" t="str">
        <f>HYPERLINK("https://www.nba.com/stats/events?CFID=&amp;CFPARAMS=&amp;GameEventID=27&amp;GameID=0022300964&amp;Season=2023-24&amp;flag=1&amp;title=Leonard%2025'%203PT%20step%20back%20(3%20PTS)", "25' 3PT step back (3 PTS)")</f>
        <v>25' 3PT step back (3 PTS)</v>
      </c>
      <c r="L1320" s="2" t="str">
        <f>HYPERLINK("https://www.nba.com/game/...-vs-...-0022300964/play-by-play?watchFullGame=true", "LAC vs NOP - Q1 09:32.00")</f>
        <v>LAC vs NOP - Q1 09:32.00</v>
      </c>
      <c r="M1320">
        <v>25.35</v>
      </c>
      <c r="N1320">
        <v>70.25</v>
      </c>
      <c r="O1320">
        <v>72.55</v>
      </c>
      <c r="P1320">
        <v>113</v>
      </c>
      <c r="Q1320">
        <v>227</v>
      </c>
      <c r="R1320">
        <v>70</v>
      </c>
      <c r="S1320">
        <v>72</v>
      </c>
    </row>
    <row r="1321" spans="1:19" hidden="1" x14ac:dyDescent="0.25">
      <c r="A1321">
        <v>22301028</v>
      </c>
      <c r="B1321" t="s">
        <v>26</v>
      </c>
      <c r="C1321" t="s">
        <v>19</v>
      </c>
      <c r="D1321">
        <v>46</v>
      </c>
      <c r="E1321">
        <v>54</v>
      </c>
      <c r="F1321">
        <v>8</v>
      </c>
      <c r="G1321">
        <v>2</v>
      </c>
      <c r="H1321" s="1">
        <v>3.8657407407407408E-3</v>
      </c>
      <c r="I1321">
        <v>2023</v>
      </c>
      <c r="J1321" t="s">
        <v>83</v>
      </c>
      <c r="K1321" s="2" t="str">
        <f>HYPERLINK("https://www.nba.com/stats/events?CFID=&amp;CFPARAMS=&amp;GameEventID=231&amp;GameID=0022301028&amp;Season=2023-24&amp;flag=1&amp;title=Leonard%2025'%203PT%20%20(6%20PTS)%20(J.%20Harden%205%20AST)", "25' 3PT  (6 PTS) (J. Harden 5 AST)")</f>
        <v>25' 3PT  (6 PTS) (J. Harden 5 AST)</v>
      </c>
      <c r="L1321" s="2" t="str">
        <f>HYPERLINK("https://www.nba.com/game/...-vs-...-0022301028/play-by-play?watchFullGame=true", "LAC vs PHI - Q2 05:34.00")</f>
        <v>LAC vs PHI - Q2 05:34.00</v>
      </c>
      <c r="M1321">
        <v>25.06</v>
      </c>
      <c r="N1321">
        <v>70.22</v>
      </c>
      <c r="O1321">
        <v>71.08</v>
      </c>
      <c r="P1321">
        <v>105</v>
      </c>
      <c r="Q1321">
        <v>227</v>
      </c>
      <c r="R1321">
        <v>70</v>
      </c>
      <c r="S1321">
        <v>71</v>
      </c>
    </row>
    <row r="1322" spans="1:19" hidden="1" x14ac:dyDescent="0.25">
      <c r="A1322">
        <v>22000576</v>
      </c>
      <c r="B1322" t="s">
        <v>18</v>
      </c>
      <c r="C1322" t="s">
        <v>19</v>
      </c>
      <c r="D1322">
        <v>18</v>
      </c>
      <c r="E1322">
        <v>15</v>
      </c>
      <c r="F1322">
        <v>3</v>
      </c>
      <c r="G1322">
        <v>1</v>
      </c>
      <c r="H1322" s="1">
        <v>3.1250000000000002E-3</v>
      </c>
      <c r="I1322">
        <v>2020</v>
      </c>
      <c r="J1322" t="s">
        <v>83</v>
      </c>
      <c r="K1322" s="2" t="str">
        <f>HYPERLINK("https://www.nba.com/stats/events?CFID=&amp;CFPARAMS=&amp;GameEventID=100&amp;GameID=0022000576&amp;Season=2020-21&amp;flag=1&amp;title=Leonard%2023'%20step%20back%20Jump%20Shot%20(4%20PTS)", "23' step back Jump Shot (4 PTS)")</f>
        <v>23' step back Jump Shot (4 PTS)</v>
      </c>
      <c r="L1322" s="2" t="str">
        <f>HYPERLINK("https://www.nba.com/game/...-vs-...-0022000576/play-by-play?watchFullGame=true", "LAC vs GSW - Q1 04:30.00")</f>
        <v>LAC vs GSW - Q1 04:30.00</v>
      </c>
      <c r="M1322">
        <v>23.28</v>
      </c>
      <c r="N1322">
        <v>70.78</v>
      </c>
      <c r="O1322">
        <v>36.1</v>
      </c>
      <c r="P1322">
        <v>-70</v>
      </c>
      <c r="Q1322">
        <v>222</v>
      </c>
      <c r="R1322">
        <v>70</v>
      </c>
      <c r="S1322">
        <v>36</v>
      </c>
    </row>
    <row r="1323" spans="1:19" hidden="1" x14ac:dyDescent="0.25">
      <c r="A1323">
        <v>21900377</v>
      </c>
      <c r="B1323" t="s">
        <v>18</v>
      </c>
      <c r="C1323" t="s">
        <v>84</v>
      </c>
      <c r="D1323">
        <v>23</v>
      </c>
      <c r="E1323">
        <v>11</v>
      </c>
      <c r="F1323">
        <v>12</v>
      </c>
      <c r="G1323">
        <v>1</v>
      </c>
      <c r="H1323" s="1">
        <v>3.449074074074074E-3</v>
      </c>
      <c r="I1323">
        <v>2019</v>
      </c>
      <c r="J1323" t="s">
        <v>83</v>
      </c>
      <c r="K1323" s="2" t="str">
        <f>HYPERLINK("https://www.nba.com/stats/events?CFID=&amp;CFPARAMS=&amp;GameEventID=79&amp;GameID=0021900377&amp;Season=2019-20&amp;flag=1&amp;title=Leonard%2023'%20jumpshot%20(13%20PTS)", "23' jumpshot (13 PTS)")</f>
        <v>23' jumpshot (13 PTS)</v>
      </c>
      <c r="L1323" s="2" t="str">
        <f>HYPERLINK("https://www.nba.com/game/...-vs-...-0021900377/play-by-play?watchFullGame=true", "LAC vs MIN - Q1 04:58.00")</f>
        <v>LAC vs MIN - Q1 04:58.00</v>
      </c>
      <c r="M1323">
        <v>22.64</v>
      </c>
      <c r="N1323">
        <v>70.91</v>
      </c>
      <c r="O1323">
        <v>50.31</v>
      </c>
      <c r="P1323">
        <v>2</v>
      </c>
      <c r="Q1323">
        <v>221</v>
      </c>
      <c r="R1323">
        <v>70</v>
      </c>
      <c r="S1323">
        <v>50</v>
      </c>
    </row>
    <row r="1324" spans="1:19" hidden="1" x14ac:dyDescent="0.25">
      <c r="A1324">
        <v>22300646</v>
      </c>
      <c r="B1324" t="s">
        <v>26</v>
      </c>
      <c r="C1324" t="s">
        <v>19</v>
      </c>
      <c r="D1324">
        <v>9</v>
      </c>
      <c r="E1324">
        <v>9</v>
      </c>
      <c r="F1324">
        <v>0</v>
      </c>
      <c r="G1324">
        <v>1</v>
      </c>
      <c r="H1324" s="1">
        <v>4.5717592592592589E-3</v>
      </c>
      <c r="I1324">
        <v>2023</v>
      </c>
      <c r="J1324" t="s">
        <v>83</v>
      </c>
      <c r="K1324" s="2" t="str">
        <f>HYPERLINK("https://www.nba.com/stats/events?CFID=&amp;CFPARAMS=&amp;GameEventID=70&amp;GameID=0022300646&amp;Season=2023-24&amp;flag=1&amp;title=Leonard%2027'%203PT%20%20(5%20PTS)%20(T.%20Mann%202%20AST)", "27' 3PT  (5 PTS) (T. Mann 2 AST)")</f>
        <v>27' 3PT  (5 PTS) (T. Mann 2 AST)</v>
      </c>
      <c r="L1324" s="2" t="str">
        <f>HYPERLINK("https://www.nba.com/game/...-vs-...-0022300646/play-by-play?watchFullGame=true", "LAC vs BOS - Q1 06:35.00")</f>
        <v>LAC vs BOS - Q1 06:35.00</v>
      </c>
      <c r="M1324">
        <v>27.6</v>
      </c>
      <c r="N1324">
        <v>71.3</v>
      </c>
      <c r="O1324">
        <v>15.93</v>
      </c>
      <c r="P1324">
        <v>-170</v>
      </c>
      <c r="Q1324">
        <v>217</v>
      </c>
      <c r="R1324">
        <v>71</v>
      </c>
      <c r="S1324">
        <v>15</v>
      </c>
    </row>
    <row r="1325" spans="1:19" hidden="1" x14ac:dyDescent="0.25">
      <c r="A1325">
        <v>22400596</v>
      </c>
      <c r="B1325" t="s">
        <v>26</v>
      </c>
      <c r="C1325" t="s">
        <v>19</v>
      </c>
      <c r="D1325">
        <v>18</v>
      </c>
      <c r="E1325">
        <v>12</v>
      </c>
      <c r="F1325">
        <v>6</v>
      </c>
      <c r="G1325">
        <v>1</v>
      </c>
      <c r="H1325" s="1">
        <v>4.7337962962962967E-3</v>
      </c>
      <c r="I1325">
        <v>2024</v>
      </c>
      <c r="J1325" t="s">
        <v>83</v>
      </c>
      <c r="K1325" s="2" t="str">
        <f>HYPERLINK("https://www.nba.com/stats/events?CFID=&amp;CFPARAMS=&amp;GameEventID=50&amp;GameID=0022400596&amp;Season=2024-25&amp;flag=1&amp;title=Leonard%2026'%203PT%20%20(3%20PTS)%20(J.%20Harden%201%20AST)", "26' 3PT  (3 PTS) (J. Harden 1 AST)")</f>
        <v>26' 3PT  (3 PTS) (J. Harden 1 AST)</v>
      </c>
      <c r="L1325" s="2" t="str">
        <f>HYPERLINK("https://www.nba.com/game/...-vs-...-0022400596/play-by-play?watchFullGame=true", "LAC vs LAL - Q1 06:49.00")</f>
        <v>LAC vs LAL - Q1 06:49.00</v>
      </c>
      <c r="M1325">
        <v>26.54</v>
      </c>
      <c r="N1325">
        <v>71.83</v>
      </c>
      <c r="O1325">
        <v>18.14</v>
      </c>
      <c r="P1325">
        <v>-159</v>
      </c>
      <c r="Q1325">
        <v>212</v>
      </c>
      <c r="R1325">
        <v>71</v>
      </c>
      <c r="S1325">
        <v>18</v>
      </c>
    </row>
    <row r="1326" spans="1:19" hidden="1" x14ac:dyDescent="0.25">
      <c r="A1326">
        <v>22201041</v>
      </c>
      <c r="B1326" t="s">
        <v>26</v>
      </c>
      <c r="C1326" t="s">
        <v>19</v>
      </c>
      <c r="D1326">
        <v>118</v>
      </c>
      <c r="E1326">
        <v>106</v>
      </c>
      <c r="F1326">
        <v>12</v>
      </c>
      <c r="G1326">
        <v>4</v>
      </c>
      <c r="H1326" s="1">
        <v>4.6412037037037038E-3</v>
      </c>
      <c r="I1326">
        <v>2022</v>
      </c>
      <c r="J1326" t="s">
        <v>83</v>
      </c>
      <c r="K1326" s="2" t="str">
        <f>HYPERLINK("https://www.nba.com/stats/events?CFID=&amp;CFPARAMS=&amp;GameEventID=572&amp;GameID=0022201041&amp;Season=2022-23&amp;flag=1&amp;title=Leonard%2026'%203PT%20%20(30%20PTS)%20(T.%20Mann%201%20AST)", "26' 3PT  (30 PTS) (T. Mann 1 AST)")</f>
        <v>26' 3PT  (30 PTS) (T. Mann 1 AST)</v>
      </c>
      <c r="L1326" s="2" t="str">
        <f>HYPERLINK("https://www.nba.com/game/...-vs-...-0022201041/play-by-play?watchFullGame=true", "LAC vs GSW - Q4 06:41.00")</f>
        <v>LAC vs GSW - Q4 06:41.00</v>
      </c>
      <c r="M1326">
        <v>26.18</v>
      </c>
      <c r="N1326">
        <v>71.27</v>
      </c>
      <c r="O1326">
        <v>20.83</v>
      </c>
      <c r="P1326">
        <v>-146</v>
      </c>
      <c r="Q1326">
        <v>218</v>
      </c>
      <c r="R1326">
        <v>71</v>
      </c>
      <c r="S1326">
        <v>20</v>
      </c>
    </row>
    <row r="1327" spans="1:19" hidden="1" x14ac:dyDescent="0.25">
      <c r="A1327">
        <v>22000009</v>
      </c>
      <c r="B1327" t="s">
        <v>26</v>
      </c>
      <c r="C1327" t="s">
        <v>19</v>
      </c>
      <c r="D1327">
        <v>79</v>
      </c>
      <c r="E1327">
        <v>58</v>
      </c>
      <c r="F1327">
        <v>21</v>
      </c>
      <c r="G1327">
        <v>3</v>
      </c>
      <c r="H1327" s="1">
        <v>6.6666666666666671E-3</v>
      </c>
      <c r="I1327">
        <v>2020</v>
      </c>
      <c r="J1327" t="s">
        <v>83</v>
      </c>
      <c r="K1327" s="2" t="str">
        <f>HYPERLINK("https://www.nba.com/stats/events?CFID=&amp;CFPARAMS=&amp;GameEventID=437&amp;GameID=0022000009&amp;Season=2020-21&amp;flag=1&amp;title=Leonard%2026'%203PT%20%20(17%20PTS)%20(P.%20George%205%20AST)", "26' 3PT  (17 PTS) (P. George 5 AST)")</f>
        <v>26' 3PT  (17 PTS) (P. George 5 AST)</v>
      </c>
      <c r="L1327" s="2" t="str">
        <f>HYPERLINK("https://www.nba.com/game/...-vs-...-0022000009/play-by-play?watchFullGame=true", "LAC vs DEN - Q3 09:36.00")</f>
        <v>LAC vs DEN - Q3 09:36.00</v>
      </c>
      <c r="M1327">
        <v>26.09</v>
      </c>
      <c r="N1327">
        <v>71.83</v>
      </c>
      <c r="O1327">
        <v>19.68</v>
      </c>
      <c r="P1327">
        <v>-152</v>
      </c>
      <c r="Q1327">
        <v>212</v>
      </c>
      <c r="R1327">
        <v>71</v>
      </c>
      <c r="S1327">
        <v>19</v>
      </c>
    </row>
    <row r="1328" spans="1:19" hidden="1" x14ac:dyDescent="0.25">
      <c r="A1328">
        <v>22300537</v>
      </c>
      <c r="B1328" t="s">
        <v>26</v>
      </c>
      <c r="C1328" t="s">
        <v>19</v>
      </c>
      <c r="D1328">
        <v>87</v>
      </c>
      <c r="E1328">
        <v>66</v>
      </c>
      <c r="F1328">
        <v>21</v>
      </c>
      <c r="G1328">
        <v>3</v>
      </c>
      <c r="H1328" s="1">
        <v>3.3680555555555556E-3</v>
      </c>
      <c r="I1328">
        <v>2023</v>
      </c>
      <c r="J1328" t="s">
        <v>83</v>
      </c>
      <c r="K1328" s="2" t="str">
        <f>HYPERLINK("https://www.nba.com/stats/events?CFID=&amp;CFPARAMS=&amp;GameEventID=401&amp;GameID=0022300537&amp;Season=2023-24&amp;flag=1&amp;title=Leonard%2025'%203PT%20pullup%20(20%20PTS)", "25' 3PT pullup (20 PTS)")</f>
        <v>25' 3PT pullup (20 PTS)</v>
      </c>
      <c r="L1328" s="2" t="str">
        <f>HYPERLINK("https://www.nba.com/game/...-vs-...-0022300537/play-by-play?watchFullGame=true", "LAC vs MEM - Q3 04:51.00")</f>
        <v>LAC vs MEM - Q3 04:51.00</v>
      </c>
      <c r="M1328">
        <v>25.96</v>
      </c>
      <c r="N1328">
        <v>71.569999999999993</v>
      </c>
      <c r="O1328">
        <v>79.17</v>
      </c>
      <c r="P1328">
        <v>146</v>
      </c>
      <c r="Q1328">
        <v>215</v>
      </c>
      <c r="R1328">
        <v>71</v>
      </c>
      <c r="S1328">
        <v>79</v>
      </c>
    </row>
    <row r="1329" spans="1:19" hidden="1" x14ac:dyDescent="0.25">
      <c r="A1329">
        <v>22300982</v>
      </c>
      <c r="B1329" t="s">
        <v>26</v>
      </c>
      <c r="C1329" t="s">
        <v>19</v>
      </c>
      <c r="D1329">
        <v>5</v>
      </c>
      <c r="E1329">
        <v>2</v>
      </c>
      <c r="F1329">
        <v>3</v>
      </c>
      <c r="G1329">
        <v>1</v>
      </c>
      <c r="H1329" s="1">
        <v>7.2222222222222219E-3</v>
      </c>
      <c r="I1329">
        <v>2023</v>
      </c>
      <c r="J1329" t="s">
        <v>83</v>
      </c>
      <c r="K1329" s="2" t="str">
        <f>HYPERLINK("https://www.nba.com/stats/events?CFID=&amp;CFPARAMS=&amp;GameEventID=22&amp;GameID=0022300982&amp;Season=2023-24&amp;flag=1&amp;title=Leonard%2025'%203PT%20%20(5%20PTS)%20(I.%20Zubac%201%20AST)", "25' 3PT  (5 PTS) (I. Zubac 1 AST)")</f>
        <v>25' 3PT  (5 PTS) (I. Zubac 1 AST)</v>
      </c>
      <c r="L1329" s="2" t="str">
        <f>HYPERLINK("https://www.nba.com/game/...-vs-...-0022300982/play-by-play?watchFullGame=true", "LAC vs ATL - Q1 10:24.00")</f>
        <v>LAC vs ATL - Q1 10:24.00</v>
      </c>
      <c r="M1329">
        <v>25.79</v>
      </c>
      <c r="N1329">
        <v>71.53</v>
      </c>
      <c r="O1329">
        <v>21.57</v>
      </c>
      <c r="P1329">
        <v>-142</v>
      </c>
      <c r="Q1329">
        <v>215</v>
      </c>
      <c r="R1329">
        <v>71</v>
      </c>
      <c r="S1329">
        <v>21</v>
      </c>
    </row>
    <row r="1330" spans="1:19" hidden="1" x14ac:dyDescent="0.25">
      <c r="A1330">
        <v>22400874</v>
      </c>
      <c r="B1330" t="s">
        <v>26</v>
      </c>
      <c r="C1330" t="s">
        <v>19</v>
      </c>
      <c r="D1330">
        <v>38</v>
      </c>
      <c r="E1330">
        <v>39</v>
      </c>
      <c r="F1330">
        <v>1</v>
      </c>
      <c r="G1330">
        <v>2</v>
      </c>
      <c r="H1330" s="1">
        <v>6.1805555555555555E-3</v>
      </c>
      <c r="I1330">
        <v>2024</v>
      </c>
      <c r="J1330" t="s">
        <v>83</v>
      </c>
      <c r="K1330" s="2" t="str">
        <f>HYPERLINK("https://www.nba.com/stats/events?CFID=&amp;CFPARAMS=&amp;GameEventID=189&amp;GameID=0022400874&amp;Season=2024-25&amp;flag=1&amp;title=Leonard%2025'%203PT%20pullup%20(10%20PTS)", "25' 3PT pullup (10 PTS)")</f>
        <v>25' 3PT pullup (10 PTS)</v>
      </c>
      <c r="L1330" s="2" t="str">
        <f>HYPERLINK("https://www.nba.com/game/...-vs-...-0022400874/play-by-play?watchFullGame=true", "LAC vs LAL - Q2 08:54.00")</f>
        <v>LAC vs LAL - Q2 08:54.00</v>
      </c>
      <c r="M1330">
        <v>25.65</v>
      </c>
      <c r="N1330">
        <v>71.27</v>
      </c>
      <c r="O1330">
        <v>77.209999999999994</v>
      </c>
      <c r="P1330">
        <v>136</v>
      </c>
      <c r="Q1330">
        <v>218</v>
      </c>
      <c r="R1330">
        <v>71</v>
      </c>
      <c r="S1330">
        <v>77</v>
      </c>
    </row>
    <row r="1331" spans="1:19" hidden="1" x14ac:dyDescent="0.25">
      <c r="A1331">
        <v>42000174</v>
      </c>
      <c r="B1331" t="s">
        <v>26</v>
      </c>
      <c r="C1331" t="s">
        <v>19</v>
      </c>
      <c r="D1331">
        <v>48</v>
      </c>
      <c r="E1331">
        <v>29</v>
      </c>
      <c r="F1331">
        <v>19</v>
      </c>
      <c r="G1331">
        <v>2</v>
      </c>
      <c r="H1331" s="1">
        <v>4.8379629629629632E-3</v>
      </c>
      <c r="I1331" t="s">
        <v>91</v>
      </c>
      <c r="J1331" t="s">
        <v>83</v>
      </c>
      <c r="K1331" s="2" t="str">
        <f>HYPERLINK("https://www.nba.com/stats/events?CFID=&amp;CFPARAMS=&amp;GameEventID=254&amp;GameID=0042000174&amp;Season=2020-21&amp;flag=1&amp;title=Leonard%2025'%203PT%20pullup%20(13%20PTS)%20(P.%20George%201%20AST)", "25' 3PT pullup (13 PTS) (P. George 1 AST)")</f>
        <v>25' 3PT pullup (13 PTS) (P. George 1 AST)</v>
      </c>
      <c r="L1331" s="2" t="str">
        <f>HYPERLINK("https://www.nba.com/game/...-vs-...-0042000174/play-by-play?watchFullGame=true", "LAC vs DAL - Q2 06:58.00")</f>
        <v>LAC vs DAL - Q2 06:58.00</v>
      </c>
      <c r="M1331">
        <v>25.56</v>
      </c>
      <c r="N1331">
        <v>71.7</v>
      </c>
      <c r="O1331">
        <v>21.88</v>
      </c>
      <c r="P1331">
        <v>71</v>
      </c>
      <c r="Q1331">
        <v>21</v>
      </c>
      <c r="R1331">
        <v>71</v>
      </c>
      <c r="S1331">
        <v>21</v>
      </c>
    </row>
    <row r="1332" spans="1:19" hidden="1" x14ac:dyDescent="0.25">
      <c r="A1332">
        <v>21900090</v>
      </c>
      <c r="B1332" t="s">
        <v>26</v>
      </c>
      <c r="C1332" t="s">
        <v>84</v>
      </c>
      <c r="D1332">
        <v>82</v>
      </c>
      <c r="E1332">
        <v>76</v>
      </c>
      <c r="F1332">
        <v>6</v>
      </c>
      <c r="G1332">
        <v>4</v>
      </c>
      <c r="H1332" s="1">
        <v>5.1967592592592595E-3</v>
      </c>
      <c r="I1332">
        <v>2019</v>
      </c>
      <c r="J1332" t="s">
        <v>83</v>
      </c>
      <c r="K1332" s="2" t="str">
        <f>HYPERLINK("https://www.nba.com/stats/events?CFID=&amp;CFPARAMS=&amp;GameEventID=577&amp;GameID=0021900090&amp;Season=2019-20&amp;flag=1&amp;title=[LAC]%20Leonard%203pt%20shot:%20Made%20(20%20PTS)", "[LAC] Leonard 3pt shot: Made (20 PTS)")</f>
        <v>[LAC] Leonard 3pt shot: Made (20 PTS)</v>
      </c>
      <c r="L1332" s="2" t="str">
        <f>HYPERLINK("https://www.nba.com/game/...-vs-...-0021900090/play-by-play?watchFullGame=true", "LAC vs UTA - Q4 07:29.00")</f>
        <v>LAC vs UTA - Q4 07:29.00</v>
      </c>
      <c r="M1332">
        <v>25.43</v>
      </c>
      <c r="N1332">
        <v>71.14</v>
      </c>
      <c r="O1332">
        <v>73.95</v>
      </c>
      <c r="P1332">
        <v>120</v>
      </c>
      <c r="Q1332">
        <v>219</v>
      </c>
      <c r="R1332">
        <v>71</v>
      </c>
      <c r="S1332">
        <v>73</v>
      </c>
    </row>
    <row r="1333" spans="1:19" hidden="1" x14ac:dyDescent="0.25">
      <c r="A1333">
        <v>42000177</v>
      </c>
      <c r="B1333" t="s">
        <v>26</v>
      </c>
      <c r="C1333" t="s">
        <v>19</v>
      </c>
      <c r="D1333">
        <v>14</v>
      </c>
      <c r="E1333">
        <v>11</v>
      </c>
      <c r="F1333">
        <v>3</v>
      </c>
      <c r="G1333">
        <v>1</v>
      </c>
      <c r="H1333" s="1">
        <v>5.6249999999999998E-3</v>
      </c>
      <c r="I1333" t="s">
        <v>91</v>
      </c>
      <c r="J1333" t="s">
        <v>83</v>
      </c>
      <c r="K1333" s="2" t="str">
        <f>HYPERLINK("https://www.nba.com/stats/events?CFID=&amp;CFPARAMS=&amp;GameEventID=49&amp;GameID=0042000177&amp;Season=2020-21&amp;flag=1&amp;title=Leonard%2025'%203PT%20%20(7%20PTS)%20(P.%20George%202%20AST)", "25' 3PT  (7 PTS) (P. George 2 AST)")</f>
        <v>25' 3PT  (7 PTS) (P. George 2 AST)</v>
      </c>
      <c r="L1333" s="2" t="str">
        <f>HYPERLINK("https://www.nba.com/game/...-vs-...-0042000177/play-by-play?watchFullGame=true", "LAC vs DAL - Q1 08:06.00")</f>
        <v>LAC vs DAL - Q1 08:06.00</v>
      </c>
      <c r="M1333">
        <v>25.4</v>
      </c>
      <c r="N1333">
        <v>71.959999999999994</v>
      </c>
      <c r="O1333">
        <v>78.260000000000005</v>
      </c>
      <c r="P1333">
        <v>71</v>
      </c>
      <c r="Q1333">
        <v>78</v>
      </c>
      <c r="R1333">
        <v>71</v>
      </c>
      <c r="S1333">
        <v>78</v>
      </c>
    </row>
    <row r="1334" spans="1:19" hidden="1" x14ac:dyDescent="0.25">
      <c r="A1334">
        <v>22000867</v>
      </c>
      <c r="B1334" t="s">
        <v>26</v>
      </c>
      <c r="C1334" t="s">
        <v>19</v>
      </c>
      <c r="D1334">
        <v>7</v>
      </c>
      <c r="E1334">
        <v>5</v>
      </c>
      <c r="F1334">
        <v>2</v>
      </c>
      <c r="G1334">
        <v>1</v>
      </c>
      <c r="H1334" s="1">
        <v>7.013888888888889E-3</v>
      </c>
      <c r="I1334">
        <v>2020</v>
      </c>
      <c r="J1334" t="s">
        <v>83</v>
      </c>
      <c r="K1334" s="2" t="str">
        <f>HYPERLINK("https://www.nba.com/stats/events?CFID=&amp;CFPARAMS=&amp;GameEventID=26&amp;GameID=0022000867&amp;Season=2020-21&amp;flag=1&amp;title=Leonard%2025'%203PT%20running%20pullup%20(3%20PTS)", "25' 3PT running pullup (3 PTS)")</f>
        <v>25' 3PT running pullup (3 PTS)</v>
      </c>
      <c r="L1334" s="2" t="str">
        <f>HYPERLINK("https://www.nba.com/game/...-vs-...-0022000867/play-by-play?watchFullGame=true", "LAC vs MIN - Q1 10:06.00")</f>
        <v>LAC vs MIN - Q1 10:06.00</v>
      </c>
      <c r="M1334">
        <v>25.31</v>
      </c>
      <c r="N1334">
        <v>71.569999999999993</v>
      </c>
      <c r="O1334">
        <v>76.78</v>
      </c>
      <c r="P1334">
        <v>134</v>
      </c>
      <c r="Q1334">
        <v>215</v>
      </c>
      <c r="R1334">
        <v>71</v>
      </c>
      <c r="S1334">
        <v>76</v>
      </c>
    </row>
    <row r="1335" spans="1:19" hidden="1" x14ac:dyDescent="0.25">
      <c r="A1335">
        <v>21900305</v>
      </c>
      <c r="B1335" t="s">
        <v>26</v>
      </c>
      <c r="C1335" t="s">
        <v>84</v>
      </c>
      <c r="D1335">
        <v>7</v>
      </c>
      <c r="E1335">
        <v>5</v>
      </c>
      <c r="F1335">
        <v>2</v>
      </c>
      <c r="G1335">
        <v>1</v>
      </c>
      <c r="H1335" s="1">
        <v>7.1643518518518514E-3</v>
      </c>
      <c r="I1335">
        <v>2019</v>
      </c>
      <c r="J1335" t="s">
        <v>83</v>
      </c>
      <c r="K1335" s="2" t="str">
        <f>HYPERLINK("https://www.nba.com/stats/events?CFID=&amp;CFPARAMS=&amp;GameEventID=20&amp;GameID=0021900305&amp;Season=2019-20&amp;flag=1&amp;title=Leonard%2025'%203PT%20%20(5%20PTS)%20(P.%20George%201%20AST)", "25' 3PT  (5 PTS) (P. George 1 AST)")</f>
        <v>25' 3PT  (5 PTS) (P. George 1 AST)</v>
      </c>
      <c r="L1335" s="2" t="str">
        <f>HYPERLINK("https://www.nba.com/game/...-vs-...-0021900305/play-by-play?watchFullGame=true", "LAC vs POR - Q1 10:19.00")</f>
        <v>LAC vs POR - Q1 10:19.00</v>
      </c>
      <c r="M1335">
        <v>25.29</v>
      </c>
      <c r="N1335">
        <v>71.27</v>
      </c>
      <c r="O1335">
        <v>26.16</v>
      </c>
      <c r="P1335">
        <v>-119</v>
      </c>
      <c r="Q1335">
        <v>218</v>
      </c>
      <c r="R1335">
        <v>71</v>
      </c>
      <c r="S1335">
        <v>26</v>
      </c>
    </row>
    <row r="1336" spans="1:19" hidden="1" x14ac:dyDescent="0.25">
      <c r="A1336">
        <v>22000472</v>
      </c>
      <c r="B1336" t="s">
        <v>26</v>
      </c>
      <c r="C1336" t="s">
        <v>19</v>
      </c>
      <c r="D1336">
        <v>30</v>
      </c>
      <c r="E1336">
        <v>28</v>
      </c>
      <c r="F1336">
        <v>2</v>
      </c>
      <c r="G1336">
        <v>1</v>
      </c>
      <c r="H1336" s="1">
        <v>3.1481481481481481E-4</v>
      </c>
      <c r="I1336">
        <v>2020</v>
      </c>
      <c r="J1336" t="s">
        <v>83</v>
      </c>
      <c r="K1336" s="2" t="str">
        <f>HYPERLINK("https://www.nba.com/stats/events?CFID=&amp;CFPARAMS=&amp;GameEventID=139&amp;GameID=0022000472&amp;Season=2020-21&amp;flag=1&amp;title=Leonard%2025'%203PT%20%20(14%20PTS)%20(T.%20Mann%201%20AST)", "25' 3PT  (14 PTS) (T. Mann 1 AST)")</f>
        <v>25' 3PT  (14 PTS) (T. Mann 1 AST)</v>
      </c>
      <c r="L1336" s="2" t="str">
        <f>HYPERLINK("https://www.nba.com/game/...-vs-...-0022000472/play-by-play?watchFullGame=true", "LAC vs BKN - Q1 00:27.20")</f>
        <v>LAC vs BKN - Q1 00:27.20</v>
      </c>
      <c r="M1336">
        <v>25.19</v>
      </c>
      <c r="N1336">
        <v>71.17</v>
      </c>
      <c r="O1336">
        <v>75.069999999999993</v>
      </c>
      <c r="P1336">
        <v>125</v>
      </c>
      <c r="Q1336">
        <v>218</v>
      </c>
      <c r="R1336">
        <v>71</v>
      </c>
      <c r="S1336">
        <v>75</v>
      </c>
    </row>
    <row r="1337" spans="1:19" hidden="1" x14ac:dyDescent="0.25">
      <c r="A1337">
        <v>22200970</v>
      </c>
      <c r="B1337" t="s">
        <v>26</v>
      </c>
      <c r="C1337" t="s">
        <v>19</v>
      </c>
      <c r="D1337">
        <v>120</v>
      </c>
      <c r="E1337">
        <v>121</v>
      </c>
      <c r="F1337">
        <v>1</v>
      </c>
      <c r="G1337">
        <v>4</v>
      </c>
      <c r="H1337" s="1">
        <v>3.1481481481481482E-3</v>
      </c>
      <c r="I1337">
        <v>2022</v>
      </c>
      <c r="J1337" t="s">
        <v>83</v>
      </c>
      <c r="K1337" s="2" t="str">
        <f>HYPERLINK("https://www.nba.com/stats/events?CFID=&amp;CFPARAMS=&amp;GameEventID=588&amp;GameID=0022200970&amp;Season=2022-23&amp;flag=1&amp;title=Leonard%2025'%203PT%20step%20back%20(24%20PTS)", "25' 3PT step back (24 PTS)")</f>
        <v>25' 3PT step back (24 PTS)</v>
      </c>
      <c r="L1337" s="2" t="str">
        <f>HYPERLINK("https://www.nba.com/game/...-vs-...-0022200970/play-by-play?watchFullGame=true", "LAC vs MEM - Q4 04:32.00")</f>
        <v>LAC vs MEM - Q4 04:32.00</v>
      </c>
      <c r="M1337">
        <v>25.14</v>
      </c>
      <c r="N1337">
        <v>71.14</v>
      </c>
      <c r="O1337">
        <v>74.75</v>
      </c>
      <c r="P1337">
        <v>124</v>
      </c>
      <c r="Q1337">
        <v>219</v>
      </c>
      <c r="R1337">
        <v>71</v>
      </c>
      <c r="S1337">
        <v>74</v>
      </c>
    </row>
    <row r="1338" spans="1:19" hidden="1" x14ac:dyDescent="0.25">
      <c r="A1338">
        <v>22300848</v>
      </c>
      <c r="B1338" t="s">
        <v>26</v>
      </c>
      <c r="C1338" t="s">
        <v>19</v>
      </c>
      <c r="D1338">
        <v>15</v>
      </c>
      <c r="E1338">
        <v>12</v>
      </c>
      <c r="F1338">
        <v>3</v>
      </c>
      <c r="G1338">
        <v>1</v>
      </c>
      <c r="H1338" s="1">
        <v>4.6064814814814814E-3</v>
      </c>
      <c r="I1338">
        <v>2023</v>
      </c>
      <c r="J1338" t="s">
        <v>83</v>
      </c>
      <c r="K1338" s="2" t="str">
        <f>HYPERLINK("https://www.nba.com/stats/events?CFID=&amp;CFPARAMS=&amp;GameEventID=61&amp;GameID=0022300848&amp;Season=2023-24&amp;flag=1&amp;title=Leonard%2024'%203PT%20pullup%20(5%20PTS)%20(T.%20Mann%201%20AST)", "24' 3PT pullup (5 PTS) (T. Mann 1 AST)")</f>
        <v>24' 3PT pullup (5 PTS) (T. Mann 1 AST)</v>
      </c>
      <c r="L1338" s="2" t="str">
        <f>HYPERLINK("https://www.nba.com/game/...-vs-...-0022300848/play-by-play?watchFullGame=true", "LAC vs LAL - Q1 06:38.00")</f>
        <v>LAC vs LAL - Q1 06:38.00</v>
      </c>
      <c r="M1338">
        <v>24.46</v>
      </c>
      <c r="N1338">
        <v>71.53</v>
      </c>
      <c r="O1338">
        <v>26.72</v>
      </c>
      <c r="P1338">
        <v>-116</v>
      </c>
      <c r="Q1338">
        <v>215</v>
      </c>
      <c r="R1338">
        <v>71</v>
      </c>
      <c r="S1338">
        <v>26</v>
      </c>
    </row>
    <row r="1339" spans="1:19" hidden="1" x14ac:dyDescent="0.25">
      <c r="A1339">
        <v>22300676</v>
      </c>
      <c r="B1339" t="s">
        <v>18</v>
      </c>
      <c r="C1339" t="s">
        <v>19</v>
      </c>
      <c r="D1339">
        <v>62</v>
      </c>
      <c r="E1339">
        <v>55</v>
      </c>
      <c r="F1339">
        <v>7</v>
      </c>
      <c r="G1339">
        <v>2</v>
      </c>
      <c r="H1339" s="1">
        <v>1.1226851851851851E-3</v>
      </c>
      <c r="I1339">
        <v>2023</v>
      </c>
      <c r="J1339" t="s">
        <v>83</v>
      </c>
      <c r="K1339" s="2" t="str">
        <f>HYPERLINK("https://www.nba.com/stats/events?CFID=&amp;CFPARAMS=&amp;GameEventID=284&amp;GameID=0022300676&amp;Season=2023-24&amp;flag=1&amp;title=Leonard%2021'%20pullup%20Jump%20Shot%20(17%20PTS)", "21' pullup Jump Shot (17 PTS)")</f>
        <v>21' pullup Jump Shot (17 PTS)</v>
      </c>
      <c r="L1339" s="2" t="str">
        <f>HYPERLINK("https://www.nba.com/game/...-vs-...-0022300676/play-by-play?watchFullGame=true", "LAC vs WAS - Q2 01:37.00")</f>
        <v>LAC vs WAS - Q2 01:37.00</v>
      </c>
      <c r="M1339">
        <v>21.24</v>
      </c>
      <c r="N1339">
        <v>71.83</v>
      </c>
      <c r="O1339">
        <v>50.98</v>
      </c>
      <c r="P1339">
        <v>5</v>
      </c>
      <c r="Q1339">
        <v>212</v>
      </c>
      <c r="R1339">
        <v>71</v>
      </c>
      <c r="S1339">
        <v>50</v>
      </c>
    </row>
    <row r="1340" spans="1:19" hidden="1" x14ac:dyDescent="0.25">
      <c r="A1340">
        <v>41900156</v>
      </c>
      <c r="B1340" t="s">
        <v>18</v>
      </c>
      <c r="C1340" t="s">
        <v>84</v>
      </c>
      <c r="D1340">
        <v>99</v>
      </c>
      <c r="E1340">
        <v>89</v>
      </c>
      <c r="F1340">
        <v>10</v>
      </c>
      <c r="G1340">
        <v>4</v>
      </c>
      <c r="H1340" s="1">
        <v>4.363425925925926E-3</v>
      </c>
      <c r="I1340" t="s">
        <v>86</v>
      </c>
      <c r="J1340" t="s">
        <v>83</v>
      </c>
      <c r="K1340" s="2" t="str">
        <f>HYPERLINK("https://www.nba.com/stats/events?CFID=&amp;CFPARAMS=&amp;GameEventID=545&amp;GameID=0041900156&amp;Season=2019-20&amp;flag=1&amp;title=Leonard%2023'%20jumpshot%20(33%20PTS)", "23' jumpshot (33 PTS)")</f>
        <v>23' jumpshot (33 PTS)</v>
      </c>
      <c r="L1340" s="2" t="str">
        <f>HYPERLINK("https://www.nba.com/game/...-vs-...-0041900156/play-by-play?watchFullGame=true", "LAC vs DAL - Q4 06:17.00")</f>
        <v>LAC vs DAL - Q4 06:17.00</v>
      </c>
      <c r="M1340">
        <v>23.11</v>
      </c>
      <c r="N1340">
        <v>71.7</v>
      </c>
      <c r="O1340">
        <v>64.77</v>
      </c>
      <c r="P1340">
        <v>74</v>
      </c>
      <c r="Q1340">
        <v>214</v>
      </c>
      <c r="R1340">
        <v>71</v>
      </c>
      <c r="S1340">
        <v>64</v>
      </c>
    </row>
    <row r="1341" spans="1:19" hidden="1" x14ac:dyDescent="0.25">
      <c r="A1341">
        <v>22300646</v>
      </c>
      <c r="B1341" t="s">
        <v>26</v>
      </c>
      <c r="C1341" t="s">
        <v>19</v>
      </c>
      <c r="D1341">
        <v>26</v>
      </c>
      <c r="E1341">
        <v>18</v>
      </c>
      <c r="F1341">
        <v>8</v>
      </c>
      <c r="G1341">
        <v>1</v>
      </c>
      <c r="H1341" s="1">
        <v>3.4490740740740743E-4</v>
      </c>
      <c r="I1341">
        <v>2023</v>
      </c>
      <c r="J1341" t="s">
        <v>83</v>
      </c>
      <c r="K1341" s="2" t="str">
        <f>HYPERLINK("https://www.nba.com/stats/events?CFID=&amp;CFPARAMS=&amp;GameEventID=156&amp;GameID=0022300646&amp;Season=2023-24&amp;flag=1&amp;title=Leonard%2026'%203PT%20%20(12%20PTS)", "26' 3PT  (12 PTS)")</f>
        <v>26' 3PT  (12 PTS)</v>
      </c>
      <c r="L1341" s="2" t="str">
        <f>HYPERLINK("https://www.nba.com/game/...-vs-...-0022300646/play-by-play?watchFullGame=true", "LAC vs BOS - Q1 00:29.80")</f>
        <v>LAC vs BOS - Q1 00:29.80</v>
      </c>
      <c r="M1341">
        <v>26.88</v>
      </c>
      <c r="N1341">
        <v>72.62</v>
      </c>
      <c r="O1341">
        <v>15.2</v>
      </c>
      <c r="P1341">
        <v>-174</v>
      </c>
      <c r="Q1341">
        <v>205</v>
      </c>
      <c r="R1341">
        <v>72</v>
      </c>
      <c r="S1341">
        <v>15</v>
      </c>
    </row>
    <row r="1342" spans="1:19" hidden="1" x14ac:dyDescent="0.25">
      <c r="A1342">
        <v>22400646</v>
      </c>
      <c r="B1342" t="s">
        <v>26</v>
      </c>
      <c r="C1342" t="s">
        <v>19</v>
      </c>
      <c r="D1342">
        <v>36</v>
      </c>
      <c r="E1342">
        <v>35</v>
      </c>
      <c r="F1342">
        <v>1</v>
      </c>
      <c r="G1342">
        <v>2</v>
      </c>
      <c r="H1342" s="1">
        <v>5.8912037037037041E-3</v>
      </c>
      <c r="I1342">
        <v>2024</v>
      </c>
      <c r="J1342" t="s">
        <v>83</v>
      </c>
      <c r="K1342" s="2" t="str">
        <f>HYPERLINK("https://www.nba.com/stats/events?CFID=&amp;CFPARAMS=&amp;GameEventID=205&amp;GameID=0022400646&amp;Season=2024-25&amp;flag=1&amp;title=Leonard%2026'%203PT%20%20(7%20PTS)%20(N.%20Batum%202%20AST)", "26' 3PT  (7 PTS) (N. Batum 2 AST)")</f>
        <v>26' 3PT  (7 PTS) (N. Batum 2 AST)</v>
      </c>
      <c r="L1342" s="2" t="str">
        <f>HYPERLINK("https://www.nba.com/game/...-vs-...-0022400646/play-by-play?watchFullGame=true", "LAC vs MIL - Q2 08:29.00")</f>
        <v>LAC vs MIL - Q2 08:29.00</v>
      </c>
      <c r="M1342">
        <v>26.1</v>
      </c>
      <c r="N1342">
        <v>72.22</v>
      </c>
      <c r="O1342">
        <v>18.63</v>
      </c>
      <c r="P1342">
        <v>-157</v>
      </c>
      <c r="Q1342">
        <v>209</v>
      </c>
      <c r="R1342">
        <v>72</v>
      </c>
      <c r="S1342">
        <v>18</v>
      </c>
    </row>
    <row r="1343" spans="1:19" hidden="1" x14ac:dyDescent="0.25">
      <c r="A1343">
        <v>22301017</v>
      </c>
      <c r="B1343" t="s">
        <v>26</v>
      </c>
      <c r="C1343" t="s">
        <v>19</v>
      </c>
      <c r="D1343">
        <v>18</v>
      </c>
      <c r="E1343">
        <v>10</v>
      </c>
      <c r="F1343">
        <v>8</v>
      </c>
      <c r="G1343">
        <v>1</v>
      </c>
      <c r="H1343" s="1">
        <v>4.8495370370370368E-3</v>
      </c>
      <c r="I1343">
        <v>2023</v>
      </c>
      <c r="J1343" t="s">
        <v>83</v>
      </c>
      <c r="K1343" s="2" t="str">
        <f>HYPERLINK("https://www.nba.com/stats/events?CFID=&amp;CFPARAMS=&amp;GameEventID=60&amp;GameID=0022301017&amp;Season=2023-24&amp;flag=1&amp;title=Leonard%2026'%203PT%20running%20pullup%20(6%20PTS)", "26' 3PT running pullup (6 PTS)")</f>
        <v>26' 3PT running pullup (6 PTS)</v>
      </c>
      <c r="L1343" s="2" t="str">
        <f>HYPERLINK("https://www.nba.com/game/...-vs-...-0022301017/play-by-play?watchFullGame=true", "LAC vs POR - Q1 06:59.00")</f>
        <v>LAC vs POR - Q1 06:59.00</v>
      </c>
      <c r="M1343">
        <v>26.09</v>
      </c>
      <c r="N1343">
        <v>72.75</v>
      </c>
      <c r="O1343">
        <v>82.6</v>
      </c>
      <c r="P1343">
        <v>163</v>
      </c>
      <c r="Q1343">
        <v>204</v>
      </c>
      <c r="R1343">
        <v>72</v>
      </c>
      <c r="S1343">
        <v>82</v>
      </c>
    </row>
    <row r="1344" spans="1:19" hidden="1" x14ac:dyDescent="0.25">
      <c r="A1344">
        <v>21900224</v>
      </c>
      <c r="B1344" t="s">
        <v>26</v>
      </c>
      <c r="C1344" t="s">
        <v>84</v>
      </c>
      <c r="D1344">
        <v>36</v>
      </c>
      <c r="E1344">
        <v>27</v>
      </c>
      <c r="F1344">
        <v>9</v>
      </c>
      <c r="G1344">
        <v>2</v>
      </c>
      <c r="H1344" s="1">
        <v>7.6041666666666671E-3</v>
      </c>
      <c r="I1344">
        <v>2019</v>
      </c>
      <c r="J1344" t="s">
        <v>83</v>
      </c>
      <c r="K1344" s="2" t="str">
        <f>HYPERLINK("https://www.nba.com/stats/events?CFID=&amp;CFPARAMS=&amp;GameEventID=172&amp;GameID=0021900224&amp;Season=2019-20&amp;flag=1&amp;title=Leonard%2026'%203PT%20%20(6%20PTS)%20(L.%20Williams%204%20AST)", "26' 3PT  (6 PTS) (L. Williams 4 AST)")</f>
        <v>26' 3PT  (6 PTS) (L. Williams 4 AST)</v>
      </c>
      <c r="L1344" s="2" t="str">
        <f>HYPERLINK("https://www.nba.com/game/...-vs-...-0021900224/play-by-play?watchFullGame=true", "LAC vs HOU - Q2 10:57.00")</f>
        <v>LAC vs HOU - Q2 10:57.00</v>
      </c>
      <c r="M1344">
        <v>25.95</v>
      </c>
      <c r="N1344">
        <v>72.319999999999993</v>
      </c>
      <c r="O1344">
        <v>79.59</v>
      </c>
      <c r="P1344">
        <v>148</v>
      </c>
      <c r="Q1344">
        <v>208</v>
      </c>
      <c r="R1344">
        <v>72</v>
      </c>
      <c r="S1344">
        <v>79</v>
      </c>
    </row>
    <row r="1345" spans="1:19" hidden="1" x14ac:dyDescent="0.25">
      <c r="A1345">
        <v>42000176</v>
      </c>
      <c r="B1345" t="s">
        <v>26</v>
      </c>
      <c r="C1345" t="s">
        <v>19</v>
      </c>
      <c r="D1345">
        <v>37</v>
      </c>
      <c r="E1345">
        <v>41</v>
      </c>
      <c r="F1345">
        <v>4</v>
      </c>
      <c r="G1345">
        <v>2</v>
      </c>
      <c r="H1345" s="1">
        <v>3.9699074074074072E-3</v>
      </c>
      <c r="I1345" t="s">
        <v>91</v>
      </c>
      <c r="J1345" t="s">
        <v>83</v>
      </c>
      <c r="K1345" s="2" t="str">
        <f>HYPERLINK("https://www.nba.com/stats/events?CFID=&amp;CFPARAMS=&amp;GameEventID=225&amp;GameID=0042000176&amp;Season=2020-21&amp;flag=1&amp;title=Leonard%2025'%203PT%20%20(10%20PTS)%20(R.%20Jackson%202%20AST)", "25' 3PT  (10 PTS) (R. Jackson 2 AST)")</f>
        <v>25' 3PT  (10 PTS) (R. Jackson 2 AST)</v>
      </c>
      <c r="L1345" s="2" t="str">
        <f>HYPERLINK("https://www.nba.com/game/...-vs-...-0042000176/play-by-play?watchFullGame=true", "LAC vs DAL - Q2 05:43.00")</f>
        <v>LAC vs DAL - Q2 05:43.00</v>
      </c>
      <c r="M1345">
        <v>25.91</v>
      </c>
      <c r="N1345">
        <v>72.75</v>
      </c>
      <c r="O1345">
        <v>17.96</v>
      </c>
      <c r="P1345">
        <v>72</v>
      </c>
      <c r="Q1345">
        <v>17</v>
      </c>
      <c r="R1345">
        <v>72</v>
      </c>
      <c r="S1345">
        <v>17</v>
      </c>
    </row>
    <row r="1346" spans="1:19" hidden="1" x14ac:dyDescent="0.25">
      <c r="A1346">
        <v>22200745</v>
      </c>
      <c r="B1346" t="s">
        <v>26</v>
      </c>
      <c r="C1346" t="s">
        <v>19</v>
      </c>
      <c r="D1346">
        <v>22</v>
      </c>
      <c r="E1346">
        <v>24</v>
      </c>
      <c r="F1346">
        <v>2</v>
      </c>
      <c r="G1346">
        <v>1</v>
      </c>
      <c r="H1346" s="1">
        <v>1.2152777777777778E-3</v>
      </c>
      <c r="I1346">
        <v>2022</v>
      </c>
      <c r="J1346" t="s">
        <v>83</v>
      </c>
      <c r="K1346" s="2" t="str">
        <f>HYPERLINK("https://www.nba.com/stats/events?CFID=&amp;CFPARAMS=&amp;GameEventID=119&amp;GameID=0022200745&amp;Season=2022-23&amp;flag=1&amp;title=Leonard%2025'%203PT%20%20(7%20PTS)", "25' 3PT  (7 PTS)")</f>
        <v>25' 3PT  (7 PTS)</v>
      </c>
      <c r="L1346" s="2" t="str">
        <f>HYPERLINK("https://www.nba.com/game/...-vs-...-0022200745/play-by-play?watchFullGame=true", "LAC vs ATL - Q1 01:45.00")</f>
        <v>LAC vs ATL - Q1 01:45.00</v>
      </c>
      <c r="M1346">
        <v>25.71</v>
      </c>
      <c r="N1346">
        <v>72.36</v>
      </c>
      <c r="O1346">
        <v>19.61</v>
      </c>
      <c r="P1346">
        <v>-152</v>
      </c>
      <c r="Q1346">
        <v>207</v>
      </c>
      <c r="R1346">
        <v>72</v>
      </c>
      <c r="S1346">
        <v>19</v>
      </c>
    </row>
    <row r="1347" spans="1:19" hidden="1" x14ac:dyDescent="0.25">
      <c r="A1347">
        <v>22301064</v>
      </c>
      <c r="B1347" t="s">
        <v>26</v>
      </c>
      <c r="C1347" t="s">
        <v>19</v>
      </c>
      <c r="D1347">
        <v>73</v>
      </c>
      <c r="E1347">
        <v>71</v>
      </c>
      <c r="F1347">
        <v>2</v>
      </c>
      <c r="G1347">
        <v>3</v>
      </c>
      <c r="H1347" s="1">
        <v>2.0486111111111113E-3</v>
      </c>
      <c r="I1347">
        <v>2023</v>
      </c>
      <c r="J1347" t="s">
        <v>83</v>
      </c>
      <c r="K1347" s="2" t="str">
        <f>HYPERLINK("https://www.nba.com/stats/events?CFID=&amp;CFPARAMS=&amp;GameEventID=420&amp;GameID=0022301064&amp;Season=2023-24&amp;flag=1&amp;title=Leonard%2025'%203PT%20%20(20%20PTS)", "25' 3PT  (20 PTS)")</f>
        <v>25' 3PT  (20 PTS)</v>
      </c>
      <c r="L1347" s="2" t="str">
        <f>HYPERLINK("https://www.nba.com/game/...-vs-...-0022301064/play-by-play?watchFullGame=true", "LAC vs ORL - Q3 02:57.00")</f>
        <v>LAC vs ORL - Q3 02:57.00</v>
      </c>
      <c r="M1347">
        <v>25.66</v>
      </c>
      <c r="N1347">
        <v>72.930000000000007</v>
      </c>
      <c r="O1347">
        <v>81.64</v>
      </c>
      <c r="P1347">
        <v>158</v>
      </c>
      <c r="Q1347">
        <v>202</v>
      </c>
      <c r="R1347">
        <v>72</v>
      </c>
      <c r="S1347">
        <v>81</v>
      </c>
    </row>
    <row r="1348" spans="1:19" hidden="1" x14ac:dyDescent="0.25">
      <c r="A1348">
        <v>22300676</v>
      </c>
      <c r="B1348" t="s">
        <v>26</v>
      </c>
      <c r="C1348" t="s">
        <v>19</v>
      </c>
      <c r="D1348">
        <v>12</v>
      </c>
      <c r="E1348">
        <v>7</v>
      </c>
      <c r="F1348">
        <v>5</v>
      </c>
      <c r="G1348">
        <v>1</v>
      </c>
      <c r="H1348" s="1">
        <v>6.076388888888889E-3</v>
      </c>
      <c r="I1348">
        <v>2023</v>
      </c>
      <c r="J1348" t="s">
        <v>83</v>
      </c>
      <c r="K1348" s="2" t="str">
        <f>HYPERLINK("https://www.nba.com/stats/events?CFID=&amp;CFPARAMS=&amp;GameEventID=35&amp;GameID=0022300676&amp;Season=2023-24&amp;flag=1&amp;title=Leonard%2025'%203PT%20pullup%20(3%20PTS)", "25' 3PT pullup (3 PTS)")</f>
        <v>25' 3PT pullup (3 PTS)</v>
      </c>
      <c r="L1348" s="2" t="str">
        <f>HYPERLINK("https://www.nba.com/game/...-vs-...-0022300676/play-by-play?watchFullGame=true", "LAC vs WAS - Q1 08:45.00")</f>
        <v>LAC vs WAS - Q1 08:45.00</v>
      </c>
      <c r="M1348">
        <v>25.63</v>
      </c>
      <c r="N1348">
        <v>72.75</v>
      </c>
      <c r="O1348">
        <v>18.87</v>
      </c>
      <c r="P1348">
        <v>-156</v>
      </c>
      <c r="Q1348">
        <v>204</v>
      </c>
      <c r="R1348">
        <v>72</v>
      </c>
      <c r="S1348">
        <v>18</v>
      </c>
    </row>
    <row r="1349" spans="1:19" hidden="1" x14ac:dyDescent="0.25">
      <c r="A1349">
        <v>22000251</v>
      </c>
      <c r="B1349" t="s">
        <v>26</v>
      </c>
      <c r="C1349" t="s">
        <v>19</v>
      </c>
      <c r="D1349">
        <v>12</v>
      </c>
      <c r="E1349">
        <v>6</v>
      </c>
      <c r="F1349">
        <v>6</v>
      </c>
      <c r="G1349">
        <v>1</v>
      </c>
      <c r="H1349" s="1">
        <v>6.3541666666666668E-3</v>
      </c>
      <c r="I1349">
        <v>2020</v>
      </c>
      <c r="J1349" t="s">
        <v>83</v>
      </c>
      <c r="K1349" s="2" t="str">
        <f>HYPERLINK("https://www.nba.com/stats/events?CFID=&amp;CFPARAMS=&amp;GameEventID=34&amp;GameID=0022000251&amp;Season=2020-21&amp;flag=1&amp;title=Leonard%2025'%203PT%20%20(6%20PTS)%20(P.%20Beverley%201%20AST)", "25' 3PT  (6 PTS) (P. Beverley 1 AST)")</f>
        <v>25' 3PT  (6 PTS) (P. Beverley 1 AST)</v>
      </c>
      <c r="L1349" s="2" t="str">
        <f>HYPERLINK("https://www.nba.com/game/...-vs-...-0022000251/play-by-play?watchFullGame=true", "LAC vs OKC - Q1 09:09.00")</f>
        <v>LAC vs OKC - Q1 09:09.00</v>
      </c>
      <c r="M1349">
        <v>25.56</v>
      </c>
      <c r="N1349">
        <v>72.62</v>
      </c>
      <c r="O1349">
        <v>19.43</v>
      </c>
      <c r="P1349">
        <v>-153</v>
      </c>
      <c r="Q1349">
        <v>205</v>
      </c>
      <c r="R1349">
        <v>72</v>
      </c>
      <c r="S1349">
        <v>19</v>
      </c>
    </row>
    <row r="1350" spans="1:19" hidden="1" x14ac:dyDescent="0.25">
      <c r="A1350">
        <v>21901271</v>
      </c>
      <c r="B1350" t="s">
        <v>26</v>
      </c>
      <c r="C1350" t="s">
        <v>84</v>
      </c>
      <c r="D1350">
        <v>106</v>
      </c>
      <c r="E1350">
        <v>101</v>
      </c>
      <c r="F1350">
        <v>5</v>
      </c>
      <c r="G1350">
        <v>4</v>
      </c>
      <c r="H1350" s="1">
        <v>3.9814814814814817E-3</v>
      </c>
      <c r="I1350">
        <v>2019</v>
      </c>
      <c r="J1350" t="s">
        <v>83</v>
      </c>
      <c r="K1350" s="2" t="str">
        <f>HYPERLINK("https://www.nba.com/stats/events?CFID=&amp;CFPARAMS=&amp;GameEventID=577&amp;GameID=0021901271&amp;Season=2019-20&amp;flag=1&amp;title=Leonard%2026'%203PT%20%20(27%20PTS)", "26' 3PT  (27 PTS)")</f>
        <v>26' 3PT  (27 PTS)</v>
      </c>
      <c r="L1350" s="2" t="str">
        <f>HYPERLINK("https://www.nba.com/game/...-vs-...-0021901271/play-by-play?watchFullGame=true", "LAC vs DAL - Q4 05:44.00")</f>
        <v>LAC vs DAL - Q4 05:44.00</v>
      </c>
      <c r="M1350">
        <v>25.55</v>
      </c>
      <c r="N1350">
        <v>72.09</v>
      </c>
      <c r="O1350">
        <v>77.52</v>
      </c>
      <c r="P1350">
        <v>138</v>
      </c>
      <c r="Q1350">
        <v>210</v>
      </c>
      <c r="R1350">
        <v>72</v>
      </c>
      <c r="S1350">
        <v>77</v>
      </c>
    </row>
    <row r="1351" spans="1:19" hidden="1" x14ac:dyDescent="0.25">
      <c r="A1351">
        <v>22300526</v>
      </c>
      <c r="B1351" t="s">
        <v>26</v>
      </c>
      <c r="C1351" t="s">
        <v>19</v>
      </c>
      <c r="D1351">
        <v>83</v>
      </c>
      <c r="E1351">
        <v>82</v>
      </c>
      <c r="F1351">
        <v>1</v>
      </c>
      <c r="G1351">
        <v>3</v>
      </c>
      <c r="H1351" s="1">
        <v>2.5694444444444445E-3</v>
      </c>
      <c r="I1351">
        <v>2023</v>
      </c>
      <c r="J1351" t="s">
        <v>83</v>
      </c>
      <c r="K1351" s="2" t="str">
        <f>HYPERLINK("https://www.nba.com/stats/events?CFID=&amp;CFPARAMS=&amp;GameEventID=396&amp;GameID=0022300526&amp;Season=2023-24&amp;flag=1&amp;title=Leonard%2025'%203PT%20%20(21%20PTS)%20(P.%20George%204%20AST)", "25' 3PT  (21 PTS) (P. George 4 AST)")</f>
        <v>25' 3PT  (21 PTS) (P. George 4 AST)</v>
      </c>
      <c r="L1351" s="2" t="str">
        <f>HYPERLINK("https://www.nba.com/game/...-vs-...-0022300526/play-by-play?watchFullGame=true", "LAC vs TOR - Q3 03:42.00")</f>
        <v>LAC vs TOR - Q3 03:42.00</v>
      </c>
      <c r="M1351">
        <v>25.54</v>
      </c>
      <c r="N1351">
        <v>72.98</v>
      </c>
      <c r="O1351">
        <v>18.63</v>
      </c>
      <c r="P1351">
        <v>-157</v>
      </c>
      <c r="Q1351">
        <v>201</v>
      </c>
      <c r="R1351">
        <v>72</v>
      </c>
      <c r="S1351">
        <v>18</v>
      </c>
    </row>
    <row r="1352" spans="1:19" hidden="1" x14ac:dyDescent="0.25">
      <c r="A1352">
        <v>22000061</v>
      </c>
      <c r="B1352" t="s">
        <v>26</v>
      </c>
      <c r="C1352" t="s">
        <v>19</v>
      </c>
      <c r="D1352">
        <v>91</v>
      </c>
      <c r="E1352">
        <v>62</v>
      </c>
      <c r="F1352">
        <v>29</v>
      </c>
      <c r="G1352">
        <v>3</v>
      </c>
      <c r="H1352" s="1">
        <v>5.6134259259259262E-3</v>
      </c>
      <c r="I1352">
        <v>2020</v>
      </c>
      <c r="J1352" t="s">
        <v>83</v>
      </c>
      <c r="K1352" s="2" t="str">
        <f>HYPERLINK("https://www.nba.com/stats/events?CFID=&amp;CFPARAMS=&amp;GameEventID=349&amp;GameID=0022000061&amp;Season=2020-21&amp;flag=1&amp;title=Leonard%2025'%203PT%20step%20back%20(22%20PTS)", "25' 3PT step back (22 PTS)")</f>
        <v>25' 3PT step back (22 PTS)</v>
      </c>
      <c r="L1352" s="2" t="str">
        <f>HYPERLINK("https://www.nba.com/game/...-vs-...-0022000061/play-by-play?watchFullGame=true", "LAC vs POR - Q3 08:05.00")</f>
        <v>LAC vs POR - Q3 08:05.00</v>
      </c>
      <c r="M1352">
        <v>25.54</v>
      </c>
      <c r="N1352">
        <v>72.22</v>
      </c>
      <c r="O1352">
        <v>79.48</v>
      </c>
      <c r="P1352">
        <v>147</v>
      </c>
      <c r="Q1352">
        <v>209</v>
      </c>
      <c r="R1352">
        <v>72</v>
      </c>
      <c r="S1352">
        <v>79</v>
      </c>
    </row>
    <row r="1353" spans="1:19" hidden="1" x14ac:dyDescent="0.25">
      <c r="A1353">
        <v>22000328</v>
      </c>
      <c r="B1353" t="s">
        <v>26</v>
      </c>
      <c r="C1353" t="s">
        <v>19</v>
      </c>
      <c r="D1353">
        <v>77</v>
      </c>
      <c r="E1353">
        <v>62</v>
      </c>
      <c r="F1353">
        <v>15</v>
      </c>
      <c r="G1353">
        <v>3</v>
      </c>
      <c r="H1353" s="1">
        <v>2.7314814814814814E-3</v>
      </c>
      <c r="I1353">
        <v>2020</v>
      </c>
      <c r="J1353" t="s">
        <v>83</v>
      </c>
      <c r="K1353" s="2" t="str">
        <f>HYPERLINK("https://www.nba.com/stats/events?CFID=&amp;CFPARAMS=&amp;GameEventID=376&amp;GameID=0022000328&amp;Season=2020-21&amp;flag=1&amp;title=Leonard%2025'%203PT%20%20(21%20PTS)", "25' 3PT  (21 PTS)")</f>
        <v>25' 3PT  (21 PTS)</v>
      </c>
      <c r="L1353" s="2" t="str">
        <f>HYPERLINK("https://www.nba.com/game/...-vs-...-0022000328/play-by-play?watchFullGame=true", "LAC vs CLE - Q3 03:56.00")</f>
        <v>LAC vs CLE - Q3 03:56.00</v>
      </c>
      <c r="M1353">
        <v>25.43</v>
      </c>
      <c r="N1353">
        <v>72.09</v>
      </c>
      <c r="O1353">
        <v>78.75</v>
      </c>
      <c r="P1353">
        <v>144</v>
      </c>
      <c r="Q1353">
        <v>210</v>
      </c>
      <c r="R1353">
        <v>72</v>
      </c>
      <c r="S1353">
        <v>78</v>
      </c>
    </row>
    <row r="1354" spans="1:19" hidden="1" x14ac:dyDescent="0.25">
      <c r="A1354">
        <v>22200423</v>
      </c>
      <c r="B1354" t="s">
        <v>26</v>
      </c>
      <c r="C1354" t="s">
        <v>19</v>
      </c>
      <c r="D1354">
        <v>38</v>
      </c>
      <c r="E1354">
        <v>41</v>
      </c>
      <c r="F1354">
        <v>3</v>
      </c>
      <c r="G1354">
        <v>2</v>
      </c>
      <c r="H1354" s="1">
        <v>1.9097222222222223E-4</v>
      </c>
      <c r="I1354">
        <v>2022</v>
      </c>
      <c r="J1354" t="s">
        <v>83</v>
      </c>
      <c r="K1354" s="2" t="str">
        <f>HYPERLINK("https://www.nba.com/stats/events?CFID=&amp;CFPARAMS=&amp;GameEventID=318&amp;GameID=0022200423&amp;Season=2022-23&amp;flag=1&amp;title=Leonard%2025'%203PT%20step%20back%20(9%20PTS)", "25' 3PT step back (9 PTS)")</f>
        <v>25' 3PT step back (9 PTS)</v>
      </c>
      <c r="L1354" s="2" t="str">
        <f>HYPERLINK("https://www.nba.com/game/...-vs-...-0022200423/play-by-play?watchFullGame=true", "LAC vs MIN - Q2 00:16.50")</f>
        <v>LAC vs MIN - Q2 00:16.50</v>
      </c>
      <c r="M1354">
        <v>25.42</v>
      </c>
      <c r="N1354">
        <v>72.45</v>
      </c>
      <c r="O1354">
        <v>79.66</v>
      </c>
      <c r="P1354">
        <v>148</v>
      </c>
      <c r="Q1354">
        <v>206</v>
      </c>
      <c r="R1354">
        <v>72</v>
      </c>
      <c r="S1354">
        <v>79</v>
      </c>
    </row>
    <row r="1355" spans="1:19" hidden="1" x14ac:dyDescent="0.25">
      <c r="A1355">
        <v>22300688</v>
      </c>
      <c r="B1355" t="s">
        <v>26</v>
      </c>
      <c r="C1355" t="s">
        <v>19</v>
      </c>
      <c r="D1355">
        <v>58</v>
      </c>
      <c r="E1355">
        <v>54</v>
      </c>
      <c r="F1355">
        <v>4</v>
      </c>
      <c r="G1355">
        <v>2</v>
      </c>
      <c r="H1355" s="1">
        <v>1.3425925925925925E-3</v>
      </c>
      <c r="I1355">
        <v>2023</v>
      </c>
      <c r="J1355" t="s">
        <v>83</v>
      </c>
      <c r="K1355" s="2" t="str">
        <f>HYPERLINK("https://www.nba.com/stats/events?CFID=&amp;CFPARAMS=&amp;GameEventID=292&amp;GameID=0022300688&amp;Season=2023-24&amp;flag=1&amp;title=Leonard%2025'%203PT%20pullup%20(18%20PTS)", "25' 3PT pullup (18 PTS)")</f>
        <v>25' 3PT pullup (18 PTS)</v>
      </c>
      <c r="L1355" s="2" t="str">
        <f>HYPERLINK("https://www.nba.com/game/...-vs-...-0022300688/play-by-play?watchFullGame=true", "LAC vs DET - Q2 01:56.00")</f>
        <v>LAC vs DET - Q2 01:56.00</v>
      </c>
      <c r="M1355">
        <v>25.15</v>
      </c>
      <c r="N1355">
        <v>72.36</v>
      </c>
      <c r="O1355">
        <v>78.430000000000007</v>
      </c>
      <c r="P1355">
        <v>142</v>
      </c>
      <c r="Q1355">
        <v>207</v>
      </c>
      <c r="R1355">
        <v>72</v>
      </c>
      <c r="S1355">
        <v>78</v>
      </c>
    </row>
    <row r="1356" spans="1:19" hidden="1" x14ac:dyDescent="0.25">
      <c r="A1356">
        <v>21900419</v>
      </c>
      <c r="B1356" t="s">
        <v>26</v>
      </c>
      <c r="C1356" t="s">
        <v>84</v>
      </c>
      <c r="D1356">
        <v>5</v>
      </c>
      <c r="E1356">
        <v>4</v>
      </c>
      <c r="F1356">
        <v>1</v>
      </c>
      <c r="G1356">
        <v>1</v>
      </c>
      <c r="H1356" s="1">
        <v>7.0486111111111114E-3</v>
      </c>
      <c r="I1356">
        <v>2019</v>
      </c>
      <c r="J1356" t="s">
        <v>83</v>
      </c>
      <c r="K1356" s="2" t="str">
        <f>HYPERLINK("https://www.nba.com/stats/events?CFID=&amp;CFPARAMS=&amp;GameEventID=22&amp;GameID=0021900419&amp;Season=2019-20&amp;flag=1&amp;title=Leonard%2025'%203PT%20%20(3%20PTS)%20(M.%20Harkless%201%20AST)", "25' 3PT  (3 PTS) (M. Harkless 1 AST)")</f>
        <v>25' 3PT  (3 PTS) (M. Harkless 1 AST)</v>
      </c>
      <c r="L1356" s="2" t="str">
        <f>HYPERLINK("https://www.nba.com/game/...-vs-...-0021900419/play-by-play?watchFullGame=true", "LAC vs HOU - Q1 10:09.00")</f>
        <v>LAC vs HOU - Q1 10:09.00</v>
      </c>
      <c r="M1356">
        <v>25.02</v>
      </c>
      <c r="N1356">
        <v>72.98</v>
      </c>
      <c r="O1356">
        <v>78.12</v>
      </c>
      <c r="P1356">
        <v>141</v>
      </c>
      <c r="Q1356">
        <v>201</v>
      </c>
      <c r="R1356">
        <v>72</v>
      </c>
      <c r="S1356">
        <v>78</v>
      </c>
    </row>
    <row r="1357" spans="1:19" hidden="1" x14ac:dyDescent="0.25">
      <c r="A1357">
        <v>22300568</v>
      </c>
      <c r="B1357" t="s">
        <v>26</v>
      </c>
      <c r="C1357" t="s">
        <v>19</v>
      </c>
      <c r="D1357">
        <v>54</v>
      </c>
      <c r="E1357">
        <v>50</v>
      </c>
      <c r="F1357">
        <v>4</v>
      </c>
      <c r="G1357">
        <v>2</v>
      </c>
      <c r="H1357" s="1">
        <v>3.3680555555555556E-3</v>
      </c>
      <c r="I1357">
        <v>2023</v>
      </c>
      <c r="J1357" t="s">
        <v>83</v>
      </c>
      <c r="K1357" s="2" t="str">
        <f>HYPERLINK("https://www.nba.com/stats/events?CFID=&amp;CFPARAMS=&amp;GameEventID=247&amp;GameID=0022300568&amp;Season=2023-24&amp;flag=1&amp;title=Leonard%2024'%203PT%20%20(11%20PTS)%20(P.%20George%204%20AST)", "24' 3PT  (11 PTS) (P. George 4 AST)")</f>
        <v>24' 3PT  (11 PTS) (P. George 4 AST)</v>
      </c>
      <c r="L1357" s="2" t="str">
        <f>HYPERLINK("https://www.nba.com/game/...-vs-...-0022300568/play-by-play?watchFullGame=true", "LAC vs OKC - Q2 04:51.00")</f>
        <v>LAC vs OKC - Q2 04:51.00</v>
      </c>
      <c r="M1357">
        <v>24.86</v>
      </c>
      <c r="N1357">
        <v>72.19</v>
      </c>
      <c r="O1357">
        <v>23.04</v>
      </c>
      <c r="P1357">
        <v>-135</v>
      </c>
      <c r="Q1357">
        <v>209</v>
      </c>
      <c r="R1357">
        <v>72</v>
      </c>
      <c r="S1357">
        <v>23</v>
      </c>
    </row>
    <row r="1358" spans="1:19" hidden="1" x14ac:dyDescent="0.25">
      <c r="A1358">
        <v>21901291</v>
      </c>
      <c r="B1358" t="s">
        <v>18</v>
      </c>
      <c r="C1358" t="s">
        <v>84</v>
      </c>
      <c r="D1358">
        <v>12</v>
      </c>
      <c r="E1358">
        <v>26</v>
      </c>
      <c r="F1358">
        <v>14</v>
      </c>
      <c r="G1358">
        <v>1</v>
      </c>
      <c r="H1358" s="1">
        <v>4.1435185185185186E-3</v>
      </c>
      <c r="I1358">
        <v>2019</v>
      </c>
      <c r="J1358" t="s">
        <v>83</v>
      </c>
      <c r="K1358" s="2" t="str">
        <f>HYPERLINK("https://www.nba.com/stats/events?CFID=&amp;CFPARAMS=&amp;GameEventID=65&amp;GameID=0021901291&amp;Season=2019-20&amp;flag=1&amp;title=Leonard%2021'%20jumpshot%20(6%20PTS)%20(J.%20Green%201%20AST)", "21' jumpshot (6 PTS) (J. Green 1 AST)")</f>
        <v>21' jumpshot (6 PTS) (J. Green 1 AST)</v>
      </c>
      <c r="L1358" s="2" t="str">
        <f>HYPERLINK("https://www.nba.com/game/...-vs-...-0021901291/play-by-play?watchFullGame=true", "LAC vs BKN - Q1 05:58.00")</f>
        <v>LAC vs BKN - Q1 05:58.00</v>
      </c>
      <c r="M1358">
        <v>20.92</v>
      </c>
      <c r="N1358">
        <v>72.75</v>
      </c>
      <c r="O1358">
        <v>49.58</v>
      </c>
      <c r="P1358">
        <v>-2</v>
      </c>
      <c r="Q1358">
        <v>204</v>
      </c>
      <c r="R1358">
        <v>72</v>
      </c>
      <c r="S1358">
        <v>49</v>
      </c>
    </row>
    <row r="1359" spans="1:19" hidden="1" x14ac:dyDescent="0.25">
      <c r="A1359">
        <v>22300309</v>
      </c>
      <c r="B1359" t="s">
        <v>18</v>
      </c>
      <c r="C1359" t="s">
        <v>19</v>
      </c>
      <c r="D1359">
        <v>65</v>
      </c>
      <c r="E1359">
        <v>41</v>
      </c>
      <c r="F1359">
        <v>24</v>
      </c>
      <c r="G1359">
        <v>2</v>
      </c>
      <c r="H1359" s="1">
        <v>2.5000000000000001E-3</v>
      </c>
      <c r="I1359">
        <v>2023</v>
      </c>
      <c r="J1359" t="s">
        <v>83</v>
      </c>
      <c r="K1359" s="2" t="str">
        <f>HYPERLINK("https://www.nba.com/stats/events?CFID=&amp;CFPARAMS=&amp;GameEventID=279&amp;GameID=0022300309&amp;Season=2023-24&amp;flag=1&amp;title=Leonard%2020'%20turnaround%20fadeaway%20Jump%20Shot%20(15%20PTS)", "20' turnaround fadeaway Jump Shot (15 PTS)")</f>
        <v>20' turnaround fadeaway Jump Shot (15 PTS)</v>
      </c>
      <c r="L1359" s="2" t="str">
        <f>HYPERLINK("https://www.nba.com/game/...-vs-...-0022300309/play-by-play?watchFullGame=true", "LAC vs SAC - Q2 03:36.00")</f>
        <v>LAC vs SAC - Q2 03:36.00</v>
      </c>
      <c r="M1359">
        <v>20.69</v>
      </c>
      <c r="N1359">
        <v>72.45</v>
      </c>
      <c r="O1359">
        <v>52.94</v>
      </c>
      <c r="P1359">
        <v>15</v>
      </c>
      <c r="Q1359">
        <v>206</v>
      </c>
      <c r="R1359">
        <v>72</v>
      </c>
      <c r="S1359">
        <v>52</v>
      </c>
    </row>
    <row r="1360" spans="1:19" hidden="1" x14ac:dyDescent="0.25">
      <c r="A1360">
        <v>22200239</v>
      </c>
      <c r="B1360" t="s">
        <v>18</v>
      </c>
      <c r="C1360" t="s">
        <v>19</v>
      </c>
      <c r="D1360">
        <v>49</v>
      </c>
      <c r="E1360">
        <v>35</v>
      </c>
      <c r="F1360">
        <v>14</v>
      </c>
      <c r="G1360">
        <v>2</v>
      </c>
      <c r="H1360" s="1">
        <v>5.185185185185185E-3</v>
      </c>
      <c r="I1360">
        <v>2022</v>
      </c>
      <c r="J1360" t="s">
        <v>83</v>
      </c>
      <c r="K1360" s="2" t="str">
        <f>HYPERLINK("https://www.nba.com/stats/events?CFID=&amp;CFPARAMS=&amp;GameEventID=206&amp;GameID=0022200239&amp;Season=2022-23&amp;flag=1&amp;title=Leonard%2020'%20pullup%20Jump%20Shot%20(4%20PTS)%20(R.%20Jackson%203%20AST)", "20' pullup Jump Shot (4 PTS) (R. Jackson 3 AST)")</f>
        <v>20' pullup Jump Shot (4 PTS) (R. Jackson 3 AST)</v>
      </c>
      <c r="L1360" s="2" t="str">
        <f>HYPERLINK("https://www.nba.com/game/...-vs-...-0022200239/play-by-play?watchFullGame=true", "LAC vs SAS - Q2 07:28.00")</f>
        <v>LAC vs SAS - Q2 07:28.00</v>
      </c>
      <c r="M1360">
        <v>20.39</v>
      </c>
      <c r="N1360">
        <v>72.849999999999994</v>
      </c>
      <c r="O1360">
        <v>54.41</v>
      </c>
      <c r="P1360">
        <v>22</v>
      </c>
      <c r="Q1360">
        <v>203</v>
      </c>
      <c r="R1360">
        <v>72</v>
      </c>
      <c r="S1360">
        <v>54</v>
      </c>
    </row>
    <row r="1361" spans="1:19" hidden="1" x14ac:dyDescent="0.25">
      <c r="A1361">
        <v>21901271</v>
      </c>
      <c r="B1361" t="s">
        <v>18</v>
      </c>
      <c r="C1361" t="s">
        <v>84</v>
      </c>
      <c r="D1361">
        <v>72</v>
      </c>
      <c r="E1361">
        <v>63</v>
      </c>
      <c r="F1361">
        <v>9</v>
      </c>
      <c r="G1361">
        <v>3</v>
      </c>
      <c r="H1361" s="1">
        <v>5.324074074074074E-3</v>
      </c>
      <c r="I1361">
        <v>2019</v>
      </c>
      <c r="J1361" t="s">
        <v>83</v>
      </c>
      <c r="K1361" s="2" t="str">
        <f>HYPERLINK("https://www.nba.com/stats/events?CFID=&amp;CFPARAMS=&amp;GameEventID=384&amp;GameID=0021901271&amp;Season=2019-20&amp;flag=1&amp;title=Leonard%2023'%20jumpshot%20(21%20PTS)", "23' jumpshot (21 PTS)")</f>
        <v>23' jumpshot (21 PTS)</v>
      </c>
      <c r="L1361" s="2" t="str">
        <f>HYPERLINK("https://www.nba.com/game/...-vs-...-0021901271/play-by-play?watchFullGame=true", "LAC vs DAL - Q3 07:40.00")</f>
        <v>LAC vs DAL - Q3 07:40.00</v>
      </c>
      <c r="M1361">
        <v>23.12</v>
      </c>
      <c r="N1361">
        <v>72.75</v>
      </c>
      <c r="O1361">
        <v>69.680000000000007</v>
      </c>
      <c r="P1361">
        <v>98</v>
      </c>
      <c r="Q1361">
        <v>204</v>
      </c>
      <c r="R1361">
        <v>72</v>
      </c>
      <c r="S1361">
        <v>69</v>
      </c>
    </row>
    <row r="1362" spans="1:19" hidden="1" x14ac:dyDescent="0.25">
      <c r="A1362">
        <v>42000172</v>
      </c>
      <c r="B1362" t="s">
        <v>26</v>
      </c>
      <c r="C1362" t="s">
        <v>19</v>
      </c>
      <c r="D1362">
        <v>16</v>
      </c>
      <c r="E1362">
        <v>22</v>
      </c>
      <c r="F1362">
        <v>6</v>
      </c>
      <c r="G1362">
        <v>1</v>
      </c>
      <c r="H1362" s="1">
        <v>3.6226851851851854E-3</v>
      </c>
      <c r="I1362" t="s">
        <v>91</v>
      </c>
      <c r="J1362" t="s">
        <v>83</v>
      </c>
      <c r="K1362" s="2" t="str">
        <f>HYPERLINK("https://www.nba.com/stats/events?CFID=&amp;CFPARAMS=&amp;GameEventID=68&amp;GameID=0042000172&amp;Season=2020-21&amp;flag=1&amp;title=Leonard%2027'%203PT%20running%20pullup%20(8%20PTS)%20(R.%20Jackson%201%20AST)", "27' 3PT running pullup (8 PTS) (R. Jackson 1 AST)")</f>
        <v>27' 3PT running pullup (8 PTS) (R. Jackson 1 AST)</v>
      </c>
      <c r="L1362" s="2" t="str">
        <f>HYPERLINK("https://www.nba.com/game/...-vs-...-0042000172/play-by-play?watchFullGame=true", "LAC vs DAL - Q1 05:13.00")</f>
        <v>LAC vs DAL - Q1 05:13.00</v>
      </c>
      <c r="M1362">
        <v>27.85</v>
      </c>
      <c r="N1362">
        <v>73.930000000000007</v>
      </c>
      <c r="O1362">
        <v>90.27</v>
      </c>
      <c r="P1362">
        <v>73</v>
      </c>
      <c r="Q1362">
        <v>90</v>
      </c>
      <c r="R1362">
        <v>73</v>
      </c>
      <c r="S1362">
        <v>90</v>
      </c>
    </row>
    <row r="1363" spans="1:19" hidden="1" x14ac:dyDescent="0.25">
      <c r="A1363">
        <v>21900576</v>
      </c>
      <c r="B1363" t="s">
        <v>26</v>
      </c>
      <c r="C1363" t="s">
        <v>84</v>
      </c>
      <c r="D1363">
        <v>48</v>
      </c>
      <c r="E1363">
        <v>51</v>
      </c>
      <c r="F1363">
        <v>3</v>
      </c>
      <c r="G1363">
        <v>2</v>
      </c>
      <c r="H1363" s="1">
        <v>6.4120370370370373E-4</v>
      </c>
      <c r="I1363">
        <v>2019</v>
      </c>
      <c r="J1363" t="s">
        <v>83</v>
      </c>
      <c r="K1363" s="2" t="str">
        <f>HYPERLINK("https://www.nba.com/stats/events?CFID=&amp;CFPARAMS=&amp;GameEventID=318&amp;GameID=0021900576&amp;Season=2019-20&amp;flag=1&amp;title=Leonard%2027'%203PT%20%20(15%20PTS)%20(P.%20Beverley%206%20AST)", "27' 3PT  (15 PTS) (P. Beverley 6 AST)")</f>
        <v>27' 3PT  (15 PTS) (P. Beverley 6 AST)</v>
      </c>
      <c r="L1363" s="2" t="str">
        <f>HYPERLINK("https://www.nba.com/game/...-vs-...-0021900576/play-by-play?watchFullGame=true", "LAC vs GSW - Q2 00:55.40")</f>
        <v>LAC vs GSW - Q2 00:55.40</v>
      </c>
      <c r="M1363">
        <v>27.35</v>
      </c>
      <c r="N1363">
        <v>73.900000000000006</v>
      </c>
      <c r="O1363">
        <v>87.68</v>
      </c>
      <c r="P1363">
        <v>188</v>
      </c>
      <c r="Q1363">
        <v>193</v>
      </c>
      <c r="R1363">
        <v>73</v>
      </c>
      <c r="S1363">
        <v>87</v>
      </c>
    </row>
    <row r="1364" spans="1:19" hidden="1" x14ac:dyDescent="0.25">
      <c r="A1364">
        <v>22300568</v>
      </c>
      <c r="B1364" t="s">
        <v>26</v>
      </c>
      <c r="C1364" t="s">
        <v>19</v>
      </c>
      <c r="D1364">
        <v>25</v>
      </c>
      <c r="E1364">
        <v>21</v>
      </c>
      <c r="F1364">
        <v>4</v>
      </c>
      <c r="G1364">
        <v>1</v>
      </c>
      <c r="H1364" s="1">
        <v>3.2523148148148147E-3</v>
      </c>
      <c r="I1364">
        <v>2023</v>
      </c>
      <c r="J1364" t="s">
        <v>83</v>
      </c>
      <c r="K1364" s="2" t="str">
        <f>HYPERLINK("https://www.nba.com/stats/events?CFID=&amp;CFPARAMS=&amp;GameEventID=79&amp;GameID=0022300568&amp;Season=2023-24&amp;flag=1&amp;title=Leonard%2026'%203PT%20%20(8%20PTS)%20(P.%20George%202%20AST)", "26' 3PT  (8 PTS) (P. George 2 AST)")</f>
        <v>26' 3PT  (8 PTS) (P. George 2 AST)</v>
      </c>
      <c r="L1364" s="2" t="str">
        <f>HYPERLINK("https://www.nba.com/game/...-vs-...-0022300568/play-by-play?watchFullGame=true", "LAC vs OKC - Q1 04:41.00")</f>
        <v>LAC vs OKC - Q1 04:41.00</v>
      </c>
      <c r="M1364">
        <v>26.14</v>
      </c>
      <c r="N1364">
        <v>73.11</v>
      </c>
      <c r="O1364">
        <v>83.58</v>
      </c>
      <c r="P1364">
        <v>168</v>
      </c>
      <c r="Q1364">
        <v>200</v>
      </c>
      <c r="R1364">
        <v>73</v>
      </c>
      <c r="S1364">
        <v>83</v>
      </c>
    </row>
    <row r="1365" spans="1:19" hidden="1" x14ac:dyDescent="0.25">
      <c r="A1365">
        <v>22400859</v>
      </c>
      <c r="B1365" t="s">
        <v>26</v>
      </c>
      <c r="C1365" t="s">
        <v>19</v>
      </c>
      <c r="D1365">
        <v>8</v>
      </c>
      <c r="E1365">
        <v>2</v>
      </c>
      <c r="F1365">
        <v>6</v>
      </c>
      <c r="G1365">
        <v>1</v>
      </c>
      <c r="H1365" s="1">
        <v>7.1412037037037034E-3</v>
      </c>
      <c r="I1365">
        <v>2024</v>
      </c>
      <c r="J1365" t="s">
        <v>83</v>
      </c>
      <c r="K1365" s="2" t="str">
        <f>HYPERLINK("https://www.nba.com/stats/events?CFID=&amp;CFPARAMS=&amp;GameEventID=17&amp;GameID=0022400859&amp;Season=2024-25&amp;flag=1&amp;title=Leonard%2026'%203PT%20%20(6%20PTS)%20(Dunn%201%20AST)", "26' 3PT  (6 PTS) (K. Dunn 1 AST)")</f>
        <v>26' 3PT  (6 PTS) (K. Dunn 1 AST)</v>
      </c>
      <c r="L1365" s="2" t="str">
        <f>HYPERLINK("https://www.nba.com/game/...-vs-...-0022400859/play-by-play?watchFullGame=true", "LAC vs LAL - Q1 10:17.00")</f>
        <v>LAC vs LAL - Q1 10:17.00</v>
      </c>
      <c r="M1365">
        <v>26.11</v>
      </c>
      <c r="N1365">
        <v>73.239999999999995</v>
      </c>
      <c r="O1365">
        <v>16.18</v>
      </c>
      <c r="P1365">
        <v>-169</v>
      </c>
      <c r="Q1365">
        <v>199</v>
      </c>
      <c r="R1365">
        <v>73</v>
      </c>
      <c r="S1365">
        <v>16</v>
      </c>
    </row>
    <row r="1366" spans="1:19" hidden="1" x14ac:dyDescent="0.25">
      <c r="A1366">
        <v>21900499</v>
      </c>
      <c r="B1366" t="s">
        <v>26</v>
      </c>
      <c r="C1366" t="s">
        <v>84</v>
      </c>
      <c r="D1366">
        <v>52</v>
      </c>
      <c r="E1366">
        <v>35</v>
      </c>
      <c r="F1366">
        <v>17</v>
      </c>
      <c r="G1366">
        <v>2</v>
      </c>
      <c r="H1366" s="1">
        <v>2.3148148148148147E-3</v>
      </c>
      <c r="I1366">
        <v>2019</v>
      </c>
      <c r="J1366" t="s">
        <v>83</v>
      </c>
      <c r="K1366" s="2" t="str">
        <f>HYPERLINK("https://www.nba.com/stats/events?CFID=&amp;CFPARAMS=&amp;GameEventID=285&amp;GameID=0021900499&amp;Season=2019-20&amp;flag=1&amp;title=Leonard%2026'%203PT%20%20(8%20PTS)%20(P.%20George%206%20AST)", "26' 3PT  (8 PTS) (P. George 6 AST)")</f>
        <v>26' 3PT  (8 PTS) (P. George 6 AST)</v>
      </c>
      <c r="L1366" s="2" t="str">
        <f>HYPERLINK("https://www.nba.com/game/...-vs-...-0021900499/play-by-play?watchFullGame=true", "LAC vs SAC - Q2 03:20.00")</f>
        <v>LAC vs SAC - Q2 03:20.00</v>
      </c>
      <c r="M1366">
        <v>25.88</v>
      </c>
      <c r="N1366">
        <v>73.8</v>
      </c>
      <c r="O1366">
        <v>16.98</v>
      </c>
      <c r="P1366">
        <v>-165</v>
      </c>
      <c r="Q1366">
        <v>194</v>
      </c>
      <c r="R1366">
        <v>73</v>
      </c>
      <c r="S1366">
        <v>16</v>
      </c>
    </row>
    <row r="1367" spans="1:19" hidden="1" x14ac:dyDescent="0.25">
      <c r="A1367">
        <v>22300511</v>
      </c>
      <c r="B1367" t="s">
        <v>26</v>
      </c>
      <c r="C1367" t="s">
        <v>19</v>
      </c>
      <c r="D1367">
        <v>16</v>
      </c>
      <c r="E1367">
        <v>12</v>
      </c>
      <c r="F1367">
        <v>4</v>
      </c>
      <c r="G1367">
        <v>1</v>
      </c>
      <c r="H1367" s="1">
        <v>5.0578703703703706E-3</v>
      </c>
      <c r="I1367">
        <v>2023</v>
      </c>
      <c r="J1367" t="s">
        <v>83</v>
      </c>
      <c r="K1367" s="2" t="str">
        <f>HYPERLINK("https://www.nba.com/stats/events?CFID=&amp;CFPARAMS=&amp;GameEventID=54&amp;GameID=0022300511&amp;Season=2023-24&amp;flag=1&amp;title=Leonard%2025'%203PT%20%20(7%20PTS)", "25' 3PT  (7 PTS)")</f>
        <v>25' 3PT  (7 PTS)</v>
      </c>
      <c r="L1367" s="2" t="str">
        <f>HYPERLINK("https://www.nba.com/game/...-vs-...-0022300511/play-by-play?watchFullGame=true", "LAC vs PHX - Q1 07:17.00")</f>
        <v>LAC vs PHX - Q1 07:17.00</v>
      </c>
      <c r="M1367">
        <v>25.82</v>
      </c>
      <c r="N1367">
        <v>73.77</v>
      </c>
      <c r="O1367">
        <v>15.93</v>
      </c>
      <c r="P1367">
        <v>-170</v>
      </c>
      <c r="Q1367">
        <v>194</v>
      </c>
      <c r="R1367">
        <v>73</v>
      </c>
      <c r="S1367">
        <v>15</v>
      </c>
    </row>
    <row r="1368" spans="1:19" hidden="1" x14ac:dyDescent="0.25">
      <c r="A1368">
        <v>21900090</v>
      </c>
      <c r="B1368" t="s">
        <v>26</v>
      </c>
      <c r="C1368" t="s">
        <v>84</v>
      </c>
      <c r="D1368">
        <v>77</v>
      </c>
      <c r="E1368">
        <v>76</v>
      </c>
      <c r="F1368">
        <v>1</v>
      </c>
      <c r="G1368">
        <v>4</v>
      </c>
      <c r="H1368" s="1">
        <v>5.8680555555555552E-3</v>
      </c>
      <c r="I1368">
        <v>2019</v>
      </c>
      <c r="J1368" t="s">
        <v>83</v>
      </c>
      <c r="K1368" s="2" t="str">
        <f>HYPERLINK("https://www.nba.com/stats/events?CFID=&amp;CFPARAMS=&amp;GameEventID=567&amp;GameID=0021900090&amp;Season=2019-20&amp;flag=1&amp;title=[LAC]%20Leonard%203pt%20shot:%20Made%20(17%20PTS)%20assist:%20Harrell%20(2%20AST)", "[LAC] Leonard 3pt shot: Made (17 PTS) assist: Harrell (2 AST)")</f>
        <v>[LAC] Leonard 3pt shot: Made (17 PTS) assist: Harrell (2 AST)</v>
      </c>
      <c r="L1368" s="2" t="str">
        <f>HYPERLINK("https://www.nba.com/game/...-vs-...-0021900090/play-by-play?watchFullGame=true", "LAC vs UTA - Q4 08:27.00")</f>
        <v>LAC vs UTA - Q4 08:27.00</v>
      </c>
      <c r="M1368">
        <v>25.71</v>
      </c>
      <c r="N1368">
        <v>73.11</v>
      </c>
      <c r="O1368">
        <v>80.81</v>
      </c>
      <c r="P1368">
        <v>154</v>
      </c>
      <c r="Q1368">
        <v>200</v>
      </c>
      <c r="R1368">
        <v>73</v>
      </c>
      <c r="S1368">
        <v>80</v>
      </c>
    </row>
    <row r="1369" spans="1:19" hidden="1" x14ac:dyDescent="0.25">
      <c r="A1369">
        <v>22400943</v>
      </c>
      <c r="B1369" t="s">
        <v>26</v>
      </c>
      <c r="C1369" t="s">
        <v>19</v>
      </c>
      <c r="D1369">
        <v>7</v>
      </c>
      <c r="E1369">
        <v>10</v>
      </c>
      <c r="F1369">
        <v>3</v>
      </c>
      <c r="G1369">
        <v>1</v>
      </c>
      <c r="H1369" s="1">
        <v>5.7175925925925927E-3</v>
      </c>
      <c r="I1369">
        <v>2024</v>
      </c>
      <c r="J1369" t="s">
        <v>83</v>
      </c>
      <c r="K1369" s="2" t="str">
        <f>HYPERLINK("https://www.nba.com/stats/events?CFID=&amp;CFPARAMS=&amp;GameEventID=45&amp;GameID=0022400943&amp;Season=2024-25&amp;flag=1&amp;title=Leonard%2025'%203PT%20%20(5%20PTS)%20(Dunn%202%20AST)", "25' 3PT  (5 PTS) (K. Dunn 2 AST)")</f>
        <v>25' 3PT  (5 PTS) (K. Dunn 2 AST)</v>
      </c>
      <c r="L1369" s="2" t="str">
        <f>HYPERLINK("https://www.nba.com/game/...-vs-...-0022400943/play-by-play?watchFullGame=true", "LAC vs NOP - Q1 08:14.00")</f>
        <v>LAC vs NOP - Q1 08:14.00</v>
      </c>
      <c r="M1369">
        <v>25.62</v>
      </c>
      <c r="N1369">
        <v>73.28</v>
      </c>
      <c r="O1369">
        <v>17.649999999999999</v>
      </c>
      <c r="P1369">
        <v>-162</v>
      </c>
      <c r="Q1369">
        <v>199</v>
      </c>
      <c r="R1369">
        <v>73</v>
      </c>
      <c r="S1369">
        <v>17</v>
      </c>
    </row>
    <row r="1370" spans="1:19" hidden="1" x14ac:dyDescent="0.25">
      <c r="A1370">
        <v>21900239</v>
      </c>
      <c r="B1370" t="s">
        <v>26</v>
      </c>
      <c r="C1370" t="s">
        <v>84</v>
      </c>
      <c r="D1370">
        <v>48</v>
      </c>
      <c r="E1370">
        <v>35</v>
      </c>
      <c r="F1370">
        <v>13</v>
      </c>
      <c r="G1370">
        <v>2</v>
      </c>
      <c r="H1370" s="1">
        <v>6.2268518518518515E-3</v>
      </c>
      <c r="I1370">
        <v>2019</v>
      </c>
      <c r="J1370" t="s">
        <v>83</v>
      </c>
      <c r="K1370" s="2" t="str">
        <f>HYPERLINK("https://www.nba.com/stats/events?CFID=&amp;CFPARAMS=&amp;GameEventID=209&amp;GameID=0021900239&amp;Season=2019-20&amp;flag=1&amp;title=Leonard%2026'%203PT%20%20(10%20PTS)%20(R.%20McGruder%202%20AST)", "26' 3PT  (10 PTS) (R. McGruder 2 AST)")</f>
        <v>26' 3PT  (10 PTS) (R. McGruder 2 AST)</v>
      </c>
      <c r="L1370" s="2" t="str">
        <f>HYPERLINK("https://www.nba.com/game/...-vs-...-0021900239/play-by-play?watchFullGame=true", "LAC vs NOP - Q2 08:58.00")</f>
        <v>LAC vs NOP - Q2 08:58.00</v>
      </c>
      <c r="M1370">
        <v>25.58</v>
      </c>
      <c r="N1370">
        <v>73.37</v>
      </c>
      <c r="O1370">
        <v>81.06</v>
      </c>
      <c r="P1370">
        <v>155</v>
      </c>
      <c r="Q1370">
        <v>198</v>
      </c>
      <c r="R1370">
        <v>73</v>
      </c>
      <c r="S1370">
        <v>81</v>
      </c>
    </row>
    <row r="1371" spans="1:19" hidden="1" x14ac:dyDescent="0.25">
      <c r="A1371">
        <v>21900589</v>
      </c>
      <c r="B1371" t="s">
        <v>26</v>
      </c>
      <c r="C1371" t="s">
        <v>84</v>
      </c>
      <c r="D1371">
        <v>97</v>
      </c>
      <c r="E1371">
        <v>105</v>
      </c>
      <c r="F1371">
        <v>8</v>
      </c>
      <c r="G1371">
        <v>4</v>
      </c>
      <c r="H1371" s="1">
        <v>2.7314814814814814E-3</v>
      </c>
      <c r="I1371">
        <v>2019</v>
      </c>
      <c r="J1371" t="s">
        <v>83</v>
      </c>
      <c r="K1371" s="2" t="str">
        <f>HYPERLINK("https://www.nba.com/stats/events?CFID=&amp;CFPARAMS=&amp;GameEventID=607&amp;GameID=0021900589&amp;Season=2019-20&amp;flag=1&amp;title=Leonard%2025'%203PT%20%20(28%20PTS)%20(L.%20Shamet%202%20AST)", "25' 3PT  (28 PTS) (L. Shamet 2 AST)")</f>
        <v>25' 3PT  (28 PTS) (L. Shamet 2 AST)</v>
      </c>
      <c r="L1371" s="2" t="str">
        <f>HYPERLINK("https://www.nba.com/game/...-vs-...-0021900589/play-by-play?watchFullGame=true", "LAC vs DEN - Q4 03:56.00")</f>
        <v>LAC vs DEN - Q4 03:56.00</v>
      </c>
      <c r="M1371">
        <v>25.47</v>
      </c>
      <c r="N1371">
        <v>73.930000000000007</v>
      </c>
      <c r="O1371">
        <v>17.96</v>
      </c>
      <c r="P1371">
        <v>-160</v>
      </c>
      <c r="Q1371">
        <v>193</v>
      </c>
      <c r="R1371">
        <v>73</v>
      </c>
      <c r="S1371">
        <v>17</v>
      </c>
    </row>
    <row r="1372" spans="1:19" hidden="1" x14ac:dyDescent="0.25">
      <c r="A1372">
        <v>22300350</v>
      </c>
      <c r="B1372" t="s">
        <v>26</v>
      </c>
      <c r="C1372" t="s">
        <v>19</v>
      </c>
      <c r="D1372">
        <v>67</v>
      </c>
      <c r="E1372">
        <v>57</v>
      </c>
      <c r="F1372">
        <v>10</v>
      </c>
      <c r="G1372">
        <v>2</v>
      </c>
      <c r="H1372" s="1">
        <v>2.4537037037037036E-3</v>
      </c>
      <c r="I1372">
        <v>2023</v>
      </c>
      <c r="J1372" t="s">
        <v>83</v>
      </c>
      <c r="K1372" s="2" t="str">
        <f>HYPERLINK("https://www.nba.com/stats/events?CFID=&amp;CFPARAMS=&amp;GameEventID=282&amp;GameID=0022300350&amp;Season=2023-24&amp;flag=1&amp;title=Leonard%2025'%203PT%20%20(17%20PTS)%20(J.%20Harden%204%20AST)", "25' 3PT  (17 PTS) (J. Harden 4 AST)")</f>
        <v>25' 3PT  (17 PTS) (J. Harden 4 AST)</v>
      </c>
      <c r="L1372" s="2" t="str">
        <f>HYPERLINK("https://www.nba.com/game/...-vs-...-0022300350/play-by-play?watchFullGame=true", "LAC vs IND - Q2 03:32.00")</f>
        <v>LAC vs IND - Q2 03:32.00</v>
      </c>
      <c r="M1372">
        <v>25.06</v>
      </c>
      <c r="N1372">
        <v>73.930000000000007</v>
      </c>
      <c r="O1372">
        <v>17.89</v>
      </c>
      <c r="P1372">
        <v>-161</v>
      </c>
      <c r="Q1372">
        <v>193</v>
      </c>
      <c r="R1372">
        <v>73</v>
      </c>
      <c r="S1372">
        <v>17</v>
      </c>
    </row>
    <row r="1373" spans="1:19" hidden="1" x14ac:dyDescent="0.25">
      <c r="A1373">
        <v>22000675</v>
      </c>
      <c r="B1373" t="s">
        <v>26</v>
      </c>
      <c r="C1373" t="s">
        <v>19</v>
      </c>
      <c r="D1373">
        <v>85</v>
      </c>
      <c r="E1373">
        <v>68</v>
      </c>
      <c r="F1373">
        <v>17</v>
      </c>
      <c r="G1373">
        <v>3</v>
      </c>
      <c r="H1373" s="1">
        <v>3.8657407407407408E-3</v>
      </c>
      <c r="I1373">
        <v>2020</v>
      </c>
      <c r="J1373" t="s">
        <v>83</v>
      </c>
      <c r="K1373" s="2" t="str">
        <f>HYPERLINK("https://www.nba.com/stats/events?CFID=&amp;CFPARAMS=&amp;GameEventID=413&amp;GameID=0022000675&amp;Season=2020-21&amp;flag=1&amp;title=Leonard%2024'%203PT%20pullup%20(23%20PTS)", "24' 3PT pullup (23 PTS)")</f>
        <v>24' 3PT pullup (23 PTS)</v>
      </c>
      <c r="L1373" s="2" t="str">
        <f>HYPERLINK("https://www.nba.com/game/...-vs-...-0022000675/play-by-play?watchFullGame=true", "LAC vs SAS - Q3 05:34.00")</f>
        <v>LAC vs SAS - Q3 05:34.00</v>
      </c>
      <c r="M1373">
        <v>24.97</v>
      </c>
      <c r="N1373">
        <v>73.930000000000007</v>
      </c>
      <c r="O1373">
        <v>18.21</v>
      </c>
      <c r="P1373">
        <v>-159</v>
      </c>
      <c r="Q1373">
        <v>193</v>
      </c>
      <c r="R1373">
        <v>73</v>
      </c>
      <c r="S1373">
        <v>18</v>
      </c>
    </row>
    <row r="1374" spans="1:19" hidden="1" x14ac:dyDescent="0.25">
      <c r="A1374">
        <v>22200408</v>
      </c>
      <c r="B1374" t="s">
        <v>18</v>
      </c>
      <c r="C1374" t="s">
        <v>19</v>
      </c>
      <c r="D1374">
        <v>47</v>
      </c>
      <c r="E1374">
        <v>42</v>
      </c>
      <c r="F1374">
        <v>5</v>
      </c>
      <c r="G1374">
        <v>2</v>
      </c>
      <c r="H1374" s="1">
        <v>2.488425925925926E-3</v>
      </c>
      <c r="I1374">
        <v>2022</v>
      </c>
      <c r="J1374" t="s">
        <v>83</v>
      </c>
      <c r="K1374" s="2" t="str">
        <f>HYPERLINK("https://www.nba.com/stats/events?CFID=&amp;CFPARAMS=&amp;GameEventID=284&amp;GameID=0022200408&amp;Season=2022-23&amp;flag=1&amp;title=Leonard%2021'%20pullup%20Jump%20Shot%20(8%20PTS)", "21' pullup Jump Shot (8 PTS)")</f>
        <v>21' pullup Jump Shot (8 PTS)</v>
      </c>
      <c r="L1374" s="2" t="str">
        <f>HYPERLINK("https://www.nba.com/game/...-vs-...-0022200408/play-by-play?watchFullGame=true", "LAC vs BOS - Q2 03:35.00")</f>
        <v>LAC vs BOS - Q2 03:35.00</v>
      </c>
      <c r="M1374">
        <v>21.19</v>
      </c>
      <c r="N1374">
        <v>73.64</v>
      </c>
      <c r="O1374">
        <v>33.58</v>
      </c>
      <c r="P1374">
        <v>-82</v>
      </c>
      <c r="Q1374">
        <v>195</v>
      </c>
      <c r="R1374">
        <v>73</v>
      </c>
      <c r="S1374">
        <v>33</v>
      </c>
    </row>
    <row r="1375" spans="1:19" hidden="1" x14ac:dyDescent="0.25">
      <c r="A1375">
        <v>21900339</v>
      </c>
      <c r="B1375" t="s">
        <v>18</v>
      </c>
      <c r="C1375" t="s">
        <v>84</v>
      </c>
      <c r="D1375">
        <v>29</v>
      </c>
      <c r="E1375">
        <v>19</v>
      </c>
      <c r="F1375">
        <v>10</v>
      </c>
      <c r="G1375">
        <v>1</v>
      </c>
      <c r="H1375" s="1">
        <v>2.8472222222222223E-3</v>
      </c>
      <c r="I1375">
        <v>2019</v>
      </c>
      <c r="J1375" t="s">
        <v>83</v>
      </c>
      <c r="K1375" s="2" t="str">
        <f>HYPERLINK("https://www.nba.com/stats/events?CFID=&amp;CFPARAMS=&amp;GameEventID=102&amp;GameID=0021900339&amp;Season=2019-20&amp;flag=1&amp;title=Leonard%2021'%20jumpshot%20(10%20PTS)", "21' jumpshot (10 PTS)")</f>
        <v>21' jumpshot (10 PTS)</v>
      </c>
      <c r="L1375" s="2" t="str">
        <f>HYPERLINK("https://www.nba.com/game/...-vs-...-0021900339/play-by-play?watchFullGame=true", "LAC vs WAS - Q1 04:06.00")</f>
        <v>LAC vs WAS - Q1 04:06.00</v>
      </c>
      <c r="M1375">
        <v>21.35</v>
      </c>
      <c r="N1375">
        <v>73.37</v>
      </c>
      <c r="O1375">
        <v>36.94</v>
      </c>
      <c r="P1375">
        <v>-65</v>
      </c>
      <c r="Q1375">
        <v>198</v>
      </c>
      <c r="R1375">
        <v>73</v>
      </c>
      <c r="S1375">
        <v>36</v>
      </c>
    </row>
    <row r="1376" spans="1:19" hidden="1" x14ac:dyDescent="0.25">
      <c r="A1376">
        <v>21901291</v>
      </c>
      <c r="B1376" t="s">
        <v>18</v>
      </c>
      <c r="C1376" t="s">
        <v>84</v>
      </c>
      <c r="D1376">
        <v>8</v>
      </c>
      <c r="E1376">
        <v>18</v>
      </c>
      <c r="F1376">
        <v>10</v>
      </c>
      <c r="G1376">
        <v>1</v>
      </c>
      <c r="H1376" s="1">
        <v>5.3009259259259259E-3</v>
      </c>
      <c r="I1376">
        <v>2019</v>
      </c>
      <c r="J1376" t="s">
        <v>83</v>
      </c>
      <c r="K1376" s="2" t="str">
        <f>HYPERLINK("https://www.nba.com/stats/events?CFID=&amp;CFPARAMS=&amp;GameEventID=42&amp;GameID=0021901291&amp;Season=2019-20&amp;flag=1&amp;title=Leonard%2021'%20jumpshot%20(4%20PTS)", "21' jumpshot (4 PTS)")</f>
        <v>21' jumpshot (4 PTS)</v>
      </c>
      <c r="L1376" s="2" t="str">
        <f>HYPERLINK("https://www.nba.com/game/...-vs-...-0021901291/play-by-play?watchFullGame=true", "LAC vs BKN - Q1 07:38.00")</f>
        <v>LAC vs BKN - Q1 07:38.00</v>
      </c>
      <c r="M1376">
        <v>20.91</v>
      </c>
      <c r="N1376">
        <v>73.8</v>
      </c>
      <c r="O1376">
        <v>37.32</v>
      </c>
      <c r="P1376">
        <v>-63</v>
      </c>
      <c r="Q1376">
        <v>194</v>
      </c>
      <c r="R1376">
        <v>73</v>
      </c>
      <c r="S1376">
        <v>37</v>
      </c>
    </row>
    <row r="1377" spans="1:19" hidden="1" x14ac:dyDescent="0.25">
      <c r="A1377">
        <v>42200171</v>
      </c>
      <c r="B1377" t="s">
        <v>18</v>
      </c>
      <c r="C1377" t="s">
        <v>19</v>
      </c>
      <c r="D1377">
        <v>24</v>
      </c>
      <c r="E1377">
        <v>17</v>
      </c>
      <c r="F1377">
        <v>7</v>
      </c>
      <c r="G1377">
        <v>1</v>
      </c>
      <c r="H1377" s="1">
        <v>1.5740740740740741E-3</v>
      </c>
      <c r="I1377" t="s">
        <v>96</v>
      </c>
      <c r="J1377" t="s">
        <v>83</v>
      </c>
      <c r="K1377" s="2" t="str">
        <f>HYPERLINK("https://www.nba.com/stats/events?CFID=&amp;CFPARAMS=&amp;GameEventID=111&amp;GameID=0042200171&amp;Season=2022-23&amp;flag=1&amp;title=Leonard%2019'%20Jump%20Shot%20(7%20PTS)%20(T.%20Mann%201%20AST)", "19' Jump Shot (7 PTS) (T. Mann 1 AST)")</f>
        <v>19' Jump Shot (7 PTS) (T. Mann 1 AST)</v>
      </c>
      <c r="L1377" s="2" t="str">
        <f>HYPERLINK("https://www.nba.com/game/...-vs-...-0042200171/play-by-play?watchFullGame=true", "LAC vs PHX - Q1 02:16.00")</f>
        <v>LAC vs PHX - Q1 02:16.00</v>
      </c>
      <c r="M1377">
        <v>19.96</v>
      </c>
      <c r="N1377">
        <v>73.28</v>
      </c>
      <c r="O1377">
        <v>46.32</v>
      </c>
      <c r="P1377">
        <v>73</v>
      </c>
      <c r="Q1377">
        <v>46</v>
      </c>
      <c r="R1377">
        <v>73</v>
      </c>
      <c r="S1377">
        <v>46</v>
      </c>
    </row>
    <row r="1378" spans="1:19" hidden="1" x14ac:dyDescent="0.25">
      <c r="A1378">
        <v>22200795</v>
      </c>
      <c r="B1378" t="s">
        <v>18</v>
      </c>
      <c r="C1378" t="s">
        <v>19</v>
      </c>
      <c r="D1378">
        <v>59</v>
      </c>
      <c r="E1378">
        <v>53</v>
      </c>
      <c r="F1378">
        <v>6</v>
      </c>
      <c r="G1378">
        <v>2</v>
      </c>
      <c r="H1378" s="1">
        <v>1.0879629629629629E-3</v>
      </c>
      <c r="I1378">
        <v>2022</v>
      </c>
      <c r="J1378" t="s">
        <v>83</v>
      </c>
      <c r="K1378" s="2" t="str">
        <f>HYPERLINK("https://www.nba.com/stats/events?CFID=&amp;CFPARAMS=&amp;GameEventID=273&amp;GameID=0022200795&amp;Season=2022-23&amp;flag=1&amp;title=Leonard%2019'%20pullup%20Jump%20Shot%20(11%20PTS)%20(N.%20Batum%202%20AST)", "19' pullup Jump Shot (11 PTS) (N. Batum 2 AST)")</f>
        <v>19' pullup Jump Shot (11 PTS) (N. Batum 2 AST)</v>
      </c>
      <c r="L1378" s="2" t="str">
        <f>HYPERLINK("https://www.nba.com/game/...-vs-...-0022200795/play-by-play?watchFullGame=true", "LAC vs NYK - Q2 01:34.00")</f>
        <v>LAC vs NYK - Q2 01:34.00</v>
      </c>
      <c r="M1378">
        <v>19.77</v>
      </c>
      <c r="N1378">
        <v>73.41</v>
      </c>
      <c r="O1378">
        <v>48.04</v>
      </c>
      <c r="P1378">
        <v>-10</v>
      </c>
      <c r="Q1378">
        <v>197</v>
      </c>
      <c r="R1378">
        <v>73</v>
      </c>
      <c r="S1378">
        <v>48</v>
      </c>
    </row>
    <row r="1379" spans="1:19" hidden="1" x14ac:dyDescent="0.25">
      <c r="A1379">
        <v>42000176</v>
      </c>
      <c r="B1379" t="s">
        <v>18</v>
      </c>
      <c r="C1379" t="s">
        <v>19</v>
      </c>
      <c r="D1379">
        <v>34</v>
      </c>
      <c r="E1379">
        <v>39</v>
      </c>
      <c r="F1379">
        <v>5</v>
      </c>
      <c r="G1379">
        <v>2</v>
      </c>
      <c r="H1379" s="1">
        <v>4.31712962962963E-3</v>
      </c>
      <c r="I1379" t="s">
        <v>91</v>
      </c>
      <c r="J1379" t="s">
        <v>83</v>
      </c>
      <c r="K1379" s="2" t="str">
        <f>HYPERLINK("https://www.nba.com/stats/events?CFID=&amp;CFPARAMS=&amp;GameEventID=218&amp;GameID=0042000176&amp;Season=2020-21&amp;flag=1&amp;title=Leonard%2019'%20pullup%20Jump%20Shot%20(7%20PTS)", "19' pullup Jump Shot (7 PTS)")</f>
        <v>19' pullup Jump Shot (7 PTS)</v>
      </c>
      <c r="L1379" s="2" t="str">
        <f>HYPERLINK("https://www.nba.com/game/...-vs-...-0042000176/play-by-play?watchFullGame=true", "LAC vs DAL - Q2 06:13.00")</f>
        <v>LAC vs DAL - Q2 06:13.00</v>
      </c>
      <c r="M1379">
        <v>19.88</v>
      </c>
      <c r="N1379">
        <v>73.28</v>
      </c>
      <c r="O1379">
        <v>49.09</v>
      </c>
      <c r="P1379">
        <v>73</v>
      </c>
      <c r="Q1379">
        <v>49</v>
      </c>
      <c r="R1379">
        <v>73</v>
      </c>
      <c r="S1379">
        <v>49</v>
      </c>
    </row>
    <row r="1380" spans="1:19" hidden="1" x14ac:dyDescent="0.25">
      <c r="A1380">
        <v>22000224</v>
      </c>
      <c r="B1380" t="s">
        <v>18</v>
      </c>
      <c r="C1380" t="s">
        <v>19</v>
      </c>
      <c r="D1380">
        <v>8</v>
      </c>
      <c r="E1380">
        <v>11</v>
      </c>
      <c r="F1380">
        <v>3</v>
      </c>
      <c r="G1380">
        <v>1</v>
      </c>
      <c r="H1380" s="1">
        <v>5.185185185185185E-3</v>
      </c>
      <c r="I1380">
        <v>2020</v>
      </c>
      <c r="J1380" t="s">
        <v>83</v>
      </c>
      <c r="K1380" s="2" t="str">
        <f>HYPERLINK("https://www.nba.com/stats/events?CFID=&amp;CFPARAMS=&amp;GameEventID=47&amp;GameID=0022000224&amp;Season=2020-21&amp;flag=1&amp;title=Leonard%2019'%20pullup%20Jump%20Shot%20(2%20PTS)", "19' pullup Jump Shot (2 PTS)")</f>
        <v>19' pullup Jump Shot (2 PTS)</v>
      </c>
      <c r="L1380" s="2" t="str">
        <f>HYPERLINK("https://www.nba.com/game/...-vs-...-0022000224/play-by-play?watchFullGame=true", "LAC vs SAC - Q1 07:28.00")</f>
        <v>LAC vs SAC - Q1 07:28.00</v>
      </c>
      <c r="M1380">
        <v>19.5</v>
      </c>
      <c r="N1380">
        <v>73.67</v>
      </c>
      <c r="O1380">
        <v>50.56</v>
      </c>
      <c r="P1380">
        <v>3</v>
      </c>
      <c r="Q1380">
        <v>195</v>
      </c>
      <c r="R1380">
        <v>73</v>
      </c>
      <c r="S1380">
        <v>50</v>
      </c>
    </row>
    <row r="1381" spans="1:19" hidden="1" x14ac:dyDescent="0.25">
      <c r="A1381">
        <v>22000601</v>
      </c>
      <c r="B1381" t="s">
        <v>18</v>
      </c>
      <c r="C1381" t="s">
        <v>19</v>
      </c>
      <c r="D1381">
        <v>59</v>
      </c>
      <c r="E1381">
        <v>76</v>
      </c>
      <c r="F1381">
        <v>17</v>
      </c>
      <c r="G1381">
        <v>3</v>
      </c>
      <c r="H1381" s="1">
        <v>6.875E-3</v>
      </c>
      <c r="I1381">
        <v>2020</v>
      </c>
      <c r="J1381" t="s">
        <v>83</v>
      </c>
      <c r="K1381" s="2" t="str">
        <f>HYPERLINK("https://www.nba.com/stats/events?CFID=&amp;CFPARAMS=&amp;GameEventID=355&amp;GameID=0022000601&amp;Season=2020-21&amp;flag=1&amp;title=Leonard%2019'%20Jump%20Shot%20(18%20PTS)", "19' Jump Shot (18 PTS)")</f>
        <v>19' Jump Shot (18 PTS)</v>
      </c>
      <c r="L1381" s="2" t="str">
        <f>HYPERLINK("https://www.nba.com/game/...-vs-...-0022000601/play-by-play?watchFullGame=true", "LAC vs NOP - Q3 09:54.00")</f>
        <v>LAC vs NOP - Q3 09:54.00</v>
      </c>
      <c r="M1381">
        <v>19.91</v>
      </c>
      <c r="N1381">
        <v>73.8</v>
      </c>
      <c r="O1381">
        <v>59.14</v>
      </c>
      <c r="P1381">
        <v>46</v>
      </c>
      <c r="Q1381">
        <v>194</v>
      </c>
      <c r="R1381">
        <v>73</v>
      </c>
      <c r="S1381">
        <v>59</v>
      </c>
    </row>
    <row r="1382" spans="1:19" hidden="1" x14ac:dyDescent="0.25">
      <c r="A1382">
        <v>22301225</v>
      </c>
      <c r="B1382" t="s">
        <v>18</v>
      </c>
      <c r="C1382" t="s">
        <v>19</v>
      </c>
      <c r="D1382">
        <v>24</v>
      </c>
      <c r="E1382">
        <v>13</v>
      </c>
      <c r="F1382">
        <v>11</v>
      </c>
      <c r="G1382">
        <v>1</v>
      </c>
      <c r="H1382" s="1">
        <v>2.7314814814814814E-3</v>
      </c>
      <c r="I1382">
        <v>2023</v>
      </c>
      <c r="J1382" t="s">
        <v>83</v>
      </c>
      <c r="K1382" s="2" t="str">
        <f>HYPERLINK("https://www.nba.com/stats/events?CFID=&amp;CFPARAMS=&amp;GameEventID=103&amp;GameID=0022301225&amp;Season=2023-24&amp;flag=1&amp;title=Leonard%2020'%20pullup%20Jump%20Shot%20(14%20PTS)%20(R.%20Westbrook%202%20AST)", "20' pullup Jump Shot (14 PTS) (R. Westbrook 2 AST)")</f>
        <v>20' pullup Jump Shot (14 PTS) (R. Westbrook 2 AST)</v>
      </c>
      <c r="L1382" s="2" t="str">
        <f>HYPERLINK("https://www.nba.com/game/...-vs-...-0022301225/play-by-play?watchFullGame=true", "LAC vs UTA - Q1 03:56.00")</f>
        <v>LAC vs UTA - Q1 03:56.00</v>
      </c>
      <c r="M1382">
        <v>20.83</v>
      </c>
      <c r="N1382">
        <v>73.28</v>
      </c>
      <c r="O1382">
        <v>62.5</v>
      </c>
      <c r="P1382">
        <v>62</v>
      </c>
      <c r="Q1382">
        <v>199</v>
      </c>
      <c r="R1382">
        <v>73</v>
      </c>
      <c r="S1382">
        <v>62</v>
      </c>
    </row>
    <row r="1383" spans="1:19" hidden="1" x14ac:dyDescent="0.25">
      <c r="A1383">
        <v>22000867</v>
      </c>
      <c r="B1383" t="s">
        <v>26</v>
      </c>
      <c r="C1383" t="s">
        <v>19</v>
      </c>
      <c r="D1383">
        <v>72</v>
      </c>
      <c r="E1383">
        <v>51</v>
      </c>
      <c r="F1383">
        <v>21</v>
      </c>
      <c r="G1383">
        <v>2</v>
      </c>
      <c r="H1383" s="1">
        <v>3.4606481481481478E-4</v>
      </c>
      <c r="I1383">
        <v>2020</v>
      </c>
      <c r="J1383" t="s">
        <v>83</v>
      </c>
      <c r="K1383" s="2" t="str">
        <f>HYPERLINK("https://www.nba.com/stats/events?CFID=&amp;CFPARAMS=&amp;GameEventID=324&amp;GameID=0022000867&amp;Season=2020-21&amp;flag=1&amp;title=Leonard%2026'%203PT%20%20(8%20PTS)%20(T.%20Mann%202%20AST)", "26' 3PT  (8 PTS) (T. Mann 2 AST)")</f>
        <v>26' 3PT  (8 PTS) (T. Mann 2 AST)</v>
      </c>
      <c r="L1383" s="2" t="str">
        <f>HYPERLINK("https://www.nba.com/game/...-vs-...-0022000867/play-by-play?watchFullGame=true", "LAC vs MIN - Q2 00:29.90")</f>
        <v>LAC vs MIN - Q2 00:29.90</v>
      </c>
      <c r="M1383">
        <v>26.55</v>
      </c>
      <c r="N1383">
        <v>74.2</v>
      </c>
      <c r="O1383">
        <v>87.08</v>
      </c>
      <c r="P1383">
        <v>185</v>
      </c>
      <c r="Q1383">
        <v>190</v>
      </c>
      <c r="R1383">
        <v>74</v>
      </c>
      <c r="S1383">
        <v>87</v>
      </c>
    </row>
    <row r="1384" spans="1:19" hidden="1" x14ac:dyDescent="0.25">
      <c r="A1384">
        <v>22301017</v>
      </c>
      <c r="B1384" t="s">
        <v>26</v>
      </c>
      <c r="C1384" t="s">
        <v>19</v>
      </c>
      <c r="D1384">
        <v>15</v>
      </c>
      <c r="E1384">
        <v>10</v>
      </c>
      <c r="F1384">
        <v>5</v>
      </c>
      <c r="G1384">
        <v>1</v>
      </c>
      <c r="H1384" s="1">
        <v>5.4745370370370373E-3</v>
      </c>
      <c r="I1384">
        <v>2023</v>
      </c>
      <c r="J1384" t="s">
        <v>83</v>
      </c>
      <c r="K1384" s="2" t="str">
        <f>HYPERLINK("https://www.nba.com/stats/events?CFID=&amp;CFPARAMS=&amp;GameEventID=50&amp;GameID=0022301017&amp;Season=2023-24&amp;flag=1&amp;title=Leonard%2026'%203PT%20running%20(3%20PTS)%20(T.%20Mann%202%20AST)", "26' 3PT running (3 PTS) (T. Mann 2 AST)")</f>
        <v>26' 3PT running (3 PTS) (T. Mann 2 AST)</v>
      </c>
      <c r="L1384" s="2" t="str">
        <f>HYPERLINK("https://www.nba.com/game/...-vs-...-0022301017/play-by-play?watchFullGame=true", "LAC vs POR - Q1 07:53.00")</f>
        <v>LAC vs POR - Q1 07:53.00</v>
      </c>
      <c r="M1384">
        <v>26.35</v>
      </c>
      <c r="N1384">
        <v>74.459999999999994</v>
      </c>
      <c r="O1384">
        <v>87.01</v>
      </c>
      <c r="P1384">
        <v>185</v>
      </c>
      <c r="Q1384">
        <v>188</v>
      </c>
      <c r="R1384">
        <v>74</v>
      </c>
      <c r="S1384">
        <v>87</v>
      </c>
    </row>
    <row r="1385" spans="1:19" hidden="1" x14ac:dyDescent="0.25">
      <c r="A1385">
        <v>22000130</v>
      </c>
      <c r="B1385" t="s">
        <v>26</v>
      </c>
      <c r="C1385" t="s">
        <v>19</v>
      </c>
      <c r="D1385">
        <v>76</v>
      </c>
      <c r="E1385">
        <v>58</v>
      </c>
      <c r="F1385">
        <v>18</v>
      </c>
      <c r="G1385">
        <v>3</v>
      </c>
      <c r="H1385" s="1">
        <v>4.9189814814814816E-3</v>
      </c>
      <c r="I1385">
        <v>2020</v>
      </c>
      <c r="J1385" t="s">
        <v>83</v>
      </c>
      <c r="K1385" s="2" t="str">
        <f>HYPERLINK("https://www.nba.com/stats/events?CFID=&amp;CFPARAMS=&amp;GameEventID=392&amp;GameID=0022000130&amp;Season=2020-21&amp;flag=1&amp;title=Leonard%2026'%203PT%20%20(14%20PTS)%20(Ibaka%202%20AST)", "26' 3PT  (14 PTS) (S. Ibaka 2 AST)")</f>
        <v>26' 3PT  (14 PTS) (S. Ibaka 2 AST)</v>
      </c>
      <c r="L1385" s="2" t="str">
        <f>HYPERLINK("https://www.nba.com/game/...-vs-...-0022000130/play-by-play?watchFullGame=true", "LAC vs GSW - Q3 07:05.00")</f>
        <v>LAC vs GSW - Q3 07:05.00</v>
      </c>
      <c r="M1385">
        <v>26.21</v>
      </c>
      <c r="N1385">
        <v>74.2</v>
      </c>
      <c r="O1385">
        <v>86.1</v>
      </c>
      <c r="P1385">
        <v>180</v>
      </c>
      <c r="Q1385">
        <v>190</v>
      </c>
      <c r="R1385">
        <v>74</v>
      </c>
      <c r="S1385">
        <v>86</v>
      </c>
    </row>
    <row r="1386" spans="1:19" hidden="1" x14ac:dyDescent="0.25">
      <c r="A1386">
        <v>41900237</v>
      </c>
      <c r="B1386" t="s">
        <v>26</v>
      </c>
      <c r="C1386" t="s">
        <v>84</v>
      </c>
      <c r="D1386">
        <v>33</v>
      </c>
      <c r="E1386">
        <v>27</v>
      </c>
      <c r="F1386">
        <v>6</v>
      </c>
      <c r="G1386">
        <v>2</v>
      </c>
      <c r="H1386" s="1">
        <v>7.0254629629629634E-3</v>
      </c>
      <c r="I1386" t="s">
        <v>85</v>
      </c>
      <c r="J1386" t="s">
        <v>83</v>
      </c>
      <c r="K1386" s="2" t="str">
        <f>HYPERLINK("https://www.nba.com/stats/events?CFID=&amp;CFPARAMS=&amp;GameEventID=180&amp;GameID=0041900237&amp;Season=2019-20&amp;flag=1&amp;title=Leonard%2026'%203PT%20%20(5%20PTS)%20(P.%20Beverley%205%20AST)", "26' 3PT  (5 PTS) (P. Beverley 5 AST)")</f>
        <v>26' 3PT  (5 PTS) (P. Beverley 5 AST)</v>
      </c>
      <c r="L1386" s="2" t="str">
        <f>HYPERLINK("https://www.nba.com/game/...-vs-...-0041900237/play-by-play?watchFullGame=true", "LAC vs DEN - Q2 10:07.00")</f>
        <v>LAC vs DEN - Q2 10:07.00</v>
      </c>
      <c r="M1386">
        <v>26.08</v>
      </c>
      <c r="N1386">
        <v>74.06</v>
      </c>
      <c r="O1386">
        <v>15.76</v>
      </c>
      <c r="P1386">
        <v>-171</v>
      </c>
      <c r="Q1386">
        <v>191</v>
      </c>
      <c r="R1386">
        <v>74</v>
      </c>
      <c r="S1386">
        <v>15</v>
      </c>
    </row>
    <row r="1387" spans="1:19" hidden="1" x14ac:dyDescent="0.25">
      <c r="A1387">
        <v>22300074</v>
      </c>
      <c r="B1387" t="s">
        <v>26</v>
      </c>
      <c r="C1387" t="s">
        <v>19</v>
      </c>
      <c r="D1387">
        <v>60</v>
      </c>
      <c r="E1387">
        <v>40</v>
      </c>
      <c r="F1387">
        <v>20</v>
      </c>
      <c r="G1387">
        <v>2</v>
      </c>
      <c r="H1387" s="1">
        <v>1.9097222222222222E-3</v>
      </c>
      <c r="I1387">
        <v>2023</v>
      </c>
      <c r="J1387" t="s">
        <v>83</v>
      </c>
      <c r="K1387" s="2" t="str">
        <f>HYPERLINK("https://www.nba.com/stats/events?CFID=&amp;CFPARAMS=&amp;GameEventID=302&amp;GameID=0022300074&amp;Season=2023-24&amp;flag=1&amp;title=Leonard%2025'%203PT%20pullup%20(8%20PTS)", "25' 3PT pullup (8 PTS)")</f>
        <v>25' 3PT pullup (8 PTS)</v>
      </c>
      <c r="L1387" s="2" t="str">
        <f>HYPERLINK("https://www.nba.com/game/...-vs-...-0022300074/play-by-play?watchFullGame=true", "LAC vs POR - Q2 02:45.00")</f>
        <v>LAC vs POR - Q2 02:45.00</v>
      </c>
      <c r="M1387">
        <v>25.26</v>
      </c>
      <c r="N1387">
        <v>74.819999999999993</v>
      </c>
      <c r="O1387">
        <v>84.56</v>
      </c>
      <c r="P1387">
        <v>173</v>
      </c>
      <c r="Q1387">
        <v>184</v>
      </c>
      <c r="R1387">
        <v>74</v>
      </c>
      <c r="S1387">
        <v>84</v>
      </c>
    </row>
    <row r="1388" spans="1:19" hidden="1" x14ac:dyDescent="0.25">
      <c r="A1388">
        <v>22300235</v>
      </c>
      <c r="B1388" t="s">
        <v>26</v>
      </c>
      <c r="C1388" t="s">
        <v>19</v>
      </c>
      <c r="D1388">
        <v>13</v>
      </c>
      <c r="E1388">
        <v>8</v>
      </c>
      <c r="F1388">
        <v>5</v>
      </c>
      <c r="G1388">
        <v>1</v>
      </c>
      <c r="H1388" s="1">
        <v>4.5138888888888885E-3</v>
      </c>
      <c r="I1388">
        <v>2023</v>
      </c>
      <c r="J1388" t="s">
        <v>83</v>
      </c>
      <c r="K1388" s="2" t="str">
        <f>HYPERLINK("https://www.nba.com/stats/events?CFID=&amp;CFPARAMS=&amp;GameEventID=57&amp;GameID=0022300235&amp;Season=2023-24&amp;flag=1&amp;title=Leonard%2025'%203PT%20running%20pullup%20(5%20PTS)%20(J.%20Harden%201%20AST)", "25' 3PT running pullup (5 PTS) (J. Harden 1 AST)")</f>
        <v>25' 3PT running pullup (5 PTS) (J. Harden 1 AST)</v>
      </c>
      <c r="L1388" s="2" t="str">
        <f>HYPERLINK("https://www.nba.com/game/...-vs-...-0022300235/play-by-play?watchFullGame=true", "LAC vs SAS - Q1 06:30.00")</f>
        <v>LAC vs SAS - Q1 06:30.00</v>
      </c>
      <c r="M1388">
        <v>25.2</v>
      </c>
      <c r="N1388">
        <v>74.2</v>
      </c>
      <c r="O1388">
        <v>83.09</v>
      </c>
      <c r="P1388">
        <v>165</v>
      </c>
      <c r="Q1388">
        <v>190</v>
      </c>
      <c r="R1388">
        <v>74</v>
      </c>
      <c r="S1388">
        <v>83</v>
      </c>
    </row>
    <row r="1389" spans="1:19" hidden="1" x14ac:dyDescent="0.25">
      <c r="A1389">
        <v>22201196</v>
      </c>
      <c r="B1389" t="s">
        <v>26</v>
      </c>
      <c r="C1389" t="s">
        <v>19</v>
      </c>
      <c r="D1389">
        <v>66</v>
      </c>
      <c r="E1389">
        <v>52</v>
      </c>
      <c r="F1389">
        <v>14</v>
      </c>
      <c r="G1389">
        <v>2</v>
      </c>
      <c r="H1389" s="1">
        <v>7.9861111111111116E-4</v>
      </c>
      <c r="I1389">
        <v>2022</v>
      </c>
      <c r="J1389" t="s">
        <v>83</v>
      </c>
      <c r="K1389" s="2" t="str">
        <f>HYPERLINK("https://www.nba.com/stats/events?CFID=&amp;CFPARAMS=&amp;GameEventID=288&amp;GameID=0022201196&amp;Season=2022-23&amp;flag=1&amp;title=Leonard%2025'%203PT%20%20(14%20PTS)%20(R.%20Westbrook%204%20AST)", "25' 3PT  (14 PTS) (R. Westbrook 4 AST)")</f>
        <v>25' 3PT  (14 PTS) (R. Westbrook 4 AST)</v>
      </c>
      <c r="L1389" s="2" t="str">
        <f>HYPERLINK("https://www.nba.com/game/...-vs-...-0022201196/play-by-play?watchFullGame=true", "LAC vs LAL - Q2 01:09.00")</f>
        <v>LAC vs LAL - Q2 01:09.00</v>
      </c>
      <c r="M1389">
        <v>25.03</v>
      </c>
      <c r="N1389">
        <v>74.430000000000007</v>
      </c>
      <c r="O1389">
        <v>83.09</v>
      </c>
      <c r="P1389">
        <v>165</v>
      </c>
      <c r="Q1389">
        <v>188</v>
      </c>
      <c r="R1389">
        <v>74</v>
      </c>
      <c r="S1389">
        <v>83</v>
      </c>
    </row>
    <row r="1390" spans="1:19" hidden="1" x14ac:dyDescent="0.25">
      <c r="A1390">
        <v>21900035</v>
      </c>
      <c r="B1390" t="s">
        <v>18</v>
      </c>
      <c r="C1390" t="s">
        <v>84</v>
      </c>
      <c r="D1390">
        <v>57</v>
      </c>
      <c r="E1390">
        <v>55</v>
      </c>
      <c r="F1390">
        <v>2</v>
      </c>
      <c r="G1390">
        <v>3</v>
      </c>
      <c r="H1390" s="1">
        <v>8.0902777777777778E-3</v>
      </c>
      <c r="I1390">
        <v>2019</v>
      </c>
      <c r="J1390" t="s">
        <v>83</v>
      </c>
      <c r="K1390" s="2" t="str">
        <f>HYPERLINK("https://www.nba.com/stats/events?CFID=&amp;CFPARAMS=&amp;GameEventID=388&amp;GameID=0021900035&amp;Season=2019-20&amp;flag=1&amp;title=[LAC]%20Leonard%20jumpshot:%20Made%20(8%20PTS)", "[LAC] Leonard jumpshot: Made (8 PTS)")</f>
        <v>[LAC] Leonard jumpshot: Made (8 PTS)</v>
      </c>
      <c r="L1390" s="2" t="str">
        <f>HYPERLINK("https://www.nba.com/game/...-vs-...-0021900035/play-by-play?watchFullGame=true", "LAC vs PHX - Q3 11:39.00")</f>
        <v>LAC vs PHX - Q3 11:39.00</v>
      </c>
      <c r="M1390">
        <v>22.1</v>
      </c>
      <c r="N1390">
        <v>74.459999999999994</v>
      </c>
      <c r="O1390">
        <v>28.5</v>
      </c>
      <c r="P1390">
        <v>-107</v>
      </c>
      <c r="Q1390">
        <v>188</v>
      </c>
      <c r="R1390">
        <v>74</v>
      </c>
      <c r="S1390">
        <v>28</v>
      </c>
    </row>
    <row r="1391" spans="1:19" hidden="1" x14ac:dyDescent="0.25">
      <c r="A1391">
        <v>22400842</v>
      </c>
      <c r="B1391" t="s">
        <v>18</v>
      </c>
      <c r="C1391" t="s">
        <v>19</v>
      </c>
      <c r="D1391">
        <v>61</v>
      </c>
      <c r="E1391">
        <v>60</v>
      </c>
      <c r="F1391">
        <v>1</v>
      </c>
      <c r="G1391">
        <v>3</v>
      </c>
      <c r="H1391" s="1">
        <v>8.1712962962962963E-3</v>
      </c>
      <c r="I1391">
        <v>2024</v>
      </c>
      <c r="J1391" t="s">
        <v>83</v>
      </c>
      <c r="K1391" s="2" t="str">
        <f>HYPERLINK("https://www.nba.com/stats/events?CFID=&amp;CFPARAMS=&amp;GameEventID=327&amp;GameID=0022400842&amp;Season=2024-25&amp;flag=1&amp;title=Leonard%2021'%20Jump%20Shot%20(10%20PTS)", "21' Jump Shot (10 PTS)")</f>
        <v>21' Jump Shot (10 PTS)</v>
      </c>
      <c r="L1391" s="2" t="str">
        <f>HYPERLINK("https://www.nba.com/game/...-vs-...-0022400842/play-by-play?watchFullGame=true", "LAC vs CHI - Q3 11:46.00")</f>
        <v>LAC vs CHI - Q3 11:46.00</v>
      </c>
      <c r="M1391">
        <v>21.03</v>
      </c>
      <c r="N1391">
        <v>74.98</v>
      </c>
      <c r="O1391">
        <v>29.17</v>
      </c>
      <c r="P1391">
        <v>-104</v>
      </c>
      <c r="Q1391">
        <v>183</v>
      </c>
      <c r="R1391">
        <v>74</v>
      </c>
      <c r="S1391">
        <v>29</v>
      </c>
    </row>
    <row r="1392" spans="1:19" hidden="1" x14ac:dyDescent="0.25">
      <c r="A1392">
        <v>22200871</v>
      </c>
      <c r="B1392" t="s">
        <v>18</v>
      </c>
      <c r="C1392" t="s">
        <v>19</v>
      </c>
      <c r="D1392">
        <v>51</v>
      </c>
      <c r="E1392">
        <v>52</v>
      </c>
      <c r="F1392">
        <v>1</v>
      </c>
      <c r="G1392">
        <v>2</v>
      </c>
      <c r="H1392" s="1">
        <v>2.9861111111111113E-3</v>
      </c>
      <c r="I1392">
        <v>2022</v>
      </c>
      <c r="J1392" t="s">
        <v>83</v>
      </c>
      <c r="K1392" s="2" t="str">
        <f>HYPERLINK("https://www.nba.com/stats/events?CFID=&amp;CFPARAMS=&amp;GameEventID=266&amp;GameID=0022200871&amp;Season=2022-23&amp;flag=1&amp;title=Leonard%2019'%20Jump%20Shot%20(13%20PTS)%20(P.%20George%203%20AST)", "19' Jump Shot (13 PTS) (P. George 3 AST)")</f>
        <v>19' Jump Shot (13 PTS) (P. George 3 AST)</v>
      </c>
      <c r="L1392" s="2" t="str">
        <f>HYPERLINK("https://www.nba.com/game/...-vs-...-0022200871/play-by-play?watchFullGame=true", "LAC vs GSW - Q2 04:18.00")</f>
        <v>LAC vs GSW - Q2 04:18.00</v>
      </c>
      <c r="M1392">
        <v>19.66</v>
      </c>
      <c r="N1392">
        <v>74.03</v>
      </c>
      <c r="O1392">
        <v>41.18</v>
      </c>
      <c r="P1392">
        <v>-44</v>
      </c>
      <c r="Q1392">
        <v>192</v>
      </c>
      <c r="R1392">
        <v>74</v>
      </c>
      <c r="S1392">
        <v>41</v>
      </c>
    </row>
    <row r="1393" spans="1:19" hidden="1" x14ac:dyDescent="0.25">
      <c r="A1393">
        <v>21900653</v>
      </c>
      <c r="B1393" t="s">
        <v>18</v>
      </c>
      <c r="C1393" t="s">
        <v>84</v>
      </c>
      <c r="D1393">
        <v>94</v>
      </c>
      <c r="E1393">
        <v>92</v>
      </c>
      <c r="F1393">
        <v>2</v>
      </c>
      <c r="G1393">
        <v>4</v>
      </c>
      <c r="H1393" s="1">
        <v>3.414351851851852E-3</v>
      </c>
      <c r="I1393">
        <v>2019</v>
      </c>
      <c r="J1393" t="s">
        <v>83</v>
      </c>
      <c r="K1393" s="2" t="str">
        <f>HYPERLINK("https://www.nba.com/stats/events?CFID=&amp;CFPARAMS=&amp;GameEventID=639&amp;GameID=0021900653&amp;Season=2019-20&amp;flag=1&amp;title=Leonard%2019'%20jumpshot%20(29%20PTS)%20(L.%20Williams%203%20AST)", "19' jumpshot (29 PTS) (L. Williams 3 AST)")</f>
        <v>19' jumpshot (29 PTS) (L. Williams 3 AST)</v>
      </c>
      <c r="L1393" s="2" t="str">
        <f>HYPERLINK("https://www.nba.com/game/...-vs-...-0021900653/play-by-play?watchFullGame=true", "LAC vs DAL - Q4 04:55.00")</f>
        <v>LAC vs DAL - Q4 04:55.00</v>
      </c>
      <c r="M1393">
        <v>19.07</v>
      </c>
      <c r="N1393">
        <v>74.72</v>
      </c>
      <c r="O1393">
        <v>49.09</v>
      </c>
      <c r="P1393">
        <v>-5</v>
      </c>
      <c r="Q1393">
        <v>185</v>
      </c>
      <c r="R1393">
        <v>74</v>
      </c>
      <c r="S1393">
        <v>49</v>
      </c>
    </row>
    <row r="1394" spans="1:19" hidden="1" x14ac:dyDescent="0.25">
      <c r="A1394">
        <v>22200408</v>
      </c>
      <c r="B1394" t="s">
        <v>18</v>
      </c>
      <c r="C1394" t="s">
        <v>19</v>
      </c>
      <c r="D1394">
        <v>42</v>
      </c>
      <c r="E1394">
        <v>39</v>
      </c>
      <c r="F1394">
        <v>3</v>
      </c>
      <c r="G1394">
        <v>2</v>
      </c>
      <c r="H1394" s="1">
        <v>3.6689814814814814E-3</v>
      </c>
      <c r="I1394">
        <v>2022</v>
      </c>
      <c r="J1394" t="s">
        <v>83</v>
      </c>
      <c r="K1394" s="2" t="str">
        <f>HYPERLINK("https://www.nba.com/stats/events?CFID=&amp;CFPARAMS=&amp;GameEventID=257&amp;GameID=0022200408&amp;Season=2022-23&amp;flag=1&amp;title=Leonard%2018'%20pullup%20Jump%20Shot%20(6%20PTS)", "18' pullup Jump Shot (6 PTS)")</f>
        <v>18' pullup Jump Shot (6 PTS)</v>
      </c>
      <c r="L1394" s="2" t="str">
        <f>HYPERLINK("https://www.nba.com/game/...-vs-...-0022200408/play-by-play?watchFullGame=true", "LAC vs BOS - Q2 05:17.00")</f>
        <v>LAC vs BOS - Q2 05:17.00</v>
      </c>
      <c r="M1394">
        <v>18.47</v>
      </c>
      <c r="N1394">
        <v>74.77</v>
      </c>
      <c r="O1394">
        <v>49.84</v>
      </c>
      <c r="P1394">
        <v>-1</v>
      </c>
      <c r="Q1394">
        <v>185</v>
      </c>
      <c r="R1394">
        <v>74</v>
      </c>
      <c r="S1394">
        <v>49</v>
      </c>
    </row>
    <row r="1395" spans="1:19" hidden="1" x14ac:dyDescent="0.25">
      <c r="A1395">
        <v>22300848</v>
      </c>
      <c r="B1395" t="s">
        <v>18</v>
      </c>
      <c r="C1395" t="s">
        <v>19</v>
      </c>
      <c r="D1395">
        <v>23</v>
      </c>
      <c r="E1395">
        <v>21</v>
      </c>
      <c r="F1395">
        <v>2</v>
      </c>
      <c r="G1395">
        <v>1</v>
      </c>
      <c r="H1395" s="1">
        <v>2.5810185185185185E-3</v>
      </c>
      <c r="I1395">
        <v>2023</v>
      </c>
      <c r="J1395" t="s">
        <v>83</v>
      </c>
      <c r="K1395" s="2" t="str">
        <f>HYPERLINK("https://www.nba.com/stats/events?CFID=&amp;CFPARAMS=&amp;GameEventID=115&amp;GameID=0022300848&amp;Season=2023-24&amp;flag=1&amp;title=Leonard%2019'%20driving%20floating%20Jump%20Shot%20(8%20PTS)%20(N.%20Powell%201%20AST)", "19' driving floating Jump Shot (8 PTS) (N. Powell 1 AST)")</f>
        <v>19' driving floating Jump Shot (8 PTS) (N. Powell 1 AST)</v>
      </c>
      <c r="L1395" s="2" t="str">
        <f>HYPERLINK("https://www.nba.com/game/...-vs-...-0022300848/play-by-play?watchFullGame=true", "LAC vs LAL - Q1 03:43.00")</f>
        <v>LAC vs LAL - Q1 03:43.00</v>
      </c>
      <c r="M1395">
        <v>19.079999999999998</v>
      </c>
      <c r="N1395">
        <v>74.16</v>
      </c>
      <c r="O1395">
        <v>52.45</v>
      </c>
      <c r="P1395">
        <v>12</v>
      </c>
      <c r="Q1395">
        <v>190</v>
      </c>
      <c r="R1395">
        <v>74</v>
      </c>
      <c r="S1395">
        <v>52</v>
      </c>
    </row>
    <row r="1396" spans="1:19" hidden="1" x14ac:dyDescent="0.25">
      <c r="A1396">
        <v>22200668</v>
      </c>
      <c r="B1396" t="s">
        <v>18</v>
      </c>
      <c r="C1396" t="s">
        <v>19</v>
      </c>
      <c r="D1396">
        <v>19</v>
      </c>
      <c r="E1396">
        <v>21</v>
      </c>
      <c r="F1396">
        <v>2</v>
      </c>
      <c r="G1396">
        <v>1</v>
      </c>
      <c r="H1396" s="1">
        <v>3.2291666666666666E-3</v>
      </c>
      <c r="I1396">
        <v>2022</v>
      </c>
      <c r="J1396" t="s">
        <v>83</v>
      </c>
      <c r="K1396" s="2" t="str">
        <f>HYPERLINK("https://www.nba.com/stats/events?CFID=&amp;CFPARAMS=&amp;GameEventID=82&amp;GameID=0022200668&amp;Season=2022-23&amp;flag=1&amp;title=Leonard%2020'%20pullup%20Jump%20Shot%20(4%20PTS)", "20' pullup Jump Shot (4 PTS)")</f>
        <v>20' pullup Jump Shot (4 PTS)</v>
      </c>
      <c r="L1396" s="2" t="str">
        <f>HYPERLINK("https://www.nba.com/game/...-vs-...-0022200668/play-by-play?watchFullGame=true", "LAC vs PHI - Q1 04:39.00")</f>
        <v>LAC vs PHI - Q1 04:39.00</v>
      </c>
      <c r="M1396">
        <v>20.61</v>
      </c>
      <c r="N1396">
        <v>74.03</v>
      </c>
      <c r="O1396">
        <v>65.2</v>
      </c>
      <c r="P1396">
        <v>76</v>
      </c>
      <c r="Q1396">
        <v>192</v>
      </c>
      <c r="R1396">
        <v>74</v>
      </c>
      <c r="S1396">
        <v>65</v>
      </c>
    </row>
    <row r="1397" spans="1:19" hidden="1" x14ac:dyDescent="0.25">
      <c r="A1397">
        <v>22200604</v>
      </c>
      <c r="B1397" t="s">
        <v>18</v>
      </c>
      <c r="C1397" t="s">
        <v>19</v>
      </c>
      <c r="D1397">
        <v>11</v>
      </c>
      <c r="E1397">
        <v>6</v>
      </c>
      <c r="F1397">
        <v>5</v>
      </c>
      <c r="G1397">
        <v>1</v>
      </c>
      <c r="H1397" s="1">
        <v>5.8449074074074072E-3</v>
      </c>
      <c r="I1397">
        <v>2022</v>
      </c>
      <c r="J1397" t="s">
        <v>83</v>
      </c>
      <c r="K1397" s="2" t="str">
        <f>HYPERLINK("https://www.nba.com/stats/events?CFID=&amp;CFPARAMS=&amp;GameEventID=38&amp;GameID=0022200604&amp;Season=2022-23&amp;flag=1&amp;title=Leonard%2020'%20Jump%20Shot%20(2%20PTS)%20(N.%20Batum%201%20AST)", "20' Jump Shot (2 PTS) (N. Batum 1 AST)")</f>
        <v>20' Jump Shot (2 PTS) (N. Batum 1 AST)</v>
      </c>
      <c r="L1397" s="2" t="str">
        <f>HYPERLINK("https://www.nba.com/game/...-vs-...-0022200604/play-by-play?watchFullGame=true", "LAC vs ATL - Q1 08:25.00")</f>
        <v>LAC vs ATL - Q1 08:25.00</v>
      </c>
      <c r="M1397">
        <v>20.61</v>
      </c>
      <c r="N1397">
        <v>74.430000000000007</v>
      </c>
      <c r="O1397">
        <v>66.91</v>
      </c>
      <c r="P1397">
        <v>85</v>
      </c>
      <c r="Q1397">
        <v>188</v>
      </c>
      <c r="R1397">
        <v>74</v>
      </c>
      <c r="S1397">
        <v>66</v>
      </c>
    </row>
    <row r="1398" spans="1:19" hidden="1" x14ac:dyDescent="0.25">
      <c r="A1398">
        <v>22200902</v>
      </c>
      <c r="B1398" t="s">
        <v>18</v>
      </c>
      <c r="C1398" t="s">
        <v>19</v>
      </c>
      <c r="D1398">
        <v>40</v>
      </c>
      <c r="E1398">
        <v>40</v>
      </c>
      <c r="F1398">
        <v>0</v>
      </c>
      <c r="G1398">
        <v>1</v>
      </c>
      <c r="H1398" s="1">
        <v>1.0416666666666666E-5</v>
      </c>
      <c r="I1398">
        <v>2022</v>
      </c>
      <c r="J1398" t="s">
        <v>83</v>
      </c>
      <c r="K1398" s="2" t="str">
        <f>HYPERLINK("https://www.nba.com/stats/events?CFID=&amp;CFPARAMS=&amp;GameEventID=167&amp;GameID=0022200902&amp;Season=2022-23&amp;flag=1&amp;title=Leonard%2020'%20pullup%20Jump%20Shot%20(13%20PTS)%20(N.%20Batum%201%20AST)", "20' pullup Jump Shot (13 PTS) (N. Batum 1 AST)")</f>
        <v>20' pullup Jump Shot (13 PTS) (N. Batum 1 AST)</v>
      </c>
      <c r="L1398" s="2" t="str">
        <f>HYPERLINK("https://www.nba.com/game/...-vs-...-0022200902/play-by-play?watchFullGame=true", "LAC vs SAC - Q1 00:00.90")</f>
        <v>LAC vs SAC - Q1 00:00.90</v>
      </c>
      <c r="M1398">
        <v>20.37</v>
      </c>
      <c r="N1398">
        <v>74.95</v>
      </c>
      <c r="O1398">
        <v>67.89</v>
      </c>
      <c r="P1398">
        <v>89</v>
      </c>
      <c r="Q1398">
        <v>183</v>
      </c>
      <c r="R1398">
        <v>74</v>
      </c>
      <c r="S1398">
        <v>67</v>
      </c>
    </row>
    <row r="1399" spans="1:19" hidden="1" x14ac:dyDescent="0.25">
      <c r="A1399">
        <v>22400486</v>
      </c>
      <c r="B1399" t="s">
        <v>26</v>
      </c>
      <c r="C1399" t="s">
        <v>19</v>
      </c>
      <c r="D1399">
        <v>5</v>
      </c>
      <c r="E1399">
        <v>5</v>
      </c>
      <c r="F1399">
        <v>0</v>
      </c>
      <c r="G1399">
        <v>1</v>
      </c>
      <c r="H1399" s="1">
        <v>6.9097222222222225E-3</v>
      </c>
      <c r="I1399">
        <v>2024</v>
      </c>
      <c r="J1399" t="s">
        <v>83</v>
      </c>
      <c r="K1399" s="2" t="str">
        <f>HYPERLINK("https://www.nba.com/stats/events?CFID=&amp;CFPARAMS=&amp;GameEventID=24&amp;GameID=0022400486&amp;Season=2024-25&amp;flag=1&amp;title=Leonard%2027'%203PT%20%20(3%20PTS)%20(J.%20Harden%202%20AST)", "27' 3PT  (3 PTS) (J. Harden 2 AST)")</f>
        <v>27' 3PT  (3 PTS) (J. Harden 2 AST)</v>
      </c>
      <c r="L1399" s="2" t="str">
        <f>HYPERLINK("https://www.nba.com/game/...-vs-...-0022400486/play-by-play?watchFullGame=true", "LAC vs ATL - Q1 09:57.00")</f>
        <v>LAC vs ATL - Q1 09:57.00</v>
      </c>
      <c r="M1399">
        <v>27.74</v>
      </c>
      <c r="N1399">
        <v>75.38</v>
      </c>
      <c r="O1399">
        <v>7.6</v>
      </c>
      <c r="P1399">
        <v>-212</v>
      </c>
      <c r="Q1399">
        <v>179</v>
      </c>
      <c r="R1399">
        <v>75</v>
      </c>
      <c r="S1399">
        <v>7</v>
      </c>
    </row>
    <row r="1400" spans="1:19" hidden="1" x14ac:dyDescent="0.25">
      <c r="A1400">
        <v>41900154</v>
      </c>
      <c r="B1400" t="s">
        <v>26</v>
      </c>
      <c r="C1400" t="s">
        <v>84</v>
      </c>
      <c r="D1400">
        <v>117</v>
      </c>
      <c r="E1400">
        <v>119</v>
      </c>
      <c r="F1400">
        <v>2</v>
      </c>
      <c r="G1400">
        <v>4</v>
      </c>
      <c r="H1400" s="1">
        <v>1.3425925925925925E-3</v>
      </c>
      <c r="I1400" t="s">
        <v>86</v>
      </c>
      <c r="J1400" t="s">
        <v>83</v>
      </c>
      <c r="K1400" s="2" t="str">
        <f>HYPERLINK("https://www.nba.com/stats/events?CFID=&amp;CFPARAMS=&amp;GameEventID=654&amp;GameID=0041900154&amp;Season=2019-20&amp;flag=1&amp;title=Leonard%2026'%203PT%20%20(26%20PTS)%20(R.%20Jackson%202%20AST)", "26' 3PT  (26 PTS) (R. Jackson 2 AST)")</f>
        <v>26' 3PT  (26 PTS) (R. Jackson 2 AST)</v>
      </c>
      <c r="L1400" s="2" t="str">
        <f>HYPERLINK("https://www.nba.com/game/...-vs-...-0041900154/play-by-play?watchFullGame=true", "LAC vs DAL - Q4 01:56.00")</f>
        <v>LAC vs DAL - Q4 01:56.00</v>
      </c>
      <c r="M1400">
        <v>26.37</v>
      </c>
      <c r="N1400">
        <v>75.64</v>
      </c>
      <c r="O1400">
        <v>11.83</v>
      </c>
      <c r="P1400">
        <v>-191</v>
      </c>
      <c r="Q1400">
        <v>176</v>
      </c>
      <c r="R1400">
        <v>75</v>
      </c>
      <c r="S1400">
        <v>11</v>
      </c>
    </row>
    <row r="1401" spans="1:19" hidden="1" x14ac:dyDescent="0.25">
      <c r="A1401">
        <v>22300325</v>
      </c>
      <c r="B1401" t="s">
        <v>26</v>
      </c>
      <c r="C1401" t="s">
        <v>19</v>
      </c>
      <c r="D1401">
        <v>82</v>
      </c>
      <c r="E1401">
        <v>70</v>
      </c>
      <c r="F1401">
        <v>12</v>
      </c>
      <c r="G1401">
        <v>3</v>
      </c>
      <c r="H1401" s="1">
        <v>5.3819444444444444E-3</v>
      </c>
      <c r="I1401">
        <v>2023</v>
      </c>
      <c r="J1401" t="s">
        <v>83</v>
      </c>
      <c r="K1401" s="2" t="str">
        <f>HYPERLINK("https://www.nba.com/stats/events?CFID=&amp;CFPARAMS=&amp;GameEventID=404&amp;GameID=0022300325&amp;Season=2023-24&amp;flag=1&amp;title=Leonard%2026'%203PT%20%20(20%20PTS)%20(J.%20Harden%2012%20AST)", "26' 3PT  (20 PTS) (J. Harden 12 AST)")</f>
        <v>26' 3PT  (20 PTS) (J. Harden 12 AST)</v>
      </c>
      <c r="L1401" s="2" t="str">
        <f>HYPERLINK("https://www.nba.com/game/...-vs-...-0022300325/play-by-play?watchFullGame=true", "LAC vs GSW - Q3 07:45.00")</f>
        <v>LAC vs GSW - Q3 07:45.00</v>
      </c>
      <c r="M1401">
        <v>26.14</v>
      </c>
      <c r="N1401">
        <v>75.739999999999995</v>
      </c>
      <c r="O1401">
        <v>88.73</v>
      </c>
      <c r="P1401">
        <v>194</v>
      </c>
      <c r="Q1401">
        <v>176</v>
      </c>
      <c r="R1401">
        <v>75</v>
      </c>
      <c r="S1401">
        <v>88</v>
      </c>
    </row>
    <row r="1402" spans="1:19" hidden="1" x14ac:dyDescent="0.25">
      <c r="A1402">
        <v>22300473</v>
      </c>
      <c r="B1402" t="s">
        <v>26</v>
      </c>
      <c r="C1402" t="s">
        <v>19</v>
      </c>
      <c r="D1402">
        <v>48</v>
      </c>
      <c r="E1402">
        <v>33</v>
      </c>
      <c r="F1402">
        <v>15</v>
      </c>
      <c r="G1402">
        <v>2</v>
      </c>
      <c r="H1402" s="1">
        <v>4.9652777777777777E-3</v>
      </c>
      <c r="I1402">
        <v>2023</v>
      </c>
      <c r="J1402" t="s">
        <v>83</v>
      </c>
      <c r="K1402" s="2" t="str">
        <f>HYPERLINK("https://www.nba.com/stats/events?CFID=&amp;CFPARAMS=&amp;GameEventID=204&amp;GameID=0022300473&amp;Season=2023-24&amp;flag=1&amp;title=Leonard%2026'%203PT%20running%20(3%20PTS)%20(D.%20Theis%201%20AST)", "26' 3PT running (3 PTS) (D. Theis 1 AST)")</f>
        <v>26' 3PT running (3 PTS) (D. Theis 1 AST)</v>
      </c>
      <c r="L1402" s="2" t="str">
        <f>HYPERLINK("https://www.nba.com/game/...-vs-...-0022300473/play-by-play?watchFullGame=true", "LAC vs PHX - Q2 07:09.00")</f>
        <v>LAC vs PHX - Q2 07:09.00</v>
      </c>
      <c r="M1402">
        <v>26.09</v>
      </c>
      <c r="N1402">
        <v>75.11</v>
      </c>
      <c r="O1402">
        <v>87.5</v>
      </c>
      <c r="P1402">
        <v>188</v>
      </c>
      <c r="Q1402">
        <v>181</v>
      </c>
      <c r="R1402">
        <v>75</v>
      </c>
      <c r="S1402">
        <v>87</v>
      </c>
    </row>
    <row r="1403" spans="1:19" hidden="1" x14ac:dyDescent="0.25">
      <c r="A1403">
        <v>22400679</v>
      </c>
      <c r="B1403" t="s">
        <v>26</v>
      </c>
      <c r="C1403" t="s">
        <v>19</v>
      </c>
      <c r="D1403">
        <v>40</v>
      </c>
      <c r="E1403">
        <v>32</v>
      </c>
      <c r="F1403">
        <v>8</v>
      </c>
      <c r="G1403">
        <v>2</v>
      </c>
      <c r="H1403" s="1">
        <v>3.3912037037037036E-3</v>
      </c>
      <c r="I1403">
        <v>2024</v>
      </c>
      <c r="J1403" t="s">
        <v>83</v>
      </c>
      <c r="K1403" s="2" t="str">
        <f>HYPERLINK("https://www.nba.com/stats/events?CFID=&amp;CFPARAMS=&amp;GameEventID=243&amp;GameID=0022400679&amp;Season=2024-25&amp;flag=1&amp;title=Leonard%2025'%203PT%20%20(9%20PTS)", "25' 3PT  (9 PTS)")</f>
        <v>25' 3PT  (9 PTS)</v>
      </c>
      <c r="L1403" s="2" t="str">
        <f>HYPERLINK("https://www.nba.com/game/...-vs-...-0022400679/play-by-play?watchFullGame=true", "LAC vs CHA - Q2 04:53.00")</f>
        <v>LAC vs CHA - Q2 04:53.00</v>
      </c>
      <c r="M1403">
        <v>25.58</v>
      </c>
      <c r="N1403">
        <v>75.900000000000006</v>
      </c>
      <c r="O1403">
        <v>87.5</v>
      </c>
      <c r="P1403">
        <v>188</v>
      </c>
      <c r="Q1403">
        <v>174</v>
      </c>
      <c r="R1403">
        <v>75</v>
      </c>
      <c r="S1403">
        <v>87</v>
      </c>
    </row>
    <row r="1404" spans="1:19" hidden="1" x14ac:dyDescent="0.25">
      <c r="A1404">
        <v>21900618</v>
      </c>
      <c r="B1404" t="s">
        <v>18</v>
      </c>
      <c r="C1404" t="s">
        <v>84</v>
      </c>
      <c r="D1404">
        <v>7</v>
      </c>
      <c r="E1404">
        <v>5</v>
      </c>
      <c r="F1404">
        <v>2</v>
      </c>
      <c r="G1404">
        <v>1</v>
      </c>
      <c r="H1404" s="1">
        <v>7.3842592592592597E-3</v>
      </c>
      <c r="I1404">
        <v>2019</v>
      </c>
      <c r="J1404" t="s">
        <v>83</v>
      </c>
      <c r="K1404" s="2" t="str">
        <f>HYPERLINK("https://www.nba.com/stats/events?CFID=&amp;CFPARAMS=&amp;GameEventID=14&amp;GameID=0021900618&amp;Season=2019-20&amp;flag=1&amp;title=Leonard%2022'%20jumpshot%20(2%20PTS)", "22' jumpshot (2 PTS)")</f>
        <v>22' jumpshot (2 PTS)</v>
      </c>
      <c r="L1404" s="2" t="str">
        <f>HYPERLINK("https://www.nba.com/game/...-vs-...-0021900618/play-by-play?watchFullGame=true", "LAC vs ORL - Q1 10:38.00")</f>
        <v>LAC vs ORL - Q1 10:38.00</v>
      </c>
      <c r="M1404">
        <v>22.13</v>
      </c>
      <c r="N1404">
        <v>75.08</v>
      </c>
      <c r="O1404">
        <v>26.4</v>
      </c>
      <c r="P1404">
        <v>-118</v>
      </c>
      <c r="Q1404">
        <v>182</v>
      </c>
      <c r="R1404">
        <v>75</v>
      </c>
      <c r="S1404">
        <v>26</v>
      </c>
    </row>
    <row r="1405" spans="1:19" hidden="1" x14ac:dyDescent="0.25">
      <c r="A1405">
        <v>22000576</v>
      </c>
      <c r="B1405" t="s">
        <v>18</v>
      </c>
      <c r="C1405" t="s">
        <v>19</v>
      </c>
      <c r="D1405">
        <v>20</v>
      </c>
      <c r="E1405">
        <v>17</v>
      </c>
      <c r="F1405">
        <v>3</v>
      </c>
      <c r="G1405">
        <v>1</v>
      </c>
      <c r="H1405" s="1">
        <v>2.488425925925926E-3</v>
      </c>
      <c r="I1405">
        <v>2020</v>
      </c>
      <c r="J1405" t="s">
        <v>83</v>
      </c>
      <c r="K1405" s="2" t="str">
        <f>HYPERLINK("https://www.nba.com/stats/events?CFID=&amp;CFPARAMS=&amp;GameEventID=110&amp;GameID=0022000576&amp;Season=2020-21&amp;flag=1&amp;title=Leonard%2020'%20pullup%20Jump%20Shot%20(6%20PTS)", "20' pullup Jump Shot (6 PTS)")</f>
        <v>20' pullup Jump Shot (6 PTS)</v>
      </c>
      <c r="L1405" s="2" t="str">
        <f>HYPERLINK("https://www.nba.com/game/...-vs-...-0022000576/play-by-play?watchFullGame=true", "LAC vs GSW - Q1 03:35.00")</f>
        <v>LAC vs GSW - Q1 03:35.00</v>
      </c>
      <c r="M1405">
        <v>20.74</v>
      </c>
      <c r="N1405">
        <v>75.25</v>
      </c>
      <c r="O1405">
        <v>29.48</v>
      </c>
      <c r="P1405">
        <v>-103</v>
      </c>
      <c r="Q1405">
        <v>180</v>
      </c>
      <c r="R1405">
        <v>75</v>
      </c>
      <c r="S1405">
        <v>29</v>
      </c>
    </row>
    <row r="1406" spans="1:19" hidden="1" x14ac:dyDescent="0.25">
      <c r="A1406">
        <v>22200701</v>
      </c>
      <c r="B1406" t="s">
        <v>18</v>
      </c>
      <c r="C1406" t="s">
        <v>19</v>
      </c>
      <c r="D1406">
        <v>22</v>
      </c>
      <c r="E1406">
        <v>16</v>
      </c>
      <c r="F1406">
        <v>6</v>
      </c>
      <c r="G1406">
        <v>1</v>
      </c>
      <c r="H1406" s="1">
        <v>6.3888888888888893E-4</v>
      </c>
      <c r="I1406">
        <v>2022</v>
      </c>
      <c r="J1406" t="s">
        <v>83</v>
      </c>
      <c r="K1406" s="2" t="str">
        <f>HYPERLINK("https://www.nba.com/stats/events?CFID=&amp;CFPARAMS=&amp;GameEventID=138&amp;GameID=0022200701&amp;Season=2022-23&amp;flag=1&amp;title=Leonard%2019'%20pullup%20Jump%20Shot%20(7%20PTS)", "19' pullup Jump Shot (7 PTS)")</f>
        <v>19' pullup Jump Shot (7 PTS)</v>
      </c>
      <c r="L1406" s="2" t="str">
        <f>HYPERLINK("https://www.nba.com/game/...-vs-...-0022200701/play-by-play?watchFullGame=true", "LAC vs DAL - Q1 00:55.20")</f>
        <v>LAC vs DAL - Q1 00:55.20</v>
      </c>
      <c r="M1406">
        <v>19.760000000000002</v>
      </c>
      <c r="N1406">
        <v>75.11</v>
      </c>
      <c r="O1406">
        <v>34.31</v>
      </c>
      <c r="P1406">
        <v>-78</v>
      </c>
      <c r="Q1406">
        <v>181</v>
      </c>
      <c r="R1406">
        <v>75</v>
      </c>
      <c r="S1406">
        <v>34</v>
      </c>
    </row>
    <row r="1407" spans="1:19" hidden="1" x14ac:dyDescent="0.25">
      <c r="A1407">
        <v>22200617</v>
      </c>
      <c r="B1407" t="s">
        <v>18</v>
      </c>
      <c r="C1407" t="s">
        <v>19</v>
      </c>
      <c r="D1407">
        <v>29</v>
      </c>
      <c r="E1407">
        <v>18</v>
      </c>
      <c r="F1407">
        <v>11</v>
      </c>
      <c r="G1407">
        <v>1</v>
      </c>
      <c r="H1407" s="1">
        <v>1.1111111111111111E-3</v>
      </c>
      <c r="I1407">
        <v>2022</v>
      </c>
      <c r="J1407" t="s">
        <v>83</v>
      </c>
      <c r="K1407" s="2" t="str">
        <f>HYPERLINK("https://www.nba.com/stats/events?CFID=&amp;CFPARAMS=&amp;GameEventID=110&amp;GameID=0022200617&amp;Season=2022-23&amp;flag=1&amp;title=Leonard%2018'%20step%20back%20Jump%20Shot%20(11%20PTS)", "18' step back Jump Shot (11 PTS)")</f>
        <v>18' step back Jump Shot (11 PTS)</v>
      </c>
      <c r="L1407" s="2" t="str">
        <f>HYPERLINK("https://www.nba.com/game/...-vs-...-0022200617/play-by-play?watchFullGame=true", "LAC vs DAL - Q1 01:36.00")</f>
        <v>LAC vs DAL - Q1 01:36.00</v>
      </c>
      <c r="M1407">
        <v>18.329999999999998</v>
      </c>
      <c r="N1407">
        <v>75.739999999999995</v>
      </c>
      <c r="O1407">
        <v>39.46</v>
      </c>
      <c r="P1407">
        <v>-53</v>
      </c>
      <c r="Q1407">
        <v>176</v>
      </c>
      <c r="R1407">
        <v>75</v>
      </c>
      <c r="S1407">
        <v>39</v>
      </c>
    </row>
    <row r="1408" spans="1:19" hidden="1" x14ac:dyDescent="0.25">
      <c r="A1408">
        <v>22000116</v>
      </c>
      <c r="B1408" t="s">
        <v>18</v>
      </c>
      <c r="C1408" t="s">
        <v>19</v>
      </c>
      <c r="D1408">
        <v>66</v>
      </c>
      <c r="E1408">
        <v>62</v>
      </c>
      <c r="F1408">
        <v>4</v>
      </c>
      <c r="G1408">
        <v>3</v>
      </c>
      <c r="H1408" s="1">
        <v>4.4444444444444444E-3</v>
      </c>
      <c r="I1408">
        <v>2020</v>
      </c>
      <c r="J1408" t="s">
        <v>83</v>
      </c>
      <c r="K1408" s="2" t="str">
        <f>HYPERLINK("https://www.nba.com/stats/events?CFID=&amp;CFPARAMS=&amp;GameEventID=415&amp;GameID=0022000116&amp;Season=2020-21&amp;flag=1&amp;title=Leonard%2017'%20Jump%20Shot%20(11%20PTS)%20(P.%20Beverley%202%20AST)", "17' Jump Shot (11 PTS) (P. Beverley 2 AST)")</f>
        <v>17' Jump Shot (11 PTS) (P. Beverley 2 AST)</v>
      </c>
      <c r="L1408" s="2" t="str">
        <f>HYPERLINK("https://www.nba.com/game/...-vs-...-0022000116/play-by-play?watchFullGame=true", "LAC vs GSW - Q3 06:24.00")</f>
        <v>LAC vs GSW - Q3 06:24.00</v>
      </c>
      <c r="M1408">
        <v>17.52</v>
      </c>
      <c r="N1408">
        <v>75.77</v>
      </c>
      <c r="O1408">
        <v>50.31</v>
      </c>
      <c r="P1408">
        <v>2</v>
      </c>
      <c r="Q1408">
        <v>175</v>
      </c>
      <c r="R1408">
        <v>75</v>
      </c>
      <c r="S1408">
        <v>50</v>
      </c>
    </row>
    <row r="1409" spans="1:19" hidden="1" x14ac:dyDescent="0.25">
      <c r="A1409">
        <v>22200639</v>
      </c>
      <c r="B1409" t="s">
        <v>18</v>
      </c>
      <c r="C1409" t="s">
        <v>19</v>
      </c>
      <c r="D1409">
        <v>50</v>
      </c>
      <c r="E1409">
        <v>45</v>
      </c>
      <c r="F1409">
        <v>5</v>
      </c>
      <c r="G1409">
        <v>2</v>
      </c>
      <c r="H1409" s="1">
        <v>3.8425925925925928E-3</v>
      </c>
      <c r="I1409">
        <v>2022</v>
      </c>
      <c r="J1409" t="s">
        <v>83</v>
      </c>
      <c r="K1409" s="2" t="str">
        <f>HYPERLINK("https://www.nba.com/stats/events?CFID=&amp;CFPARAMS=&amp;GameEventID=220&amp;GameID=0022200639&amp;Season=2022-23&amp;flag=1&amp;title=Leonard%2017'%20pullup%20Jump%20Shot%20(12%20PTS)%20(I.%20Zubac%201%20AST)", "17' pullup Jump Shot (12 PTS) (I. Zubac 1 AST)")</f>
        <v>17' pullup Jump Shot (12 PTS) (I. Zubac 1 AST)</v>
      </c>
      <c r="L1409" s="2" t="str">
        <f>HYPERLINK("https://www.nba.com/game/...-vs-...-0022200639/play-by-play?watchFullGame=true", "LAC vs DEN - Q2 05:32.00")</f>
        <v>LAC vs DEN - Q2 05:32.00</v>
      </c>
      <c r="M1409">
        <v>17.690000000000001</v>
      </c>
      <c r="N1409">
        <v>75.61</v>
      </c>
      <c r="O1409">
        <v>51.23</v>
      </c>
      <c r="P1409">
        <v>6</v>
      </c>
      <c r="Q1409">
        <v>177</v>
      </c>
      <c r="R1409">
        <v>75</v>
      </c>
      <c r="S1409">
        <v>51</v>
      </c>
    </row>
    <row r="1410" spans="1:19" hidden="1" x14ac:dyDescent="0.25">
      <c r="A1410">
        <v>21901258</v>
      </c>
      <c r="B1410" t="s">
        <v>18</v>
      </c>
      <c r="C1410" t="s">
        <v>84</v>
      </c>
      <c r="D1410">
        <v>82</v>
      </c>
      <c r="E1410">
        <v>85</v>
      </c>
      <c r="F1410">
        <v>3</v>
      </c>
      <c r="G1410">
        <v>3</v>
      </c>
      <c r="H1410" s="1">
        <v>2.5462962962962965E-3</v>
      </c>
      <c r="I1410">
        <v>2019</v>
      </c>
      <c r="J1410" t="s">
        <v>83</v>
      </c>
      <c r="K1410" s="2" t="str">
        <f>HYPERLINK("https://www.nba.com/stats/events?CFID=&amp;CFPARAMS=&amp;GameEventID=415&amp;GameID=0021901258&amp;Season=2019-20&amp;flag=1&amp;title=Leonard%2020'%20jumpshot%20(14%20PTS)", "20' jumpshot (14 PTS)")</f>
        <v>20' jumpshot (14 PTS)</v>
      </c>
      <c r="L1410" s="2" t="str">
        <f>HYPERLINK("https://www.nba.com/game/...-vs-...-0021901258/play-by-play?watchFullGame=true", "LAC vs PHX - Q3 03:40.00")</f>
        <v>LAC vs PHX - Q3 03:40.00</v>
      </c>
      <c r="M1410">
        <v>20.010000000000002</v>
      </c>
      <c r="N1410">
        <v>75.38</v>
      </c>
      <c r="O1410">
        <v>65.510000000000005</v>
      </c>
      <c r="P1410">
        <v>78</v>
      </c>
      <c r="Q1410">
        <v>179</v>
      </c>
      <c r="R1410">
        <v>75</v>
      </c>
      <c r="S1410">
        <v>65</v>
      </c>
    </row>
    <row r="1411" spans="1:19" hidden="1" x14ac:dyDescent="0.25">
      <c r="A1411">
        <v>41900232</v>
      </c>
      <c r="B1411" t="s">
        <v>18</v>
      </c>
      <c r="C1411" t="s">
        <v>84</v>
      </c>
      <c r="D1411">
        <v>23</v>
      </c>
      <c r="E1411">
        <v>41</v>
      </c>
      <c r="F1411">
        <v>18</v>
      </c>
      <c r="G1411">
        <v>1</v>
      </c>
      <c r="H1411" s="1">
        <v>5.9259259259259258E-4</v>
      </c>
      <c r="I1411" t="s">
        <v>85</v>
      </c>
      <c r="J1411" t="s">
        <v>83</v>
      </c>
      <c r="K1411" s="2" t="str">
        <f>HYPERLINK("https://www.nba.com/stats/events?CFID=&amp;CFPARAMS=&amp;GameEventID=134&amp;GameID=0041900232&amp;Season=2019-20&amp;flag=1&amp;title=Leonard%2021'%20jumpshot%20(6%20PTS)%20(R.%20Jackson%201%20AST)", "21' jumpshot (6 PTS) (R. Jackson 1 AST)")</f>
        <v>21' jumpshot (6 PTS) (R. Jackson 1 AST)</v>
      </c>
      <c r="L1411" s="2" t="str">
        <f>HYPERLINK("https://www.nba.com/game/...-vs-...-0041900232/play-by-play?watchFullGame=true", "LAC vs DEN - Q1 00:51.20")</f>
        <v>LAC vs DEN - Q1 00:51.20</v>
      </c>
      <c r="M1411">
        <v>21.15</v>
      </c>
      <c r="N1411">
        <v>75.900000000000006</v>
      </c>
      <c r="O1411">
        <v>72.37</v>
      </c>
      <c r="P1411">
        <v>112</v>
      </c>
      <c r="Q1411">
        <v>174</v>
      </c>
      <c r="R1411">
        <v>75</v>
      </c>
      <c r="S1411">
        <v>72</v>
      </c>
    </row>
    <row r="1412" spans="1:19" hidden="1" x14ac:dyDescent="0.25">
      <c r="A1412">
        <v>22201069</v>
      </c>
      <c r="B1412" t="s">
        <v>18</v>
      </c>
      <c r="C1412" t="s">
        <v>19</v>
      </c>
      <c r="D1412">
        <v>57</v>
      </c>
      <c r="E1412">
        <v>50</v>
      </c>
      <c r="F1412">
        <v>7</v>
      </c>
      <c r="G1412">
        <v>2</v>
      </c>
      <c r="H1412" s="1">
        <v>1.5972222222222223E-3</v>
      </c>
      <c r="I1412">
        <v>2022</v>
      </c>
      <c r="J1412" t="s">
        <v>83</v>
      </c>
      <c r="K1412" s="2" t="str">
        <f>HYPERLINK("https://www.nba.com/stats/events?CFID=&amp;CFPARAMS=&amp;GameEventID=276&amp;GameID=0022201069&amp;Season=2022-23&amp;flag=1&amp;title=Leonard%2021'%20pullup%20Jump%20Shot%20(13%20PTS)%20(I.%20Zubac%201%20AST)", "21' pullup Jump Shot (13 PTS) (I. Zubac 1 AST)")</f>
        <v>21' pullup Jump Shot (13 PTS) (I. Zubac 1 AST)</v>
      </c>
      <c r="L1412" s="2" t="str">
        <f>HYPERLINK("https://www.nba.com/game/...-vs-...-0022201069/play-by-play?watchFullGame=true", "LAC vs POR - Q2 02:18.00")</f>
        <v>LAC vs POR - Q2 02:18.00</v>
      </c>
      <c r="M1412">
        <v>21.21</v>
      </c>
      <c r="N1412">
        <v>75.38</v>
      </c>
      <c r="O1412">
        <v>72.790000000000006</v>
      </c>
      <c r="P1412">
        <v>114</v>
      </c>
      <c r="Q1412">
        <v>179</v>
      </c>
      <c r="R1412">
        <v>75</v>
      </c>
      <c r="S1412">
        <v>72</v>
      </c>
    </row>
    <row r="1413" spans="1:19" hidden="1" x14ac:dyDescent="0.25">
      <c r="A1413">
        <v>22200649</v>
      </c>
      <c r="B1413" t="s">
        <v>26</v>
      </c>
      <c r="C1413" t="s">
        <v>19</v>
      </c>
      <c r="D1413">
        <v>54</v>
      </c>
      <c r="E1413">
        <v>55</v>
      </c>
      <c r="F1413">
        <v>1</v>
      </c>
      <c r="G1413">
        <v>2</v>
      </c>
      <c r="H1413" s="1">
        <v>1.3194444444444445E-3</v>
      </c>
      <c r="I1413">
        <v>2022</v>
      </c>
      <c r="J1413" t="s">
        <v>83</v>
      </c>
      <c r="K1413" s="2" t="str">
        <f>HYPERLINK("https://www.nba.com/stats/events?CFID=&amp;CFPARAMS=&amp;GameEventID=290&amp;GameID=0022200649&amp;Season=2022-23&amp;flag=1&amp;title=Leonard%2026'%203PT%20%20(16%20PTS)%20(T.%20Mann%204%20AST)", "26' 3PT  (16 PTS) (T. Mann 4 AST)")</f>
        <v>26' 3PT  (16 PTS) (T. Mann 4 AST)</v>
      </c>
      <c r="L1413" s="2" t="str">
        <f>HYPERLINK("https://www.nba.com/game/...-vs-...-0022200649/play-by-play?watchFullGame=true", "LAC vs HOU - Q2 01:54.00")</f>
        <v>LAC vs HOU - Q2 01:54.00</v>
      </c>
      <c r="M1413">
        <v>26.44</v>
      </c>
      <c r="N1413">
        <v>76.92</v>
      </c>
      <c r="O1413">
        <v>91.42</v>
      </c>
      <c r="P1413">
        <v>207</v>
      </c>
      <c r="Q1413">
        <v>164</v>
      </c>
      <c r="R1413">
        <v>76</v>
      </c>
      <c r="S1413">
        <v>91</v>
      </c>
    </row>
    <row r="1414" spans="1:19" hidden="1" x14ac:dyDescent="0.25">
      <c r="A1414">
        <v>41900237</v>
      </c>
      <c r="B1414" t="s">
        <v>26</v>
      </c>
      <c r="C1414" t="s">
        <v>84</v>
      </c>
      <c r="D1414">
        <v>48</v>
      </c>
      <c r="E1414">
        <v>38</v>
      </c>
      <c r="F1414">
        <v>10</v>
      </c>
      <c r="G1414">
        <v>2</v>
      </c>
      <c r="H1414" s="1">
        <v>3.4375E-3</v>
      </c>
      <c r="I1414" t="s">
        <v>85</v>
      </c>
      <c r="J1414" t="s">
        <v>83</v>
      </c>
      <c r="K1414" s="2" t="str">
        <f>HYPERLINK("https://www.nba.com/stats/events?CFID=&amp;CFPARAMS=&amp;GameEventID=261&amp;GameID=0041900237&amp;Season=2019-20&amp;flag=1&amp;title=Leonard%2026'%203PT%20%20(10%20PTS)%20(P.%20Beverley%206%20AST)", "26' 3PT  (10 PTS) (P. Beverley 6 AST)")</f>
        <v>26' 3PT  (10 PTS) (P. Beverley 6 AST)</v>
      </c>
      <c r="L1414" s="2" t="str">
        <f>HYPERLINK("https://www.nba.com/game/...-vs-...-0041900237/play-by-play?watchFullGame=true", "LAC vs DEN - Q2 04:57.00")</f>
        <v>LAC vs DEN - Q2 04:57.00</v>
      </c>
      <c r="M1414">
        <v>26.14</v>
      </c>
      <c r="N1414">
        <v>76.430000000000007</v>
      </c>
      <c r="O1414">
        <v>11.1</v>
      </c>
      <c r="P1414">
        <v>-195</v>
      </c>
      <c r="Q1414">
        <v>169</v>
      </c>
      <c r="R1414">
        <v>76</v>
      </c>
      <c r="S1414">
        <v>11</v>
      </c>
    </row>
    <row r="1415" spans="1:19" hidden="1" x14ac:dyDescent="0.25">
      <c r="A1415">
        <v>22200945</v>
      </c>
      <c r="B1415" t="s">
        <v>26</v>
      </c>
      <c r="C1415" t="s">
        <v>19</v>
      </c>
      <c r="D1415">
        <v>15</v>
      </c>
      <c r="E1415">
        <v>13</v>
      </c>
      <c r="F1415">
        <v>2</v>
      </c>
      <c r="G1415">
        <v>1</v>
      </c>
      <c r="H1415" s="1">
        <v>3.8310185185185183E-3</v>
      </c>
      <c r="I1415">
        <v>2022</v>
      </c>
      <c r="J1415" t="s">
        <v>83</v>
      </c>
      <c r="K1415" s="2" t="str">
        <f>HYPERLINK("https://www.nba.com/stats/events?CFID=&amp;CFPARAMS=&amp;GameEventID=80&amp;GameID=0022200945&amp;Season=2022-23&amp;flag=1&amp;title=Leonard%2025'%203PT%20%20(3%20PTS)%20(P.%20George%201%20AST)", "25' 3PT  (3 PTS) (P. George 1 AST)")</f>
        <v>25' 3PT  (3 PTS) (P. George 1 AST)</v>
      </c>
      <c r="L1415" s="2" t="str">
        <f>HYPERLINK("https://www.nba.com/game/...-vs-...-0022200945/play-by-play?watchFullGame=true", "LAC vs GSW - Q1 05:31.00")</f>
        <v>LAC vs GSW - Q1 05:31.00</v>
      </c>
      <c r="M1415">
        <v>25.23</v>
      </c>
      <c r="N1415">
        <v>76.17</v>
      </c>
      <c r="O1415">
        <v>87.01</v>
      </c>
      <c r="P1415">
        <v>185</v>
      </c>
      <c r="Q1415">
        <v>172</v>
      </c>
      <c r="R1415">
        <v>76</v>
      </c>
      <c r="S1415">
        <v>87</v>
      </c>
    </row>
    <row r="1416" spans="1:19" hidden="1" x14ac:dyDescent="0.25">
      <c r="A1416">
        <v>22300280</v>
      </c>
      <c r="B1416" t="s">
        <v>26</v>
      </c>
      <c r="C1416" t="s">
        <v>19</v>
      </c>
      <c r="D1416">
        <v>76</v>
      </c>
      <c r="E1416">
        <v>85</v>
      </c>
      <c r="F1416">
        <v>9</v>
      </c>
      <c r="G1416">
        <v>3</v>
      </c>
      <c r="H1416" s="1">
        <v>3.0439814814814813E-3</v>
      </c>
      <c r="I1416">
        <v>2023</v>
      </c>
      <c r="J1416" t="s">
        <v>83</v>
      </c>
      <c r="K1416" s="2" t="str">
        <f>HYPERLINK("https://www.nba.com/stats/events?CFID=&amp;CFPARAMS=&amp;GameEventID=423&amp;GameID=0022300280&amp;Season=2023-24&amp;flag=1&amp;title=Leonard%2025'%203PT%20%20(12%20PTS)%20(J.%20Harden%206%20AST)", "25' 3PT  (12 PTS) (J. Harden 6 AST)")</f>
        <v>25' 3PT  (12 PTS) (J. Harden 6 AST)</v>
      </c>
      <c r="L1416" s="2" t="str">
        <f>HYPERLINK("https://www.nba.com/game/...-vs-...-0022300280/play-by-play?watchFullGame=true", "LAC vs GSW - Q3 04:23.00")</f>
        <v>LAC vs GSW - Q3 04:23.00</v>
      </c>
      <c r="M1416">
        <v>25.13</v>
      </c>
      <c r="N1416">
        <v>76.92</v>
      </c>
      <c r="O1416">
        <v>87.99</v>
      </c>
      <c r="P1416">
        <v>190</v>
      </c>
      <c r="Q1416">
        <v>164</v>
      </c>
      <c r="R1416">
        <v>76</v>
      </c>
      <c r="S1416">
        <v>87</v>
      </c>
    </row>
    <row r="1417" spans="1:19" hidden="1" x14ac:dyDescent="0.25">
      <c r="A1417">
        <v>22000605</v>
      </c>
      <c r="B1417" t="s">
        <v>18</v>
      </c>
      <c r="C1417" t="s">
        <v>19</v>
      </c>
      <c r="D1417">
        <v>8</v>
      </c>
      <c r="E1417">
        <v>3</v>
      </c>
      <c r="F1417">
        <v>5</v>
      </c>
      <c r="G1417">
        <v>1</v>
      </c>
      <c r="H1417" s="1">
        <v>6.5972222222222222E-3</v>
      </c>
      <c r="I1417">
        <v>2020</v>
      </c>
      <c r="J1417" t="s">
        <v>83</v>
      </c>
      <c r="K1417" s="2" t="str">
        <f>HYPERLINK("https://www.nba.com/stats/events?CFID=&amp;CFPARAMS=&amp;GameEventID=22&amp;GameID=0022000605&amp;Season=2020-21&amp;flag=1&amp;title=Leonard%2022'%20Jump%20Shot%20(4%20PTS)", "22' Jump Shot (4 PTS)")</f>
        <v>22' Jump Shot (4 PTS)</v>
      </c>
      <c r="L1417" s="2" t="str">
        <f>HYPERLINK("https://www.nba.com/game/...-vs-...-0022000605/play-by-play?watchFullGame=true", "LAC vs DAL - Q1 09:30.00")</f>
        <v>LAC vs DAL - Q1 09:30.00</v>
      </c>
      <c r="M1417">
        <v>22.36</v>
      </c>
      <c r="N1417">
        <v>76.69</v>
      </c>
      <c r="O1417">
        <v>20.170000000000002</v>
      </c>
      <c r="P1417">
        <v>-149</v>
      </c>
      <c r="Q1417">
        <v>167</v>
      </c>
      <c r="R1417">
        <v>76</v>
      </c>
      <c r="S1417">
        <v>20</v>
      </c>
    </row>
    <row r="1418" spans="1:19" hidden="1" x14ac:dyDescent="0.25">
      <c r="A1418">
        <v>22000308</v>
      </c>
      <c r="B1418" t="s">
        <v>18</v>
      </c>
      <c r="C1418" t="s">
        <v>19</v>
      </c>
      <c r="D1418">
        <v>96</v>
      </c>
      <c r="E1418">
        <v>84</v>
      </c>
      <c r="F1418">
        <v>12</v>
      </c>
      <c r="G1418">
        <v>3</v>
      </c>
      <c r="H1418" s="1">
        <v>1.9675925925925924E-3</v>
      </c>
      <c r="I1418">
        <v>2020</v>
      </c>
      <c r="J1418" t="s">
        <v>83</v>
      </c>
      <c r="K1418" s="2" t="str">
        <f>HYPERLINK("https://www.nba.com/stats/events?CFID=&amp;CFPARAMS=&amp;GameEventID=403&amp;GameID=0022000308&amp;Season=2020-21&amp;flag=1&amp;title=Leonard%2019'%20pullup%20Jump%20Shot%20(22%20PTS)", "19' pullup Jump Shot (22 PTS)")</f>
        <v>19' pullup Jump Shot (22 PTS)</v>
      </c>
      <c r="L1418" s="2" t="str">
        <f>HYPERLINK("https://www.nba.com/game/...-vs-...-0022000308/play-by-play?watchFullGame=true", "LAC vs NYK - Q3 02:50.00")</f>
        <v>LAC vs NYK - Q3 02:50.00</v>
      </c>
      <c r="M1418">
        <v>19.68</v>
      </c>
      <c r="N1418">
        <v>76.17</v>
      </c>
      <c r="O1418">
        <v>30.71</v>
      </c>
      <c r="P1418">
        <v>-96</v>
      </c>
      <c r="Q1418">
        <v>172</v>
      </c>
      <c r="R1418">
        <v>76</v>
      </c>
      <c r="S1418">
        <v>30</v>
      </c>
    </row>
    <row r="1419" spans="1:19" hidden="1" x14ac:dyDescent="0.25">
      <c r="A1419">
        <v>21900068</v>
      </c>
      <c r="B1419" t="s">
        <v>18</v>
      </c>
      <c r="C1419" t="s">
        <v>84</v>
      </c>
      <c r="D1419">
        <v>95</v>
      </c>
      <c r="E1419">
        <v>83</v>
      </c>
      <c r="F1419">
        <v>12</v>
      </c>
      <c r="G1419">
        <v>4</v>
      </c>
      <c r="H1419" s="1">
        <v>4.2245370370370371E-3</v>
      </c>
      <c r="I1419">
        <v>2019</v>
      </c>
      <c r="J1419" t="s">
        <v>83</v>
      </c>
      <c r="K1419" s="2" t="str">
        <f>HYPERLINK("https://www.nba.com/stats/events?CFID=&amp;CFPARAMS=&amp;GameEventID=609&amp;GameID=0021900068&amp;Season=2019-20&amp;flag=1&amp;title=[LAC]%20Leonard%20jumpshot:%20Made%20(36%20PTS)", "[LAC] Leonard jumpshot: Made (36 PTS)")</f>
        <v>[LAC] Leonard jumpshot: Made (36 PTS)</v>
      </c>
      <c r="L1419" s="2" t="str">
        <f>HYPERLINK("https://www.nba.com/game/...-vs-...-0021900068/play-by-play?watchFullGame=true", "LAC vs SAS - Q4 06:05.00")</f>
        <v>LAC vs SAS - Q4 06:05.00</v>
      </c>
      <c r="M1419">
        <v>19.73</v>
      </c>
      <c r="N1419">
        <v>76.66</v>
      </c>
      <c r="O1419">
        <v>30.81</v>
      </c>
      <c r="P1419">
        <v>-96</v>
      </c>
      <c r="Q1419">
        <v>167</v>
      </c>
      <c r="R1419">
        <v>76</v>
      </c>
      <c r="S1419">
        <v>30</v>
      </c>
    </row>
    <row r="1420" spans="1:19" hidden="1" x14ac:dyDescent="0.25">
      <c r="A1420">
        <v>22300799</v>
      </c>
      <c r="B1420" t="s">
        <v>18</v>
      </c>
      <c r="C1420" t="s">
        <v>19</v>
      </c>
      <c r="D1420">
        <v>65</v>
      </c>
      <c r="E1420">
        <v>66</v>
      </c>
      <c r="F1420">
        <v>1</v>
      </c>
      <c r="G1420">
        <v>3</v>
      </c>
      <c r="H1420" s="1">
        <v>6.7592592592592591E-3</v>
      </c>
      <c r="I1420">
        <v>2023</v>
      </c>
      <c r="J1420" t="s">
        <v>83</v>
      </c>
      <c r="K1420" s="2" t="str">
        <f>HYPERLINK("https://www.nba.com/stats/events?CFID=&amp;CFPARAMS=&amp;GameEventID=338&amp;GameID=0022300799&amp;Season=2023-24&amp;flag=1&amp;title=Leonard%2018'%20pullup%20Jump%20Shot%20(16%20PTS)", "18' pullup Jump Shot (16 PTS)")</f>
        <v>18' pullup Jump Shot (16 PTS)</v>
      </c>
      <c r="L1420" s="2" t="str">
        <f>HYPERLINK("https://www.nba.com/game/...-vs-...-0022300799/play-by-play?watchFullGame=true", "LAC vs OKC - Q3 09:44.00")</f>
        <v>LAC vs OKC - Q3 09:44.00</v>
      </c>
      <c r="M1420">
        <v>18.190000000000001</v>
      </c>
      <c r="N1420">
        <v>76.95</v>
      </c>
      <c r="O1420">
        <v>34.31</v>
      </c>
      <c r="P1420">
        <v>-78</v>
      </c>
      <c r="Q1420">
        <v>164</v>
      </c>
      <c r="R1420">
        <v>76</v>
      </c>
      <c r="S1420">
        <v>34</v>
      </c>
    </row>
    <row r="1421" spans="1:19" hidden="1" x14ac:dyDescent="0.25">
      <c r="A1421">
        <v>22400911</v>
      </c>
      <c r="B1421" t="s">
        <v>18</v>
      </c>
      <c r="C1421" t="s">
        <v>19</v>
      </c>
      <c r="D1421">
        <v>44</v>
      </c>
      <c r="E1421">
        <v>45</v>
      </c>
      <c r="F1421">
        <v>1</v>
      </c>
      <c r="G1421">
        <v>2</v>
      </c>
      <c r="H1421" s="1">
        <v>3.0092592592592593E-3</v>
      </c>
      <c r="I1421">
        <v>2024</v>
      </c>
      <c r="J1421" t="s">
        <v>83</v>
      </c>
      <c r="K1421" s="2" t="str">
        <f>HYPERLINK("https://www.nba.com/stats/events?CFID=&amp;CFPARAMS=&amp;GameEventID=237&amp;GameID=0022400911&amp;Season=2024-25&amp;flag=1&amp;title=Leonard%2017'%20Jump%20Shot%20(7%20PTS)%20(Dunn%202%20AST)", "17' Jump Shot (7 PTS) (K. Dunn 2 AST)")</f>
        <v>17' Jump Shot (7 PTS) (K. Dunn 2 AST)</v>
      </c>
      <c r="L1421" s="2" t="str">
        <f>HYPERLINK("https://www.nba.com/game/...-vs-...-0022400911/play-by-play?watchFullGame=true", "LAC vs NYK - Q2 04:20.00")</f>
        <v>LAC vs NYK - Q2 04:20.00</v>
      </c>
      <c r="M1421">
        <v>17.93</v>
      </c>
      <c r="N1421">
        <v>76.69</v>
      </c>
      <c r="O1421">
        <v>36.76</v>
      </c>
      <c r="P1421">
        <v>-66</v>
      </c>
      <c r="Q1421">
        <v>167</v>
      </c>
      <c r="R1421">
        <v>76</v>
      </c>
      <c r="S1421">
        <v>36</v>
      </c>
    </row>
    <row r="1422" spans="1:19" hidden="1" x14ac:dyDescent="0.25">
      <c r="A1422">
        <v>21900516</v>
      </c>
      <c r="B1422" t="s">
        <v>18</v>
      </c>
      <c r="C1422" t="s">
        <v>84</v>
      </c>
      <c r="D1422">
        <v>64</v>
      </c>
      <c r="E1422">
        <v>58</v>
      </c>
      <c r="F1422">
        <v>6</v>
      </c>
      <c r="G1422">
        <v>2</v>
      </c>
      <c r="H1422" s="1">
        <v>1.2152777777777778E-3</v>
      </c>
      <c r="I1422">
        <v>2019</v>
      </c>
      <c r="J1422" t="s">
        <v>83</v>
      </c>
      <c r="K1422" s="2" t="str">
        <f>HYPERLINK("https://www.nba.com/stats/events?CFID=&amp;CFPARAMS=&amp;GameEventID=333&amp;GameID=0021900516&amp;Season=2019-20&amp;flag=1&amp;title=Leonard%2018'%20jumpshot%20(12%20PTS)", "18' jumpshot (12 PTS)")</f>
        <v>18' jumpshot (12 PTS)</v>
      </c>
      <c r="L1422" s="2" t="str">
        <f>HYPERLINK("https://www.nba.com/game/...-vs-...-0021900516/play-by-play?watchFullGame=true", "LAC vs DET - Q2 01:45.00")</f>
        <v>LAC vs DET - Q2 01:45.00</v>
      </c>
      <c r="M1422">
        <v>18.12</v>
      </c>
      <c r="N1422">
        <v>76.53</v>
      </c>
      <c r="O1422">
        <v>39.64</v>
      </c>
      <c r="P1422">
        <v>-52</v>
      </c>
      <c r="Q1422">
        <v>168</v>
      </c>
      <c r="R1422">
        <v>76</v>
      </c>
      <c r="S1422">
        <v>39</v>
      </c>
    </row>
    <row r="1423" spans="1:19" hidden="1" x14ac:dyDescent="0.25">
      <c r="A1423">
        <v>42000172</v>
      </c>
      <c r="B1423" t="s">
        <v>18</v>
      </c>
      <c r="C1423" t="s">
        <v>19</v>
      </c>
      <c r="D1423">
        <v>47</v>
      </c>
      <c r="E1423">
        <v>47</v>
      </c>
      <c r="F1423">
        <v>0</v>
      </c>
      <c r="G1423">
        <v>2</v>
      </c>
      <c r="H1423" s="1">
        <v>5.4861111111111109E-3</v>
      </c>
      <c r="I1423" t="s">
        <v>91</v>
      </c>
      <c r="J1423" t="s">
        <v>83</v>
      </c>
      <c r="K1423" s="2" t="str">
        <f>HYPERLINK("https://www.nba.com/stats/events?CFID=&amp;CFPARAMS=&amp;GameEventID=200&amp;GameID=0042000172&amp;Season=2020-21&amp;flag=1&amp;title=Leonard%2017'%20pullup%20Jump%20Shot%20(20%20PTS)", "17' pullup Jump Shot (20 PTS)")</f>
        <v>17' pullup Jump Shot (20 PTS)</v>
      </c>
      <c r="L1423" s="2" t="str">
        <f>HYPERLINK("https://www.nba.com/game/...-vs-...-0042000172/play-by-play?watchFullGame=true", "LAC vs DAL - Q2 07:54.00")</f>
        <v>LAC vs DAL - Q2 07:54.00</v>
      </c>
      <c r="M1423">
        <v>17.12</v>
      </c>
      <c r="N1423">
        <v>76.430000000000007</v>
      </c>
      <c r="O1423">
        <v>44.68</v>
      </c>
      <c r="P1423">
        <v>76</v>
      </c>
      <c r="Q1423">
        <v>44</v>
      </c>
      <c r="R1423">
        <v>76</v>
      </c>
      <c r="S1423">
        <v>44</v>
      </c>
    </row>
    <row r="1424" spans="1:19" hidden="1" x14ac:dyDescent="0.25">
      <c r="A1424">
        <v>22200784</v>
      </c>
      <c r="B1424" t="s">
        <v>18</v>
      </c>
      <c r="C1424" t="s">
        <v>19</v>
      </c>
      <c r="D1424">
        <v>73</v>
      </c>
      <c r="E1424">
        <v>55</v>
      </c>
      <c r="F1424">
        <v>18</v>
      </c>
      <c r="G1424">
        <v>3</v>
      </c>
      <c r="H1424" s="1">
        <v>6.122685185185185E-3</v>
      </c>
      <c r="I1424">
        <v>2022</v>
      </c>
      <c r="J1424" t="s">
        <v>83</v>
      </c>
      <c r="K1424" s="2" t="str">
        <f>HYPERLINK("https://www.nba.com/stats/events?CFID=&amp;CFPARAMS=&amp;GameEventID=347&amp;GameID=0022200784&amp;Season=2022-23&amp;flag=1&amp;title=Leonard%2016'%20pullup%20Jump%20Shot%20(13%20PTS)%20(T.%20Mann%203%20AST)", "16' pullup Jump Shot (13 PTS) (T. Mann 3 AST)")</f>
        <v>16' pullup Jump Shot (13 PTS) (T. Mann 3 AST)</v>
      </c>
      <c r="L1424" s="2" t="str">
        <f>HYPERLINK("https://www.nba.com/game/...-vs-...-0022200784/play-by-play?watchFullGame=true", "LAC vs MIL - Q3 08:49.00")</f>
        <v>LAC vs MIL - Q3 08:49.00</v>
      </c>
      <c r="M1424">
        <v>16.48</v>
      </c>
      <c r="N1424">
        <v>76.95</v>
      </c>
      <c r="O1424">
        <v>47.06</v>
      </c>
      <c r="P1424">
        <v>-15</v>
      </c>
      <c r="Q1424">
        <v>164</v>
      </c>
      <c r="R1424">
        <v>76</v>
      </c>
      <c r="S1424">
        <v>47</v>
      </c>
    </row>
    <row r="1425" spans="1:19" hidden="1" x14ac:dyDescent="0.25">
      <c r="A1425">
        <v>42000223</v>
      </c>
      <c r="B1425" t="s">
        <v>18</v>
      </c>
      <c r="C1425" t="s">
        <v>19</v>
      </c>
      <c r="D1425">
        <v>120</v>
      </c>
      <c r="E1425">
        <v>98</v>
      </c>
      <c r="F1425">
        <v>22</v>
      </c>
      <c r="G1425">
        <v>4</v>
      </c>
      <c r="H1425" s="1">
        <v>2.5000000000000001E-3</v>
      </c>
      <c r="I1425" t="s">
        <v>94</v>
      </c>
      <c r="J1425" t="s">
        <v>83</v>
      </c>
      <c r="K1425" s="2" t="str">
        <f>HYPERLINK("https://www.nba.com/stats/events?CFID=&amp;CFPARAMS=&amp;GameEventID=553&amp;GameID=0042000223&amp;Season=2020-21&amp;flag=1&amp;title=Leonard%2017'%20pullup%20Jump%20Shot%20(34%20PTS)", "17' pullup Jump Shot (34 PTS)")</f>
        <v>17' pullup Jump Shot (34 PTS)</v>
      </c>
      <c r="L1425" s="2" t="str">
        <f>HYPERLINK("https://www.nba.com/game/...-vs-...-0042000223/play-by-play?watchFullGame=true", "LAC vs UTA - Q4 03:36.00")</f>
        <v>LAC vs UTA - Q4 03:36.00</v>
      </c>
      <c r="M1425">
        <v>17.22</v>
      </c>
      <c r="N1425">
        <v>76.14</v>
      </c>
      <c r="O1425">
        <v>47.66</v>
      </c>
      <c r="P1425">
        <v>76</v>
      </c>
      <c r="Q1425">
        <v>47</v>
      </c>
      <c r="R1425">
        <v>76</v>
      </c>
      <c r="S1425">
        <v>47</v>
      </c>
    </row>
    <row r="1426" spans="1:19" hidden="1" x14ac:dyDescent="0.25">
      <c r="A1426">
        <v>22300343</v>
      </c>
      <c r="B1426" t="s">
        <v>18</v>
      </c>
      <c r="C1426" t="s">
        <v>19</v>
      </c>
      <c r="D1426">
        <v>2</v>
      </c>
      <c r="E1426">
        <v>0</v>
      </c>
      <c r="F1426">
        <v>2</v>
      </c>
      <c r="G1426">
        <v>1</v>
      </c>
      <c r="H1426" s="1">
        <v>8.1481481481481474E-3</v>
      </c>
      <c r="I1426">
        <v>2023</v>
      </c>
      <c r="J1426" t="s">
        <v>83</v>
      </c>
      <c r="K1426" s="2" t="str">
        <f>HYPERLINK("https://www.nba.com/stats/events?CFID=&amp;CFPARAMS=&amp;GameEventID=7&amp;GameID=0022300343&amp;Season=2023-24&amp;flag=1&amp;title=Leonard%2016'%20Jump%20Shot%20(2%20PTS)%20(P.%20George%201%20AST)", "16' Jump Shot (2 PTS) (P. George 1 AST)")</f>
        <v>16' Jump Shot (2 PTS) (P. George 1 AST)</v>
      </c>
      <c r="L1426" s="2" t="str">
        <f>HYPERLINK("https://www.nba.com/game/...-vs-...-0022300343/play-by-play?watchFullGame=true", "LAC vs NYK - Q1 11:44.00")</f>
        <v>LAC vs NYK - Q1 11:44.00</v>
      </c>
      <c r="M1426">
        <v>16.98</v>
      </c>
      <c r="N1426">
        <v>76.400000000000006</v>
      </c>
      <c r="O1426">
        <v>52.21</v>
      </c>
      <c r="P1426">
        <v>11</v>
      </c>
      <c r="Q1426">
        <v>169</v>
      </c>
      <c r="R1426">
        <v>76</v>
      </c>
      <c r="S1426">
        <v>52</v>
      </c>
    </row>
    <row r="1427" spans="1:19" hidden="1" x14ac:dyDescent="0.25">
      <c r="A1427">
        <v>22301064</v>
      </c>
      <c r="B1427" t="s">
        <v>18</v>
      </c>
      <c r="C1427" t="s">
        <v>19</v>
      </c>
      <c r="D1427">
        <v>96</v>
      </c>
      <c r="E1427">
        <v>95</v>
      </c>
      <c r="F1427">
        <v>1</v>
      </c>
      <c r="G1427">
        <v>4</v>
      </c>
      <c r="H1427" s="1">
        <v>1.6782407407407408E-3</v>
      </c>
      <c r="I1427">
        <v>2023</v>
      </c>
      <c r="J1427" t="s">
        <v>83</v>
      </c>
      <c r="K1427" s="2" t="str">
        <f>HYPERLINK("https://www.nba.com/stats/events?CFID=&amp;CFPARAMS=&amp;GameEventID=604&amp;GameID=0022301064&amp;Season=2023-24&amp;flag=1&amp;title=Leonard%2016'%20turnaround%20fadeaway%20Jump%20Shot%20(27%20PTS)", "16' turnaround fadeaway Jump Shot (27 PTS)")</f>
        <v>16' turnaround fadeaway Jump Shot (27 PTS)</v>
      </c>
      <c r="L1427" s="2" t="str">
        <f>HYPERLINK("https://www.nba.com/game/...-vs-...-0022301064/play-by-play?watchFullGame=true", "LAC vs ORL - Q4 02:25.00")</f>
        <v>LAC vs ORL - Q4 02:25.00</v>
      </c>
      <c r="M1427">
        <v>16.96</v>
      </c>
      <c r="N1427">
        <v>76.95</v>
      </c>
      <c r="O1427">
        <v>58.58</v>
      </c>
      <c r="P1427">
        <v>43</v>
      </c>
      <c r="Q1427">
        <v>164</v>
      </c>
      <c r="R1427">
        <v>76</v>
      </c>
      <c r="S1427">
        <v>58</v>
      </c>
    </row>
    <row r="1428" spans="1:19" hidden="1" x14ac:dyDescent="0.25">
      <c r="A1428">
        <v>22300964</v>
      </c>
      <c r="B1428" t="s">
        <v>18</v>
      </c>
      <c r="C1428" t="s">
        <v>19</v>
      </c>
      <c r="D1428">
        <v>40</v>
      </c>
      <c r="E1428">
        <v>44</v>
      </c>
      <c r="F1428">
        <v>4</v>
      </c>
      <c r="G1428">
        <v>2</v>
      </c>
      <c r="H1428" s="1">
        <v>1.6550925925925926E-3</v>
      </c>
      <c r="I1428">
        <v>2023</v>
      </c>
      <c r="J1428" t="s">
        <v>83</v>
      </c>
      <c r="K1428" s="2" t="str">
        <f>HYPERLINK("https://www.nba.com/stats/events?CFID=&amp;CFPARAMS=&amp;GameEventID=271&amp;GameID=0022300964&amp;Season=2023-24&amp;flag=1&amp;title=Leonard%2019'%20pullup%20Jump%20Shot%20(11%20PTS)", "19' pullup Jump Shot (11 PTS)")</f>
        <v>19' pullup Jump Shot (11 PTS)</v>
      </c>
      <c r="L1428" s="2" t="str">
        <f>HYPERLINK("https://www.nba.com/game/...-vs-...-0022300964/play-by-play?watchFullGame=true", "LAC vs NOP - Q2 02:23.00")</f>
        <v>LAC vs NOP - Q2 02:23.00</v>
      </c>
      <c r="M1428">
        <v>19.079999999999998</v>
      </c>
      <c r="N1428">
        <v>76.03</v>
      </c>
      <c r="O1428">
        <v>66.180000000000007</v>
      </c>
      <c r="P1428">
        <v>81</v>
      </c>
      <c r="Q1428">
        <v>173</v>
      </c>
      <c r="R1428">
        <v>76</v>
      </c>
      <c r="S1428">
        <v>66</v>
      </c>
    </row>
    <row r="1429" spans="1:19" hidden="1" x14ac:dyDescent="0.25">
      <c r="A1429">
        <v>42200171</v>
      </c>
      <c r="B1429" t="s">
        <v>18</v>
      </c>
      <c r="C1429" t="s">
        <v>19</v>
      </c>
      <c r="D1429">
        <v>48</v>
      </c>
      <c r="E1429">
        <v>37</v>
      </c>
      <c r="F1429">
        <v>11</v>
      </c>
      <c r="G1429">
        <v>2</v>
      </c>
      <c r="H1429" s="1">
        <v>2.4537037037037036E-3</v>
      </c>
      <c r="I1429" t="s">
        <v>96</v>
      </c>
      <c r="J1429" t="s">
        <v>83</v>
      </c>
      <c r="K1429" s="2" t="str">
        <f>HYPERLINK("https://www.nba.com/stats/events?CFID=&amp;CFPARAMS=&amp;GameEventID=270&amp;GameID=0042200171&amp;Season=2022-23&amp;flag=1&amp;title=Leonard%2019'%20Jump%20Shot%20(11%20PTS)%20(R.%20Westbrook%204%20AST)", "19' Jump Shot (11 PTS) (R. Westbrook 4 AST)")</f>
        <v>19' Jump Shot (11 PTS) (R. Westbrook 4 AST)</v>
      </c>
      <c r="L1429" s="2" t="str">
        <f>HYPERLINK("https://www.nba.com/game/...-vs-...-0042200171/play-by-play?watchFullGame=true", "LAC vs PHX - Q2 03:32.00")</f>
        <v>LAC vs PHX - Q2 03:32.00</v>
      </c>
      <c r="M1429">
        <v>19.010000000000002</v>
      </c>
      <c r="N1429">
        <v>76.17</v>
      </c>
      <c r="O1429">
        <v>66.42</v>
      </c>
      <c r="P1429">
        <v>76</v>
      </c>
      <c r="Q1429">
        <v>66</v>
      </c>
      <c r="R1429">
        <v>76</v>
      </c>
      <c r="S1429">
        <v>66</v>
      </c>
    </row>
    <row r="1430" spans="1:19" hidden="1" x14ac:dyDescent="0.25">
      <c r="A1430">
        <v>21901258</v>
      </c>
      <c r="B1430" t="s">
        <v>18</v>
      </c>
      <c r="C1430" t="s">
        <v>84</v>
      </c>
      <c r="D1430">
        <v>84</v>
      </c>
      <c r="E1430">
        <v>85</v>
      </c>
      <c r="F1430">
        <v>1</v>
      </c>
      <c r="G1430">
        <v>3</v>
      </c>
      <c r="H1430" s="1">
        <v>2.1875000000000002E-3</v>
      </c>
      <c r="I1430">
        <v>2019</v>
      </c>
      <c r="J1430" t="s">
        <v>83</v>
      </c>
      <c r="K1430" s="2" t="str">
        <f>HYPERLINK("https://www.nba.com/stats/events?CFID=&amp;CFPARAMS=&amp;GameEventID=418&amp;GameID=0021901258&amp;Season=2019-20&amp;flag=1&amp;title=Leonard%2019'%20jumpshot%20(16%20PTS)", "19' jumpshot (16 PTS)")</f>
        <v>19' jumpshot (16 PTS)</v>
      </c>
      <c r="L1430" s="2" t="str">
        <f>HYPERLINK("https://www.nba.com/game/...-vs-...-0021901258/play-by-play?watchFullGame=true", "LAC vs PHX - Q3 03:09.00")</f>
        <v>LAC vs PHX - Q3 03:09.00</v>
      </c>
      <c r="M1430">
        <v>18.98</v>
      </c>
      <c r="N1430">
        <v>76.819999999999993</v>
      </c>
      <c r="O1430">
        <v>66.489999999999995</v>
      </c>
      <c r="P1430">
        <v>82</v>
      </c>
      <c r="Q1430">
        <v>165</v>
      </c>
      <c r="R1430">
        <v>76</v>
      </c>
      <c r="S1430">
        <v>66</v>
      </c>
    </row>
    <row r="1431" spans="1:19" hidden="1" x14ac:dyDescent="0.25">
      <c r="A1431">
        <v>42000223</v>
      </c>
      <c r="B1431" t="s">
        <v>18</v>
      </c>
      <c r="C1431" t="s">
        <v>19</v>
      </c>
      <c r="D1431">
        <v>71</v>
      </c>
      <c r="E1431">
        <v>56</v>
      </c>
      <c r="F1431">
        <v>15</v>
      </c>
      <c r="G1431">
        <v>3</v>
      </c>
      <c r="H1431" s="1">
        <v>5.9375000000000001E-3</v>
      </c>
      <c r="I1431" t="s">
        <v>94</v>
      </c>
      <c r="J1431" t="s">
        <v>83</v>
      </c>
      <c r="K1431" s="2" t="str">
        <f>HYPERLINK("https://www.nba.com/stats/events?CFID=&amp;CFPARAMS=&amp;GameEventID=330&amp;GameID=0042000223&amp;Season=2020-21&amp;flag=1&amp;title=Leonard%2019'%20pullup%20Jump%20Shot%20(14%20PTS)", "19' pullup Jump Shot (14 PTS)")</f>
        <v>19' pullup Jump Shot (14 PTS)</v>
      </c>
      <c r="L1431" s="2" t="str">
        <f>HYPERLINK("https://www.nba.com/game/...-vs-...-0042000223/play-by-play?watchFullGame=true", "LAC vs UTA - Q3 08:33.00")</f>
        <v>LAC vs UTA - Q3 08:33.00</v>
      </c>
      <c r="M1431">
        <v>19.48</v>
      </c>
      <c r="N1431">
        <v>76.260000000000005</v>
      </c>
      <c r="O1431">
        <v>68.8</v>
      </c>
      <c r="P1431">
        <v>76</v>
      </c>
      <c r="Q1431">
        <v>68</v>
      </c>
      <c r="R1431">
        <v>76</v>
      </c>
      <c r="S1431">
        <v>68</v>
      </c>
    </row>
    <row r="1432" spans="1:19" hidden="1" x14ac:dyDescent="0.25">
      <c r="A1432">
        <v>21900115</v>
      </c>
      <c r="B1432" t="s">
        <v>18</v>
      </c>
      <c r="C1432" t="s">
        <v>84</v>
      </c>
      <c r="D1432">
        <v>98</v>
      </c>
      <c r="E1432">
        <v>95</v>
      </c>
      <c r="F1432">
        <v>3</v>
      </c>
      <c r="G1432">
        <v>4</v>
      </c>
      <c r="H1432" s="1">
        <v>1.0185185185185184E-3</v>
      </c>
      <c r="I1432">
        <v>2019</v>
      </c>
      <c r="J1432" t="s">
        <v>83</v>
      </c>
      <c r="K1432" s="2" t="str">
        <f>HYPERLINK("https://www.nba.com/stats/events?CFID=&amp;CFPARAMS=&amp;GameEventID=649&amp;GameID=0021900115&amp;Season=2019-20&amp;flag=1&amp;title=[LAC]%20Leonard%20jumpshot:%20Made%20(23%20PTS)", "[LAC] Leonard jumpshot: Made (23 PTS)")</f>
        <v>[LAC] Leonard jumpshot: Made (23 PTS)</v>
      </c>
      <c r="L1432" s="2" t="str">
        <f>HYPERLINK("https://www.nba.com/game/...-vs-...-0021900115/play-by-play?watchFullGame=true", "LAC vs POR - Q4 01:28.00")</f>
        <v>LAC vs POR - Q4 01:28.00</v>
      </c>
      <c r="M1432">
        <v>20.2</v>
      </c>
      <c r="N1432">
        <v>76.260000000000005</v>
      </c>
      <c r="O1432">
        <v>69.78</v>
      </c>
      <c r="P1432">
        <v>99</v>
      </c>
      <c r="Q1432">
        <v>171</v>
      </c>
      <c r="R1432">
        <v>76</v>
      </c>
      <c r="S1432">
        <v>69</v>
      </c>
    </row>
    <row r="1433" spans="1:19" hidden="1" x14ac:dyDescent="0.25">
      <c r="A1433">
        <v>22000966</v>
      </c>
      <c r="B1433" t="s">
        <v>26</v>
      </c>
      <c r="C1433" t="s">
        <v>19</v>
      </c>
      <c r="D1433">
        <v>13</v>
      </c>
      <c r="E1433">
        <v>5</v>
      </c>
      <c r="F1433">
        <v>8</v>
      </c>
      <c r="G1433">
        <v>1</v>
      </c>
      <c r="H1433" s="1">
        <v>6.1574074074074074E-3</v>
      </c>
      <c r="I1433">
        <v>2020</v>
      </c>
      <c r="J1433" t="s">
        <v>83</v>
      </c>
      <c r="K1433" s="2" t="str">
        <f>HYPERLINK("https://www.nba.com/stats/events?CFID=&amp;CFPARAMS=&amp;GameEventID=29&amp;GameID=0022000966&amp;Season=2020-21&amp;flag=1&amp;title=Leonard%2026'%203PT%20%20(5%20PTS)%20(M.%20Morris%20Sr.%202%20AST)", "26' 3PT  (5 PTS) (M. Morris Sr. 2 AST)")</f>
        <v>26' 3PT  (5 PTS) (M. Morris Sr. 2 AST)</v>
      </c>
      <c r="L1433" s="2" t="str">
        <f>HYPERLINK("https://www.nba.com/game/...-vs-...-0022000966/play-by-play?watchFullGame=true", "LAC vs DEN - Q1 08:52.00")</f>
        <v>LAC vs DEN - Q1 08:52.00</v>
      </c>
      <c r="M1433">
        <v>26.11</v>
      </c>
      <c r="N1433">
        <v>77.22</v>
      </c>
      <c r="O1433">
        <v>91</v>
      </c>
      <c r="P1433">
        <v>205</v>
      </c>
      <c r="Q1433">
        <v>162</v>
      </c>
      <c r="R1433">
        <v>77</v>
      </c>
      <c r="S1433">
        <v>91</v>
      </c>
    </row>
    <row r="1434" spans="1:19" hidden="1" x14ac:dyDescent="0.25">
      <c r="A1434">
        <v>21901232</v>
      </c>
      <c r="B1434" t="s">
        <v>26</v>
      </c>
      <c r="C1434" t="s">
        <v>84</v>
      </c>
      <c r="D1434">
        <v>66</v>
      </c>
      <c r="E1434">
        <v>55</v>
      </c>
      <c r="F1434">
        <v>11</v>
      </c>
      <c r="G1434">
        <v>3</v>
      </c>
      <c r="H1434" s="1">
        <v>4.9189814814814816E-3</v>
      </c>
      <c r="I1434">
        <v>2019</v>
      </c>
      <c r="J1434" t="s">
        <v>83</v>
      </c>
      <c r="K1434" s="2" t="str">
        <f>HYPERLINK("https://www.nba.com/stats/events?CFID=&amp;CFPARAMS=&amp;GameEventID=473&amp;GameID=0021901232&amp;Season=2019-20&amp;flag=1&amp;title=Leonard%2026'%203PT%20%20(22%20PTS)", "26' 3PT  (22 PTS)")</f>
        <v>26' 3PT  (22 PTS)</v>
      </c>
      <c r="L1434" s="2" t="str">
        <f>HYPERLINK("https://www.nba.com/game/...-vs-...-0021901232/play-by-play?watchFullGame=true", "LAC vs LAL - Q3 07:05.00")</f>
        <v>LAC vs LAL - Q3 07:05.00</v>
      </c>
      <c r="M1434">
        <v>26.06</v>
      </c>
      <c r="N1434">
        <v>77.09</v>
      </c>
      <c r="O1434">
        <v>89.77</v>
      </c>
      <c r="P1434">
        <v>199</v>
      </c>
      <c r="Q1434">
        <v>163</v>
      </c>
      <c r="R1434">
        <v>77</v>
      </c>
      <c r="S1434">
        <v>89</v>
      </c>
    </row>
    <row r="1435" spans="1:19" hidden="1" x14ac:dyDescent="0.25">
      <c r="A1435">
        <v>22000324</v>
      </c>
      <c r="B1435" t="s">
        <v>26</v>
      </c>
      <c r="C1435" t="s">
        <v>19</v>
      </c>
      <c r="D1435">
        <v>86</v>
      </c>
      <c r="E1435">
        <v>85</v>
      </c>
      <c r="F1435">
        <v>1</v>
      </c>
      <c r="G1435">
        <v>3</v>
      </c>
      <c r="H1435" s="1">
        <v>7.9861111111111116E-4</v>
      </c>
      <c r="I1435">
        <v>2020</v>
      </c>
      <c r="J1435" t="s">
        <v>83</v>
      </c>
      <c r="K1435" s="2" t="str">
        <f>HYPERLINK("https://www.nba.com/stats/events?CFID=&amp;CFPARAMS=&amp;GameEventID=424&amp;GameID=0022000324&amp;Season=2020-21&amp;flag=1&amp;title=Leonard%2025'%203PT%20%20(25%20PTS)%20(R.%20Jackson%202%20AST)", "25' 3PT  (25 PTS) (R. Jackson 2 AST)")</f>
        <v>25' 3PT  (25 PTS) (R. Jackson 2 AST)</v>
      </c>
      <c r="L1435" s="2" t="str">
        <f>HYPERLINK("https://www.nba.com/game/...-vs-...-0022000324/play-by-play?watchFullGame=true", "LAC vs BKN - Q3 01:09.00")</f>
        <v>LAC vs BKN - Q3 01:09.00</v>
      </c>
      <c r="M1435">
        <v>25.88</v>
      </c>
      <c r="N1435">
        <v>77.349999999999994</v>
      </c>
      <c r="O1435">
        <v>9.3800000000000008</v>
      </c>
      <c r="P1435">
        <v>-203</v>
      </c>
      <c r="Q1435">
        <v>160</v>
      </c>
      <c r="R1435">
        <v>77</v>
      </c>
      <c r="S1435">
        <v>9</v>
      </c>
    </row>
    <row r="1436" spans="1:19" hidden="1" x14ac:dyDescent="0.25">
      <c r="A1436">
        <v>22200871</v>
      </c>
      <c r="B1436" t="s">
        <v>26</v>
      </c>
      <c r="C1436" t="s">
        <v>19</v>
      </c>
      <c r="D1436">
        <v>49</v>
      </c>
      <c r="E1436">
        <v>48</v>
      </c>
      <c r="F1436">
        <v>1</v>
      </c>
      <c r="G1436">
        <v>2</v>
      </c>
      <c r="H1436" s="1">
        <v>3.7962962962962963E-3</v>
      </c>
      <c r="I1436">
        <v>2022</v>
      </c>
      <c r="J1436" t="s">
        <v>83</v>
      </c>
      <c r="K1436" s="2" t="str">
        <f>HYPERLINK("https://www.nba.com/stats/events?CFID=&amp;CFPARAMS=&amp;GameEventID=247&amp;GameID=0022200871&amp;Season=2022-23&amp;flag=1&amp;title=Leonard%2025'%203PT%20%20(11%20PTS)%20(P.%20George%202%20AST)", "25' 3PT  (11 PTS) (P. George 2 AST)")</f>
        <v>25' 3PT  (11 PTS) (P. George 2 AST)</v>
      </c>
      <c r="L1436" s="2" t="str">
        <f>HYPERLINK("https://www.nba.com/game/...-vs-...-0022200871/play-by-play?watchFullGame=true", "LAC vs GSW - Q2 05:28.00")</f>
        <v>LAC vs GSW - Q2 05:28.00</v>
      </c>
      <c r="M1436">
        <v>25.35</v>
      </c>
      <c r="N1436">
        <v>77.319999999999993</v>
      </c>
      <c r="O1436">
        <v>89.22</v>
      </c>
      <c r="P1436">
        <v>196</v>
      </c>
      <c r="Q1436">
        <v>161</v>
      </c>
      <c r="R1436">
        <v>77</v>
      </c>
      <c r="S1436">
        <v>89</v>
      </c>
    </row>
    <row r="1437" spans="1:19" hidden="1" x14ac:dyDescent="0.25">
      <c r="A1437">
        <v>22000488</v>
      </c>
      <c r="B1437" t="s">
        <v>26</v>
      </c>
      <c r="C1437" t="s">
        <v>19</v>
      </c>
      <c r="D1437">
        <v>67</v>
      </c>
      <c r="E1437">
        <v>47</v>
      </c>
      <c r="F1437">
        <v>20</v>
      </c>
      <c r="G1437">
        <v>2</v>
      </c>
      <c r="H1437" s="1">
        <v>1.6435185185185185E-3</v>
      </c>
      <c r="I1437">
        <v>2020</v>
      </c>
      <c r="J1437" t="s">
        <v>83</v>
      </c>
      <c r="K1437" s="2" t="str">
        <f>HYPERLINK("https://www.nba.com/stats/events?CFID=&amp;CFPARAMS=&amp;GameEventID=306&amp;GameID=0022000488&amp;Season=2020-21&amp;flag=1&amp;title=Leonard%2025'%203PT%20%20(16%20PTS)%20(P.%20George%202%20AST)", "25' 3PT  (16 PTS) (P. George 2 AST)")</f>
        <v>25' 3PT  (16 PTS) (P. George 2 AST)</v>
      </c>
      <c r="L1437" s="2" t="str">
        <f>HYPERLINK("https://www.nba.com/game/...-vs-...-0022000488/play-by-play?watchFullGame=true", "LAC vs WAS - Q2 02:22.00")</f>
        <v>LAC vs WAS - Q2 02:22.00</v>
      </c>
      <c r="M1437">
        <v>25.29</v>
      </c>
      <c r="N1437">
        <v>77.87</v>
      </c>
      <c r="O1437">
        <v>10.119999999999999</v>
      </c>
      <c r="P1437">
        <v>-199</v>
      </c>
      <c r="Q1437">
        <v>155</v>
      </c>
      <c r="R1437">
        <v>77</v>
      </c>
      <c r="S1437">
        <v>10</v>
      </c>
    </row>
    <row r="1438" spans="1:19" hidden="1" x14ac:dyDescent="0.25">
      <c r="A1438">
        <v>22300127</v>
      </c>
      <c r="B1438" t="s">
        <v>26</v>
      </c>
      <c r="C1438" t="s">
        <v>19</v>
      </c>
      <c r="D1438">
        <v>11</v>
      </c>
      <c r="E1438">
        <v>5</v>
      </c>
      <c r="F1438">
        <v>6</v>
      </c>
      <c r="G1438">
        <v>1</v>
      </c>
      <c r="H1438" s="1">
        <v>6.1111111111111114E-3</v>
      </c>
      <c r="I1438">
        <v>2023</v>
      </c>
      <c r="J1438" t="s">
        <v>83</v>
      </c>
      <c r="K1438" s="2" t="str">
        <f>HYPERLINK("https://www.nba.com/stats/events?CFID=&amp;CFPARAMS=&amp;GameEventID=35&amp;GameID=0022300127&amp;Season=2023-24&amp;flag=1&amp;title=Leonard%2024'%203PT%20%20(7%20PTS)%20(R.%20Westbrook%203%20AST)", "24' 3PT  (7 PTS) (R. Westbrook 3 AST)")</f>
        <v>24' 3PT  (7 PTS) (R. Westbrook 3 AST)</v>
      </c>
      <c r="L1438" s="2" t="str">
        <f>HYPERLINK("https://www.nba.com/game/...-vs-...-0022300127/play-by-play?watchFullGame=true", "LAC vs LAL - Q1 08:48.00")</f>
        <v>LAC vs LAL - Q1 08:48.00</v>
      </c>
      <c r="M1438">
        <v>24.6</v>
      </c>
      <c r="N1438">
        <v>77.319999999999993</v>
      </c>
      <c r="O1438">
        <v>87.25</v>
      </c>
      <c r="P1438">
        <v>186</v>
      </c>
      <c r="Q1438">
        <v>161</v>
      </c>
      <c r="R1438">
        <v>77</v>
      </c>
      <c r="S1438">
        <v>87</v>
      </c>
    </row>
    <row r="1439" spans="1:19" hidden="1" x14ac:dyDescent="0.25">
      <c r="A1439">
        <v>41900151</v>
      </c>
      <c r="B1439" t="s">
        <v>18</v>
      </c>
      <c r="C1439" t="s">
        <v>84</v>
      </c>
      <c r="D1439">
        <v>38</v>
      </c>
      <c r="E1439">
        <v>50</v>
      </c>
      <c r="F1439">
        <v>12</v>
      </c>
      <c r="G1439">
        <v>2</v>
      </c>
      <c r="H1439" s="1">
        <v>4.8495370370370368E-3</v>
      </c>
      <c r="I1439" t="s">
        <v>86</v>
      </c>
      <c r="J1439" t="s">
        <v>83</v>
      </c>
      <c r="K1439" s="2" t="str">
        <f>HYPERLINK("https://www.nba.com/stats/events?CFID=&amp;CFPARAMS=&amp;GameEventID=251&amp;GameID=0041900151&amp;Season=2019-20&amp;flag=1&amp;title=Leonard%2019'%20jumpshot%20(11%20PTS)%20(I.%20Zubac%201%20AST)", "19' jumpshot (11 PTS) (I. Zubac 1 AST)")</f>
        <v>19' jumpshot (11 PTS) (I. Zubac 1 AST)</v>
      </c>
      <c r="L1439" s="2" t="str">
        <f>HYPERLINK("https://www.nba.com/game/...-vs-...-0041900151/play-by-play?watchFullGame=true", "LAC vs DAL - Q2 06:59.00")</f>
        <v>LAC vs DAL - Q2 06:59.00</v>
      </c>
      <c r="M1439">
        <v>18.559999999999999</v>
      </c>
      <c r="N1439">
        <v>77.739999999999995</v>
      </c>
      <c r="O1439">
        <v>31.93</v>
      </c>
      <c r="P1439">
        <v>-90</v>
      </c>
      <c r="Q1439">
        <v>157</v>
      </c>
      <c r="R1439">
        <v>77</v>
      </c>
      <c r="S1439">
        <v>31</v>
      </c>
    </row>
    <row r="1440" spans="1:19" hidden="1" x14ac:dyDescent="0.25">
      <c r="A1440">
        <v>22000188</v>
      </c>
      <c r="B1440" t="s">
        <v>18</v>
      </c>
      <c r="C1440" t="s">
        <v>19</v>
      </c>
      <c r="D1440">
        <v>30</v>
      </c>
      <c r="E1440">
        <v>27</v>
      </c>
      <c r="F1440">
        <v>3</v>
      </c>
      <c r="G1440">
        <v>1</v>
      </c>
      <c r="H1440" s="1">
        <v>1.0763888888888889E-3</v>
      </c>
      <c r="I1440">
        <v>2020</v>
      </c>
      <c r="J1440" t="s">
        <v>83</v>
      </c>
      <c r="K1440" s="2" t="str">
        <f>HYPERLINK("https://www.nba.com/stats/events?CFID=&amp;CFPARAMS=&amp;GameEventID=127&amp;GameID=0022000188&amp;Season=2020-21&amp;flag=1&amp;title=Leonard%2017'%20Jump%20Shot%20(10%20PTS)", "17' Jump Shot (10 PTS)")</f>
        <v>17' Jump Shot (10 PTS)</v>
      </c>
      <c r="L1440" s="2" t="str">
        <f>HYPERLINK("https://www.nba.com/game/...-vs-...-0022000188/play-by-play?watchFullGame=true", "LAC vs SAC - Q1 01:33.00")</f>
        <v>LAC vs SAC - Q1 01:33.00</v>
      </c>
      <c r="M1440">
        <v>17.73</v>
      </c>
      <c r="N1440">
        <v>77.739999999999995</v>
      </c>
      <c r="O1440">
        <v>33.4</v>
      </c>
      <c r="P1440">
        <v>-83</v>
      </c>
      <c r="Q1440">
        <v>157</v>
      </c>
      <c r="R1440">
        <v>77</v>
      </c>
      <c r="S1440">
        <v>33</v>
      </c>
    </row>
    <row r="1441" spans="1:19" hidden="1" x14ac:dyDescent="0.25">
      <c r="A1441">
        <v>22301003</v>
      </c>
      <c r="B1441" t="s">
        <v>18</v>
      </c>
      <c r="C1441" t="s">
        <v>19</v>
      </c>
      <c r="D1441">
        <v>20</v>
      </c>
      <c r="E1441">
        <v>18</v>
      </c>
      <c r="F1441">
        <v>2</v>
      </c>
      <c r="G1441">
        <v>1</v>
      </c>
      <c r="H1441" s="1">
        <v>2.0370370370370369E-3</v>
      </c>
      <c r="I1441">
        <v>2023</v>
      </c>
      <c r="J1441" t="s">
        <v>83</v>
      </c>
      <c r="K1441" s="2" t="str">
        <f>HYPERLINK("https://www.nba.com/stats/events?CFID=&amp;CFPARAMS=&amp;GameEventID=99&amp;GameID=0022301003&amp;Season=2023-24&amp;flag=1&amp;title=Leonard%2017'%20Jump%20Shot%20(2%20PTS)%20(B.%20Hyland%201%20AST)", "17' Jump Shot (2 PTS) (B. Hyland 1 AST)")</f>
        <v>17' Jump Shot (2 PTS) (B. Hyland 1 AST)</v>
      </c>
      <c r="L1441" s="2" t="str">
        <f>HYPERLINK("https://www.nba.com/game/...-vs-...-0022301003/play-by-play?watchFullGame=true", "LAC vs POR - Q1 02:56.00")</f>
        <v>LAC vs POR - Q1 02:56.00</v>
      </c>
      <c r="M1441">
        <v>17.309999999999999</v>
      </c>
      <c r="N1441">
        <v>77.739999999999995</v>
      </c>
      <c r="O1441">
        <v>35.29</v>
      </c>
      <c r="P1441">
        <v>-74</v>
      </c>
      <c r="Q1441">
        <v>157</v>
      </c>
      <c r="R1441">
        <v>77</v>
      </c>
      <c r="S1441">
        <v>35</v>
      </c>
    </row>
    <row r="1442" spans="1:19" hidden="1" x14ac:dyDescent="0.25">
      <c r="A1442">
        <v>22000116</v>
      </c>
      <c r="B1442" t="s">
        <v>18</v>
      </c>
      <c r="C1442" t="s">
        <v>19</v>
      </c>
      <c r="D1442">
        <v>91</v>
      </c>
      <c r="E1442">
        <v>91</v>
      </c>
      <c r="F1442">
        <v>0</v>
      </c>
      <c r="G1442">
        <v>4</v>
      </c>
      <c r="H1442" s="1">
        <v>4.6296296296296294E-3</v>
      </c>
      <c r="I1442">
        <v>2020</v>
      </c>
      <c r="J1442" t="s">
        <v>83</v>
      </c>
      <c r="K1442" s="2" t="str">
        <f>HYPERLINK("https://www.nba.com/stats/events?CFID=&amp;CFPARAMS=&amp;GameEventID=574&amp;GameID=0022000116&amp;Season=2020-21&amp;flag=1&amp;title=Leonard%2017'%20pullup%20Jump%20Shot%20(15%20PTS)", "17' pullup Jump Shot (15 PTS)")</f>
        <v>17' pullup Jump Shot (15 PTS)</v>
      </c>
      <c r="L1442" s="2" t="str">
        <f>HYPERLINK("https://www.nba.com/game/...-vs-...-0022000116/play-by-play?watchFullGame=true", "LAC vs GSW - Q4 06:40.00")</f>
        <v>LAC vs GSW - Q4 06:40.00</v>
      </c>
      <c r="M1442">
        <v>17.52</v>
      </c>
      <c r="N1442">
        <v>77.48</v>
      </c>
      <c r="O1442">
        <v>35.36</v>
      </c>
      <c r="P1442">
        <v>-73</v>
      </c>
      <c r="Q1442">
        <v>159</v>
      </c>
      <c r="R1442">
        <v>77</v>
      </c>
      <c r="S1442">
        <v>35</v>
      </c>
    </row>
    <row r="1443" spans="1:19" hidden="1" x14ac:dyDescent="0.25">
      <c r="A1443">
        <v>42000177</v>
      </c>
      <c r="B1443" t="s">
        <v>18</v>
      </c>
      <c r="C1443" t="s">
        <v>19</v>
      </c>
      <c r="D1443">
        <v>2</v>
      </c>
      <c r="E1443">
        <v>2</v>
      </c>
      <c r="F1443">
        <v>0</v>
      </c>
      <c r="G1443">
        <v>1</v>
      </c>
      <c r="H1443" s="1">
        <v>7.6273148148148151E-3</v>
      </c>
      <c r="I1443" t="s">
        <v>91</v>
      </c>
      <c r="J1443" t="s">
        <v>83</v>
      </c>
      <c r="K1443" s="2" t="str">
        <f>HYPERLINK("https://www.nba.com/stats/events?CFID=&amp;CFPARAMS=&amp;GameEventID=14&amp;GameID=0042000177&amp;Season=2020-21&amp;flag=1&amp;title=Leonard%2017'%20turnaround%20Jump%20Shot%20(2%20PTS)%20(M.%20Morris%20Sr.%201%20AST)", "17' turnaround Jump Shot (2 PTS) (M. Morris Sr. 1 AST)")</f>
        <v>17' turnaround Jump Shot (2 PTS) (M. Morris Sr. 1 AST)</v>
      </c>
      <c r="L1443" s="2" t="str">
        <f>HYPERLINK("https://www.nba.com/game/...-vs-...-0042000177/play-by-play?watchFullGame=true", "LAC vs DAL - Q1 10:59.00")</f>
        <v>LAC vs DAL - Q1 10:59.00</v>
      </c>
      <c r="M1443">
        <v>17.66</v>
      </c>
      <c r="N1443">
        <v>77.09</v>
      </c>
      <c r="O1443">
        <v>36.340000000000003</v>
      </c>
      <c r="P1443">
        <v>77</v>
      </c>
      <c r="Q1443">
        <v>36</v>
      </c>
      <c r="R1443">
        <v>77</v>
      </c>
      <c r="S1443">
        <v>36</v>
      </c>
    </row>
    <row r="1444" spans="1:19" hidden="1" x14ac:dyDescent="0.25">
      <c r="A1444">
        <v>22300658</v>
      </c>
      <c r="B1444" t="s">
        <v>18</v>
      </c>
      <c r="C1444" t="s">
        <v>19</v>
      </c>
      <c r="D1444">
        <v>2</v>
      </c>
      <c r="E1444">
        <v>3</v>
      </c>
      <c r="F1444">
        <v>1</v>
      </c>
      <c r="G1444">
        <v>1</v>
      </c>
      <c r="H1444" s="1">
        <v>7.7314814814814815E-3</v>
      </c>
      <c r="I1444">
        <v>2023</v>
      </c>
      <c r="J1444" t="s">
        <v>83</v>
      </c>
      <c r="K1444" s="2" t="str">
        <f>HYPERLINK("https://www.nba.com/stats/events?CFID=&amp;CFPARAMS=&amp;GameEventID=12&amp;GameID=0022300658&amp;Season=2023-24&amp;flag=1&amp;title=Leonard%2016'%20pullup%20Jump%20Shot%20(2%20PTS)%20(J.%20Harden%201%20AST)", "16' pullup Jump Shot (2 PTS) (J. Harden 1 AST)")</f>
        <v>16' pullup Jump Shot (2 PTS) (J. Harden 1 AST)</v>
      </c>
      <c r="L1444" s="2" t="str">
        <f>HYPERLINK("https://www.nba.com/game/...-vs-...-0022300658/play-by-play?watchFullGame=true", "LAC vs CLE - Q1 11:08.00")</f>
        <v>LAC vs CLE - Q1 11:08.00</v>
      </c>
      <c r="M1444">
        <v>16.579999999999998</v>
      </c>
      <c r="N1444">
        <v>77.22</v>
      </c>
      <c r="O1444">
        <v>42.65</v>
      </c>
      <c r="P1444">
        <v>-37</v>
      </c>
      <c r="Q1444">
        <v>162</v>
      </c>
      <c r="R1444">
        <v>77</v>
      </c>
      <c r="S1444">
        <v>42</v>
      </c>
    </row>
    <row r="1445" spans="1:19" hidden="1" x14ac:dyDescent="0.25">
      <c r="A1445">
        <v>41900233</v>
      </c>
      <c r="B1445" t="s">
        <v>18</v>
      </c>
      <c r="C1445" t="s">
        <v>84</v>
      </c>
      <c r="D1445">
        <v>104</v>
      </c>
      <c r="E1445">
        <v>101</v>
      </c>
      <c r="F1445">
        <v>3</v>
      </c>
      <c r="G1445">
        <v>4</v>
      </c>
      <c r="H1445" s="1">
        <v>3.0902777777777777E-3</v>
      </c>
      <c r="I1445" t="s">
        <v>85</v>
      </c>
      <c r="J1445" t="s">
        <v>83</v>
      </c>
      <c r="K1445" s="2" t="str">
        <f>HYPERLINK("https://www.nba.com/stats/events?CFID=&amp;CFPARAMS=&amp;GameEventID=579&amp;GameID=0041900233&amp;Season=2019-20&amp;flag=1&amp;title=Leonard%2016'%20jumpshot%20(21%20PTS)", "16' jumpshot (21 PTS)")</f>
        <v>16' jumpshot (21 PTS)</v>
      </c>
      <c r="L1445" s="2" t="str">
        <f>HYPERLINK("https://www.nba.com/game/...-vs-...-0041900233/play-by-play?watchFullGame=true", "LAC vs DEN - Q4 04:27.00")</f>
        <v>LAC vs DEN - Q4 04:27.00</v>
      </c>
      <c r="M1445">
        <v>16.29</v>
      </c>
      <c r="N1445">
        <v>77.739999999999995</v>
      </c>
      <c r="O1445">
        <v>46.88</v>
      </c>
      <c r="P1445">
        <v>-16</v>
      </c>
      <c r="Q1445">
        <v>157</v>
      </c>
      <c r="R1445">
        <v>77</v>
      </c>
      <c r="S1445">
        <v>46</v>
      </c>
    </row>
    <row r="1446" spans="1:19" hidden="1" x14ac:dyDescent="0.25">
      <c r="A1446">
        <v>42000171</v>
      </c>
      <c r="B1446" t="s">
        <v>18</v>
      </c>
      <c r="C1446" t="s">
        <v>19</v>
      </c>
      <c r="D1446">
        <v>24</v>
      </c>
      <c r="E1446">
        <v>29</v>
      </c>
      <c r="F1446">
        <v>5</v>
      </c>
      <c r="G1446">
        <v>1</v>
      </c>
      <c r="H1446" s="1">
        <v>1.4814814814814814E-3</v>
      </c>
      <c r="I1446" t="s">
        <v>91</v>
      </c>
      <c r="J1446" t="s">
        <v>83</v>
      </c>
      <c r="K1446" s="2" t="str">
        <f>HYPERLINK("https://www.nba.com/stats/events?CFID=&amp;CFPARAMS=&amp;GameEventID=124&amp;GameID=0042000171&amp;Season=2020-21&amp;flag=1&amp;title=Leonard%2016'%20Jump%20Shot%20(11%20PTS)%20(R.%20Jackson%202%20AST)", "16' Jump Shot (11 PTS) (R. Jackson 2 AST)")</f>
        <v>16' Jump Shot (11 PTS) (R. Jackson 2 AST)</v>
      </c>
      <c r="L1446" s="2" t="str">
        <f>HYPERLINK("https://www.nba.com/game/...-vs-...-0042000171/play-by-play?watchFullGame=true", "LAC vs DAL - Q1 02:08.00")</f>
        <v>LAC vs DAL - Q1 02:08.00</v>
      </c>
      <c r="M1446">
        <v>16.079999999999998</v>
      </c>
      <c r="N1446">
        <v>77.349999999999994</v>
      </c>
      <c r="O1446">
        <v>47.62</v>
      </c>
      <c r="P1446">
        <v>77</v>
      </c>
      <c r="Q1446">
        <v>47</v>
      </c>
      <c r="R1446">
        <v>77</v>
      </c>
      <c r="S1446">
        <v>47</v>
      </c>
    </row>
    <row r="1447" spans="1:19" hidden="1" x14ac:dyDescent="0.25">
      <c r="A1447">
        <v>22201112</v>
      </c>
      <c r="B1447" t="s">
        <v>18</v>
      </c>
      <c r="C1447" t="s">
        <v>19</v>
      </c>
      <c r="D1447">
        <v>65</v>
      </c>
      <c r="E1447">
        <v>81</v>
      </c>
      <c r="F1447">
        <v>16</v>
      </c>
      <c r="G1447">
        <v>3</v>
      </c>
      <c r="H1447" s="1">
        <v>5.2430555555555555E-3</v>
      </c>
      <c r="I1447">
        <v>2022</v>
      </c>
      <c r="J1447" t="s">
        <v>83</v>
      </c>
      <c r="K1447" s="2" t="str">
        <f>HYPERLINK("https://www.nba.com/stats/events?CFID=&amp;CFPARAMS=&amp;GameEventID=367&amp;GameID=0022201112&amp;Season=2022-23&amp;flag=1&amp;title=Leonard%2015'%20pullup%20Jump%20Shot%20(12%20PTS)", "15' pullup Jump Shot (12 PTS)")</f>
        <v>15' pullup Jump Shot (12 PTS)</v>
      </c>
      <c r="L1447" s="2" t="str">
        <f>HYPERLINK("https://www.nba.com/game/...-vs-...-0022201112/play-by-play?watchFullGame=true", "LAC vs NOP - Q3 07:33.00")</f>
        <v>LAC vs NOP - Q3 07:33.00</v>
      </c>
      <c r="M1447">
        <v>15.58</v>
      </c>
      <c r="N1447">
        <v>77.84</v>
      </c>
      <c r="O1447">
        <v>49.26</v>
      </c>
      <c r="P1447">
        <v>-4</v>
      </c>
      <c r="Q1447">
        <v>156</v>
      </c>
      <c r="R1447">
        <v>77</v>
      </c>
      <c r="S1447">
        <v>49</v>
      </c>
    </row>
    <row r="1448" spans="1:19" hidden="1" x14ac:dyDescent="0.25">
      <c r="A1448">
        <v>22301079</v>
      </c>
      <c r="B1448" t="s">
        <v>18</v>
      </c>
      <c r="C1448" t="s">
        <v>19</v>
      </c>
      <c r="D1448">
        <v>7</v>
      </c>
      <c r="E1448">
        <v>5</v>
      </c>
      <c r="F1448">
        <v>2</v>
      </c>
      <c r="G1448">
        <v>1</v>
      </c>
      <c r="H1448" s="1">
        <v>6.6898148148148151E-3</v>
      </c>
      <c r="I1448">
        <v>2023</v>
      </c>
      <c r="J1448" t="s">
        <v>83</v>
      </c>
      <c r="K1448" s="2" t="str">
        <f>HYPERLINK("https://www.nba.com/stats/events?CFID=&amp;CFPARAMS=&amp;GameEventID=29&amp;GameID=0022301079&amp;Season=2023-24&amp;flag=1&amp;title=Leonard%2015'%20Jump%20Shot%20(2%20PTS)%20(J.%20Harden%202%20AST)", "15' Jump Shot (2 PTS) (J. Harden 2 AST)")</f>
        <v>15' Jump Shot (2 PTS) (J. Harden 2 AST)</v>
      </c>
      <c r="L1448" s="2" t="str">
        <f>HYPERLINK("https://www.nba.com/game/...-vs-...-0022301079/play-by-play?watchFullGame=true", "LAC vs CHA - Q1 09:38.00")</f>
        <v>LAC vs CHA - Q1 09:38.00</v>
      </c>
      <c r="M1448">
        <v>15.94</v>
      </c>
      <c r="N1448">
        <v>77.48</v>
      </c>
      <c r="O1448">
        <v>51.72</v>
      </c>
      <c r="P1448">
        <v>9</v>
      </c>
      <c r="Q1448">
        <v>159</v>
      </c>
      <c r="R1448">
        <v>77</v>
      </c>
      <c r="S1448">
        <v>51</v>
      </c>
    </row>
    <row r="1449" spans="1:19" hidden="1" x14ac:dyDescent="0.25">
      <c r="A1449">
        <v>21900068</v>
      </c>
      <c r="B1449" t="s">
        <v>18</v>
      </c>
      <c r="C1449" t="s">
        <v>84</v>
      </c>
      <c r="D1449">
        <v>91</v>
      </c>
      <c r="E1449">
        <v>78</v>
      </c>
      <c r="F1449">
        <v>13</v>
      </c>
      <c r="G1449">
        <v>4</v>
      </c>
      <c r="H1449" s="1">
        <v>6.145833333333333E-3</v>
      </c>
      <c r="I1449">
        <v>2019</v>
      </c>
      <c r="J1449" t="s">
        <v>83</v>
      </c>
      <c r="K1449" s="2" t="str">
        <f>HYPERLINK("https://www.nba.com/stats/events?CFID=&amp;CFPARAMS=&amp;GameEventID=564&amp;GameID=0021900068&amp;Season=2019-20&amp;flag=1&amp;title=[LAC]%20Leonard%20jumpshot:%20Made%20(32%20PTS)", "[LAC] Leonard jumpshot: Made (32 PTS)")</f>
        <v>[LAC] Leonard jumpshot: Made (32 PTS)</v>
      </c>
      <c r="L1449" s="2" t="str">
        <f>HYPERLINK("https://www.nba.com/game/...-vs-...-0021900068/play-by-play?watchFullGame=true", "LAC vs SAS - Q4 08:51.00")</f>
        <v>LAC vs SAS - Q4 08:51.00</v>
      </c>
      <c r="M1449">
        <v>16.91</v>
      </c>
      <c r="N1449">
        <v>77.05</v>
      </c>
      <c r="O1449">
        <v>52.38</v>
      </c>
      <c r="P1449">
        <v>12</v>
      </c>
      <c r="Q1449">
        <v>163</v>
      </c>
      <c r="R1449">
        <v>77</v>
      </c>
      <c r="S1449">
        <v>52</v>
      </c>
    </row>
    <row r="1450" spans="1:19" hidden="1" x14ac:dyDescent="0.25">
      <c r="A1450">
        <v>22200668</v>
      </c>
      <c r="B1450" t="s">
        <v>18</v>
      </c>
      <c r="C1450" t="s">
        <v>19</v>
      </c>
      <c r="D1450">
        <v>43</v>
      </c>
      <c r="E1450">
        <v>53</v>
      </c>
      <c r="F1450">
        <v>10</v>
      </c>
      <c r="G1450">
        <v>2</v>
      </c>
      <c r="H1450" s="1">
        <v>2.8240740740740739E-3</v>
      </c>
      <c r="I1450">
        <v>2022</v>
      </c>
      <c r="J1450" t="s">
        <v>83</v>
      </c>
      <c r="K1450" s="2" t="str">
        <f>HYPERLINK("https://www.nba.com/stats/events?CFID=&amp;CFPARAMS=&amp;GameEventID=259&amp;GameID=0022200668&amp;Season=2022-23&amp;flag=1&amp;title=Leonard%2016'%20pullup%20Jump%20Shot%20(9%20PTS)", "16' pullup Jump Shot (9 PTS)")</f>
        <v>16' pullup Jump Shot (9 PTS)</v>
      </c>
      <c r="L1450" s="2" t="str">
        <f>HYPERLINK("https://www.nba.com/game/...-vs-...-0022200668/play-by-play?watchFullGame=true", "LAC vs PHI - Q2 04:04.00")</f>
        <v>LAC vs PHI - Q2 04:04.00</v>
      </c>
      <c r="M1450">
        <v>16.260000000000002</v>
      </c>
      <c r="N1450">
        <v>77.180000000000007</v>
      </c>
      <c r="O1450">
        <v>52.7</v>
      </c>
      <c r="P1450">
        <v>13</v>
      </c>
      <c r="Q1450">
        <v>162</v>
      </c>
      <c r="R1450">
        <v>77</v>
      </c>
      <c r="S1450">
        <v>52</v>
      </c>
    </row>
    <row r="1451" spans="1:19" hidden="1" x14ac:dyDescent="0.25">
      <c r="A1451">
        <v>22000799</v>
      </c>
      <c r="B1451" t="s">
        <v>18</v>
      </c>
      <c r="C1451" t="s">
        <v>19</v>
      </c>
      <c r="D1451">
        <v>5</v>
      </c>
      <c r="E1451">
        <v>0</v>
      </c>
      <c r="F1451">
        <v>5</v>
      </c>
      <c r="G1451">
        <v>1</v>
      </c>
      <c r="H1451" s="1">
        <v>7.5231481481481477E-3</v>
      </c>
      <c r="I1451">
        <v>2020</v>
      </c>
      <c r="J1451" t="s">
        <v>83</v>
      </c>
      <c r="K1451" s="2" t="str">
        <f>HYPERLINK("https://www.nba.com/stats/events?CFID=&amp;CFPARAMS=&amp;GameEventID=18&amp;GameID=0022000799&amp;Season=2020-21&amp;flag=1&amp;title=Leonard%2016'%20Jump%20Shot%20(2%20PTS)%20(R.%20Jackson%201%20AST)", "16' Jump Shot (2 PTS) (R. Jackson 1 AST)")</f>
        <v>16' Jump Shot (2 PTS) (R. Jackson 1 AST)</v>
      </c>
      <c r="L1451" s="2" t="str">
        <f>HYPERLINK("https://www.nba.com/game/...-vs-...-0022000799/play-by-play?watchFullGame=true", "LAC vs HOU - Q1 10:50.00")</f>
        <v>LAC vs HOU - Q1 10:50.00</v>
      </c>
      <c r="M1451">
        <v>16.28</v>
      </c>
      <c r="N1451">
        <v>77.22</v>
      </c>
      <c r="O1451">
        <v>53.75</v>
      </c>
      <c r="P1451">
        <v>19</v>
      </c>
      <c r="Q1451">
        <v>162</v>
      </c>
      <c r="R1451">
        <v>77</v>
      </c>
      <c r="S1451">
        <v>53</v>
      </c>
    </row>
    <row r="1452" spans="1:19" hidden="1" x14ac:dyDescent="0.25">
      <c r="A1452">
        <v>22400671</v>
      </c>
      <c r="B1452" t="s">
        <v>18</v>
      </c>
      <c r="C1452" t="s">
        <v>19</v>
      </c>
      <c r="D1452">
        <v>11</v>
      </c>
      <c r="E1452">
        <v>14</v>
      </c>
      <c r="F1452">
        <v>3</v>
      </c>
      <c r="G1452">
        <v>1</v>
      </c>
      <c r="H1452" s="1">
        <v>4.9305555555555552E-3</v>
      </c>
      <c r="I1452">
        <v>2024</v>
      </c>
      <c r="J1452" t="s">
        <v>83</v>
      </c>
      <c r="K1452" s="2" t="str">
        <f>HYPERLINK("https://www.nba.com/stats/events?CFID=&amp;CFPARAMS=&amp;GameEventID=57&amp;GameID=0022400671&amp;Season=2024-25&amp;flag=1&amp;title=Leonard%2016'%20turnaround%20fadeaway%20Jump%20Shot%20(4%20PTS)", "16' turnaround fadeaway Jump Shot (4 PTS)")</f>
        <v>16' turnaround fadeaway Jump Shot (4 PTS)</v>
      </c>
      <c r="L1452" s="2" t="str">
        <f>HYPERLINK("https://www.nba.com/game/...-vs-...-0022400671/play-by-play?watchFullGame=true", "LAC vs SAS - Q1 07:06.00")</f>
        <v>LAC vs SAS - Q1 07:06.00</v>
      </c>
      <c r="M1452">
        <v>16.16</v>
      </c>
      <c r="N1452">
        <v>77.87</v>
      </c>
      <c r="O1452">
        <v>58.82</v>
      </c>
      <c r="P1452">
        <v>44</v>
      </c>
      <c r="Q1452">
        <v>155</v>
      </c>
      <c r="R1452">
        <v>77</v>
      </c>
      <c r="S1452">
        <v>58</v>
      </c>
    </row>
    <row r="1453" spans="1:19" hidden="1" x14ac:dyDescent="0.25">
      <c r="A1453">
        <v>42000173</v>
      </c>
      <c r="B1453" t="s">
        <v>18</v>
      </c>
      <c r="C1453" t="s">
        <v>19</v>
      </c>
      <c r="D1453">
        <v>27</v>
      </c>
      <c r="E1453">
        <v>32</v>
      </c>
      <c r="F1453">
        <v>5</v>
      </c>
      <c r="G1453">
        <v>1</v>
      </c>
      <c r="H1453" s="1">
        <v>9.7222222222222219E-4</v>
      </c>
      <c r="I1453" t="s">
        <v>91</v>
      </c>
      <c r="J1453" t="s">
        <v>83</v>
      </c>
      <c r="K1453" s="2" t="str">
        <f>HYPERLINK("https://www.nba.com/stats/events?CFID=&amp;CFPARAMS=&amp;GameEventID=119&amp;GameID=0042000173&amp;Season=2020-21&amp;flag=1&amp;title=Leonard%2016'%20pullup%20Jump%20Shot%20(9%20PTS)", "16' pullup Jump Shot (9 PTS)")</f>
        <v>16' pullup Jump Shot (9 PTS)</v>
      </c>
      <c r="L1453" s="2" t="str">
        <f>HYPERLINK("https://www.nba.com/game/...-vs-...-0042000173/play-by-play?watchFullGame=true", "LAC vs DAL - Q1 01:24.00")</f>
        <v>LAC vs DAL - Q1 01:24.00</v>
      </c>
      <c r="M1453">
        <v>16.21</v>
      </c>
      <c r="N1453">
        <v>77.87</v>
      </c>
      <c r="O1453">
        <v>59.14</v>
      </c>
      <c r="P1453">
        <v>77</v>
      </c>
      <c r="Q1453">
        <v>59</v>
      </c>
      <c r="R1453">
        <v>77</v>
      </c>
      <c r="S1453">
        <v>59</v>
      </c>
    </row>
    <row r="1454" spans="1:19" hidden="1" x14ac:dyDescent="0.25">
      <c r="A1454">
        <v>22200687</v>
      </c>
      <c r="B1454" t="s">
        <v>18</v>
      </c>
      <c r="C1454" t="s">
        <v>19</v>
      </c>
      <c r="D1454">
        <v>63</v>
      </c>
      <c r="E1454">
        <v>67</v>
      </c>
      <c r="F1454">
        <v>4</v>
      </c>
      <c r="G1454">
        <v>2</v>
      </c>
      <c r="H1454" s="1">
        <v>7.5231481481481482E-4</v>
      </c>
      <c r="I1454">
        <v>2022</v>
      </c>
      <c r="J1454" t="s">
        <v>83</v>
      </c>
      <c r="K1454" s="2" t="str">
        <f>HYPERLINK("https://www.nba.com/stats/events?CFID=&amp;CFPARAMS=&amp;GameEventID=263&amp;GameID=0022200687&amp;Season=2022-23&amp;flag=1&amp;title=Leonard%2017'%20pullup%20Jump%20Shot%20(13%20PTS)", "17' pullup Jump Shot (13 PTS)")</f>
        <v>17' pullup Jump Shot (13 PTS)</v>
      </c>
      <c r="L1454" s="2" t="str">
        <f>HYPERLINK("https://www.nba.com/game/...-vs-...-0022200687/play-by-play?watchFullGame=true", "LAC vs SAS - Q2 01:05.00")</f>
        <v>LAC vs SAS - Q2 01:05.00</v>
      </c>
      <c r="M1454">
        <v>17.43</v>
      </c>
      <c r="N1454">
        <v>77.61</v>
      </c>
      <c r="O1454">
        <v>64.709999999999994</v>
      </c>
      <c r="P1454">
        <v>74</v>
      </c>
      <c r="Q1454">
        <v>158</v>
      </c>
      <c r="R1454">
        <v>77</v>
      </c>
      <c r="S1454">
        <v>64</v>
      </c>
    </row>
    <row r="1455" spans="1:19" hidden="1" x14ac:dyDescent="0.25">
      <c r="A1455">
        <v>21900618</v>
      </c>
      <c r="B1455" t="s">
        <v>18</v>
      </c>
      <c r="C1455" t="s">
        <v>84</v>
      </c>
      <c r="D1455">
        <v>32</v>
      </c>
      <c r="E1455">
        <v>24</v>
      </c>
      <c r="F1455">
        <v>8</v>
      </c>
      <c r="G1455">
        <v>1</v>
      </c>
      <c r="H1455" s="1">
        <v>2.2685185185185187E-3</v>
      </c>
      <c r="I1455">
        <v>2019</v>
      </c>
      <c r="J1455" t="s">
        <v>83</v>
      </c>
      <c r="K1455" s="2" t="str">
        <f>HYPERLINK("https://www.nba.com/stats/events?CFID=&amp;CFPARAMS=&amp;GameEventID=96&amp;GameID=0021900618&amp;Season=2019-20&amp;flag=1&amp;title=Leonard%2018'%20jumpshot%20(14%20PTS)%20(L.%20Williams%201%20AST)", "18' jumpshot (14 PTS) (L. Williams 1 AST)")</f>
        <v>18' jumpshot (14 PTS) (L. Williams 1 AST)</v>
      </c>
      <c r="L1455" s="2" t="str">
        <f>HYPERLINK("https://www.nba.com/game/...-vs-...-0021900618/play-by-play?watchFullGame=true", "LAC vs ORL - Q1 03:16.00")</f>
        <v>LAC vs ORL - Q1 03:16.00</v>
      </c>
      <c r="M1455">
        <v>17.87</v>
      </c>
      <c r="N1455">
        <v>77.97</v>
      </c>
      <c r="O1455">
        <v>65.86</v>
      </c>
      <c r="P1455">
        <v>79</v>
      </c>
      <c r="Q1455">
        <v>155</v>
      </c>
      <c r="R1455">
        <v>77</v>
      </c>
      <c r="S1455">
        <v>65</v>
      </c>
    </row>
    <row r="1456" spans="1:19" hidden="1" x14ac:dyDescent="0.25">
      <c r="A1456">
        <v>41900235</v>
      </c>
      <c r="B1456" t="s">
        <v>18</v>
      </c>
      <c r="C1456" t="s">
        <v>84</v>
      </c>
      <c r="D1456">
        <v>2</v>
      </c>
      <c r="E1456">
        <v>0</v>
      </c>
      <c r="F1456">
        <v>2</v>
      </c>
      <c r="G1456">
        <v>1</v>
      </c>
      <c r="H1456" s="1">
        <v>7.8935185185185185E-3</v>
      </c>
      <c r="I1456" t="s">
        <v>85</v>
      </c>
      <c r="J1456" t="s">
        <v>83</v>
      </c>
      <c r="K1456" s="2" t="str">
        <f>HYPERLINK("https://www.nba.com/stats/events?CFID=&amp;CFPARAMS=&amp;GameEventID=12&amp;GameID=0041900235&amp;Season=2019-20&amp;flag=1&amp;title=Leonard%2019'%20jumpshot%20(2%20PTS)", "19' jumpshot (2 PTS)")</f>
        <v>19' jumpshot (2 PTS)</v>
      </c>
      <c r="L1456" s="2" t="str">
        <f>HYPERLINK("https://www.nba.com/game/...-vs-...-0041900235/play-by-play?watchFullGame=true", "LAC vs DEN - Q1 11:22.00")</f>
        <v>LAC vs DEN - Q1 11:22.00</v>
      </c>
      <c r="M1456">
        <v>18.54</v>
      </c>
      <c r="N1456">
        <v>77.61</v>
      </c>
      <c r="O1456">
        <v>67.47</v>
      </c>
      <c r="P1456">
        <v>87</v>
      </c>
      <c r="Q1456">
        <v>158</v>
      </c>
      <c r="R1456">
        <v>77</v>
      </c>
      <c r="S1456">
        <v>67</v>
      </c>
    </row>
    <row r="1457" spans="1:19" hidden="1" x14ac:dyDescent="0.25">
      <c r="A1457">
        <v>22000324</v>
      </c>
      <c r="B1457" t="s">
        <v>18</v>
      </c>
      <c r="C1457" t="s">
        <v>19</v>
      </c>
      <c r="D1457">
        <v>83</v>
      </c>
      <c r="E1457">
        <v>83</v>
      </c>
      <c r="F1457">
        <v>0</v>
      </c>
      <c r="G1457">
        <v>3</v>
      </c>
      <c r="H1457" s="1">
        <v>1.25E-3</v>
      </c>
      <c r="I1457">
        <v>2020</v>
      </c>
      <c r="J1457" t="s">
        <v>83</v>
      </c>
      <c r="K1457" s="2" t="str">
        <f>HYPERLINK("https://www.nba.com/stats/events?CFID=&amp;CFPARAMS=&amp;GameEventID=417&amp;GameID=0022000324&amp;Season=2020-21&amp;flag=1&amp;title=Leonard%2018'%20Jump%20Shot%20(22%20PTS)", "18' Jump Shot (22 PTS)")</f>
        <v>18' Jump Shot (22 PTS)</v>
      </c>
      <c r="L1457" s="2" t="str">
        <f>HYPERLINK("https://www.nba.com/game/...-vs-...-0022000324/play-by-play?watchFullGame=true", "LAC vs BKN - Q3 01:48.00")</f>
        <v>LAC vs BKN - Q3 01:48.00</v>
      </c>
      <c r="M1457">
        <v>18.63</v>
      </c>
      <c r="N1457">
        <v>77.349999999999994</v>
      </c>
      <c r="O1457">
        <v>68.94</v>
      </c>
      <c r="P1457">
        <v>95</v>
      </c>
      <c r="Q1457">
        <v>160</v>
      </c>
      <c r="R1457">
        <v>77</v>
      </c>
      <c r="S1457">
        <v>68</v>
      </c>
    </row>
    <row r="1458" spans="1:19" hidden="1" x14ac:dyDescent="0.25">
      <c r="A1458">
        <v>22000188</v>
      </c>
      <c r="B1458" t="s">
        <v>18</v>
      </c>
      <c r="C1458" t="s">
        <v>19</v>
      </c>
      <c r="D1458">
        <v>55</v>
      </c>
      <c r="E1458">
        <v>51</v>
      </c>
      <c r="F1458">
        <v>4</v>
      </c>
      <c r="G1458">
        <v>2</v>
      </c>
      <c r="H1458" s="1">
        <v>3.2060185185185186E-3</v>
      </c>
      <c r="I1458">
        <v>2020</v>
      </c>
      <c r="J1458" t="s">
        <v>83</v>
      </c>
      <c r="K1458" s="2" t="str">
        <f>HYPERLINK("https://www.nba.com/stats/events?CFID=&amp;CFPARAMS=&amp;GameEventID=249&amp;GameID=0022000188&amp;Season=2020-21&amp;flag=1&amp;title=Leonard%2019'%20pullup%20Jump%20Shot%20(14%20PTS)", "19' pullup Jump Shot (14 PTS)")</f>
        <v>19' pullup Jump Shot (14 PTS)</v>
      </c>
      <c r="L1458" s="2" t="str">
        <f>HYPERLINK("https://www.nba.com/game/...-vs-...-0022000188/play-by-play?watchFullGame=true", "LAC vs SAC - Q2 04:37.00")</f>
        <v>LAC vs SAC - Q2 04:37.00</v>
      </c>
      <c r="M1458">
        <v>19.04</v>
      </c>
      <c r="N1458">
        <v>77.739999999999995</v>
      </c>
      <c r="O1458">
        <v>71.64</v>
      </c>
      <c r="P1458">
        <v>108</v>
      </c>
      <c r="Q1458">
        <v>157</v>
      </c>
      <c r="R1458">
        <v>77</v>
      </c>
      <c r="S1458">
        <v>71</v>
      </c>
    </row>
    <row r="1459" spans="1:19" hidden="1" x14ac:dyDescent="0.25">
      <c r="A1459">
        <v>22301064</v>
      </c>
      <c r="B1459" t="s">
        <v>18</v>
      </c>
      <c r="C1459" t="s">
        <v>19</v>
      </c>
      <c r="D1459">
        <v>98</v>
      </c>
      <c r="E1459">
        <v>97</v>
      </c>
      <c r="F1459">
        <v>1</v>
      </c>
      <c r="G1459">
        <v>4</v>
      </c>
      <c r="H1459" s="1">
        <v>4.0046296296296298E-4</v>
      </c>
      <c r="I1459">
        <v>2023</v>
      </c>
      <c r="J1459" t="s">
        <v>83</v>
      </c>
      <c r="K1459" s="2" t="str">
        <f>HYPERLINK("https://www.nba.com/stats/events?CFID=&amp;CFPARAMS=&amp;GameEventID=621&amp;GameID=0022301064&amp;Season=2023-24&amp;flag=1&amp;title=Leonard%2019'%20turnaround%20fadeaway%20Jump%20Shot%20(29%20PTS)", "19' turnaround fadeaway Jump Shot (29 PTS)")</f>
        <v>19' turnaround fadeaway Jump Shot (29 PTS)</v>
      </c>
      <c r="L1459" s="2" t="str">
        <f>HYPERLINK("https://www.nba.com/game/...-vs-...-0022301064/play-by-play?watchFullGame=true", "LAC vs ORL - Q4 00:34.60")</f>
        <v>LAC vs ORL - Q4 00:34.60</v>
      </c>
      <c r="M1459">
        <v>19.3</v>
      </c>
      <c r="N1459">
        <v>77.48</v>
      </c>
      <c r="O1459">
        <v>71.81</v>
      </c>
      <c r="P1459">
        <v>109</v>
      </c>
      <c r="Q1459">
        <v>159</v>
      </c>
      <c r="R1459">
        <v>77</v>
      </c>
      <c r="S1459">
        <v>71</v>
      </c>
    </row>
    <row r="1460" spans="1:19" hidden="1" x14ac:dyDescent="0.25">
      <c r="A1460">
        <v>22300179</v>
      </c>
      <c r="B1460" t="s">
        <v>18</v>
      </c>
      <c r="C1460" t="s">
        <v>19</v>
      </c>
      <c r="D1460">
        <v>59</v>
      </c>
      <c r="E1460">
        <v>69</v>
      </c>
      <c r="F1460">
        <v>10</v>
      </c>
      <c r="G1460">
        <v>3</v>
      </c>
      <c r="H1460" s="1">
        <v>3.5648148148148149E-3</v>
      </c>
      <c r="I1460">
        <v>2023</v>
      </c>
      <c r="J1460" t="s">
        <v>83</v>
      </c>
      <c r="K1460" s="2" t="str">
        <f>HYPERLINK("https://www.nba.com/stats/events?CFID=&amp;CFPARAMS=&amp;GameEventID=467&amp;GameID=0022300179&amp;Season=2023-24&amp;flag=1&amp;title=Leonard%2019'%20Jump%20Shot%20(12%20PTS)", "19' Jump Shot (12 PTS)")</f>
        <v>19' Jump Shot (12 PTS)</v>
      </c>
      <c r="L1460" s="2" t="str">
        <f>HYPERLINK("https://www.nba.com/game/...-vs-...-0022300179/play-by-play?watchFullGame=true", "LAC vs MEM - Q3 05:08.00")</f>
        <v>LAC vs MEM - Q3 05:08.00</v>
      </c>
      <c r="M1460">
        <v>19.72</v>
      </c>
      <c r="N1460">
        <v>77.58</v>
      </c>
      <c r="O1460">
        <v>73.53</v>
      </c>
      <c r="P1460">
        <v>118</v>
      </c>
      <c r="Q1460">
        <v>158</v>
      </c>
      <c r="R1460">
        <v>77</v>
      </c>
      <c r="S1460">
        <v>73</v>
      </c>
    </row>
    <row r="1461" spans="1:19" hidden="1" x14ac:dyDescent="0.25">
      <c r="A1461">
        <v>22200525</v>
      </c>
      <c r="B1461" t="s">
        <v>18</v>
      </c>
      <c r="C1461" t="s">
        <v>19</v>
      </c>
      <c r="D1461">
        <v>17</v>
      </c>
      <c r="E1461">
        <v>24</v>
      </c>
      <c r="F1461">
        <v>7</v>
      </c>
      <c r="G1461">
        <v>1</v>
      </c>
      <c r="H1461" s="1">
        <v>1.3425925925925925E-3</v>
      </c>
      <c r="I1461">
        <v>2022</v>
      </c>
      <c r="J1461" t="s">
        <v>83</v>
      </c>
      <c r="K1461" s="2" t="str">
        <f>HYPERLINK("https://www.nba.com/stats/events?CFID=&amp;CFPARAMS=&amp;GameEventID=125&amp;GameID=0022200525&amp;Season=2022-23&amp;flag=1&amp;title=Leonard%2019'%20Jump%20Shot%20(8%20PTS)", "19' Jump Shot (8 PTS)")</f>
        <v>19' Jump Shot (8 PTS)</v>
      </c>
      <c r="L1461" s="2" t="str">
        <f>HYPERLINK("https://www.nba.com/game/...-vs-...-0022200525/play-by-play?watchFullGame=true", "LAC vs BOS - Q1 01:56.00")</f>
        <v>LAC vs BOS - Q1 01:56.00</v>
      </c>
      <c r="M1461">
        <v>19.97</v>
      </c>
      <c r="N1461">
        <v>77.349999999999994</v>
      </c>
      <c r="O1461">
        <v>73.77</v>
      </c>
      <c r="P1461">
        <v>119</v>
      </c>
      <c r="Q1461">
        <v>160</v>
      </c>
      <c r="R1461">
        <v>77</v>
      </c>
      <c r="S1461">
        <v>73</v>
      </c>
    </row>
    <row r="1462" spans="1:19" hidden="1" x14ac:dyDescent="0.25">
      <c r="A1462">
        <v>42000171</v>
      </c>
      <c r="B1462" t="s">
        <v>18</v>
      </c>
      <c r="C1462" t="s">
        <v>19</v>
      </c>
      <c r="D1462">
        <v>45</v>
      </c>
      <c r="E1462">
        <v>43</v>
      </c>
      <c r="F1462">
        <v>2</v>
      </c>
      <c r="G1462">
        <v>2</v>
      </c>
      <c r="H1462" s="1">
        <v>4.0162037037037041E-3</v>
      </c>
      <c r="I1462" t="s">
        <v>91</v>
      </c>
      <c r="J1462" t="s">
        <v>83</v>
      </c>
      <c r="K1462" s="2" t="str">
        <f>HYPERLINK("https://www.nba.com/stats/events?CFID=&amp;CFPARAMS=&amp;GameEventID=237&amp;GameID=0042000171&amp;Season=2020-21&amp;flag=1&amp;title=Leonard%2020'%20Jump%20Shot%20(15%20PTS)%20(R.%20Rondo%201%20AST)", "20' Jump Shot (15 PTS) (R. Rondo 1 AST)")</f>
        <v>20' Jump Shot (15 PTS) (R. Rondo 1 AST)</v>
      </c>
      <c r="L1462" s="2" t="str">
        <f>HYPERLINK("https://www.nba.com/game/...-vs-...-0042000171/play-by-play?watchFullGame=true", "LAC vs DAL - Q2 05:47.00")</f>
        <v>LAC vs DAL - Q2 05:47.00</v>
      </c>
      <c r="M1462">
        <v>20.190000000000001</v>
      </c>
      <c r="N1462">
        <v>77.09</v>
      </c>
      <c r="O1462">
        <v>73.84</v>
      </c>
      <c r="P1462">
        <v>77</v>
      </c>
      <c r="Q1462">
        <v>73</v>
      </c>
      <c r="R1462">
        <v>77</v>
      </c>
      <c r="S1462">
        <v>73</v>
      </c>
    </row>
    <row r="1463" spans="1:19" hidden="1" x14ac:dyDescent="0.25">
      <c r="A1463">
        <v>42000222</v>
      </c>
      <c r="B1463" t="s">
        <v>26</v>
      </c>
      <c r="C1463" t="s">
        <v>19</v>
      </c>
      <c r="D1463">
        <v>67</v>
      </c>
      <c r="E1463">
        <v>76</v>
      </c>
      <c r="F1463">
        <v>9</v>
      </c>
      <c r="G1463">
        <v>3</v>
      </c>
      <c r="H1463" s="1">
        <v>4.2939814814814811E-3</v>
      </c>
      <c r="I1463" t="s">
        <v>94</v>
      </c>
      <c r="J1463" t="s">
        <v>83</v>
      </c>
      <c r="K1463" s="2" t="str">
        <f>HYPERLINK("https://www.nba.com/stats/events?CFID=&amp;CFPARAMS=&amp;GameEventID=375&amp;GameID=0042000222&amp;Season=2020-21&amp;flag=1&amp;title=Leonard%2026'%203PT%20%20(17%20PTS)%20(P.%20George%205%20AST)", "26' 3PT  (17 PTS) (P. George 5 AST)")</f>
        <v>26' 3PT  (17 PTS) (P. George 5 AST)</v>
      </c>
      <c r="L1463" s="2" t="str">
        <f>HYPERLINK("https://www.nba.com/game/...-vs-...-0042000222/play-by-play?watchFullGame=true", "LAC vs UTA - Q3 06:11.00")</f>
        <v>LAC vs UTA - Q3 06:11.00</v>
      </c>
      <c r="M1463">
        <v>26.09</v>
      </c>
      <c r="N1463">
        <v>78.010000000000005</v>
      </c>
      <c r="O1463">
        <v>7.91</v>
      </c>
      <c r="P1463">
        <v>78</v>
      </c>
      <c r="Q1463">
        <v>7</v>
      </c>
      <c r="R1463">
        <v>78</v>
      </c>
      <c r="S1463">
        <v>7</v>
      </c>
    </row>
    <row r="1464" spans="1:19" hidden="1" x14ac:dyDescent="0.25">
      <c r="A1464">
        <v>21900576</v>
      </c>
      <c r="B1464" t="s">
        <v>26</v>
      </c>
      <c r="C1464" t="s">
        <v>84</v>
      </c>
      <c r="D1464">
        <v>16</v>
      </c>
      <c r="E1464">
        <v>9</v>
      </c>
      <c r="F1464">
        <v>7</v>
      </c>
      <c r="G1464">
        <v>1</v>
      </c>
      <c r="H1464" s="1">
        <v>3.9351851851851848E-3</v>
      </c>
      <c r="I1464">
        <v>2019</v>
      </c>
      <c r="J1464" t="s">
        <v>83</v>
      </c>
      <c r="K1464" s="2" t="str">
        <f>HYPERLINK("https://www.nba.com/stats/events?CFID=&amp;CFPARAMS=&amp;GameEventID=71&amp;GameID=0021900576&amp;Season=2019-20&amp;flag=1&amp;title=Leonard%2025'%203PT%20%20(5%20PTS)%20(P.%20Beverley%203%20AST)", "25' 3PT  (5 PTS) (P. Beverley 3 AST)")</f>
        <v>25' 3PT  (5 PTS) (P. Beverley 3 AST)</v>
      </c>
      <c r="L1464" s="2" t="str">
        <f>HYPERLINK("https://www.nba.com/game/...-vs-...-0021900576/play-by-play?watchFullGame=true", "LAC vs GSW - Q1 05:40.00")</f>
        <v>LAC vs GSW - Q1 05:40.00</v>
      </c>
      <c r="M1464">
        <v>24.91</v>
      </c>
      <c r="N1464">
        <v>78.37</v>
      </c>
      <c r="O1464">
        <v>11.21</v>
      </c>
      <c r="P1464">
        <v>-194</v>
      </c>
      <c r="Q1464">
        <v>151</v>
      </c>
      <c r="R1464">
        <v>78</v>
      </c>
      <c r="S1464">
        <v>11</v>
      </c>
    </row>
    <row r="1465" spans="1:19" hidden="1" x14ac:dyDescent="0.25">
      <c r="A1465">
        <v>22200871</v>
      </c>
      <c r="B1465" t="s">
        <v>26</v>
      </c>
      <c r="C1465" t="s">
        <v>19</v>
      </c>
      <c r="D1465">
        <v>9</v>
      </c>
      <c r="E1465">
        <v>5</v>
      </c>
      <c r="F1465">
        <v>4</v>
      </c>
      <c r="G1465">
        <v>1</v>
      </c>
      <c r="H1465" s="1">
        <v>5.4745370370370373E-3</v>
      </c>
      <c r="I1465">
        <v>2022</v>
      </c>
      <c r="J1465" t="s">
        <v>83</v>
      </c>
      <c r="K1465" s="2" t="str">
        <f>HYPERLINK("https://www.nba.com/stats/events?CFID=&amp;CFPARAMS=&amp;GameEventID=35&amp;GameID=0022200871&amp;Season=2022-23&amp;flag=1&amp;title=Leonard%2024'%203PT%20running%20(3%20PTS)%20(P.%20George%201%20AST)", "24' 3PT running (3 PTS) (P. George 1 AST)")</f>
        <v>24' 3PT running (3 PTS) (P. George 1 AST)</v>
      </c>
      <c r="L1465" s="2" t="str">
        <f>HYPERLINK("https://www.nba.com/game/...-vs-...-0022200871/play-by-play?watchFullGame=true", "LAC vs GSW - Q1 07:53.00")</f>
        <v>LAC vs GSW - Q1 07:53.00</v>
      </c>
      <c r="M1465">
        <v>24.71</v>
      </c>
      <c r="N1465">
        <v>78.760000000000005</v>
      </c>
      <c r="O1465">
        <v>89.71</v>
      </c>
      <c r="P1465">
        <v>199</v>
      </c>
      <c r="Q1465">
        <v>147</v>
      </c>
      <c r="R1465">
        <v>78</v>
      </c>
      <c r="S1465">
        <v>89</v>
      </c>
    </row>
    <row r="1466" spans="1:19" hidden="1" x14ac:dyDescent="0.25">
      <c r="A1466">
        <v>21901271</v>
      </c>
      <c r="B1466" t="s">
        <v>18</v>
      </c>
      <c r="C1466" t="s">
        <v>84</v>
      </c>
      <c r="D1466">
        <v>120</v>
      </c>
      <c r="E1466">
        <v>108</v>
      </c>
      <c r="F1466">
        <v>12</v>
      </c>
      <c r="G1466">
        <v>4</v>
      </c>
      <c r="H1466" s="1">
        <v>1.1921296296296296E-3</v>
      </c>
      <c r="I1466">
        <v>2019</v>
      </c>
      <c r="J1466" t="s">
        <v>83</v>
      </c>
      <c r="K1466" s="2" t="str">
        <f>HYPERLINK("https://www.nba.com/stats/events?CFID=&amp;CFPARAMS=&amp;GameEventID=615&amp;GameID=0021901271&amp;Season=2019-20&amp;flag=1&amp;title=Leonard%2023'%20jumpshot%20(29%20PTS)", "23' jumpshot (29 PTS)")</f>
        <v>23' jumpshot (29 PTS)</v>
      </c>
      <c r="L1466" s="2" t="str">
        <f>HYPERLINK("https://www.nba.com/game/...-vs-...-0021901271/play-by-play?watchFullGame=true", "LAC vs DAL - Q4 01:43.00")</f>
        <v>LAC vs DAL - Q4 01:43.00</v>
      </c>
      <c r="M1466">
        <v>22.71</v>
      </c>
      <c r="N1466">
        <v>78.010000000000005</v>
      </c>
      <c r="O1466">
        <v>17.72</v>
      </c>
      <c r="P1466">
        <v>-161</v>
      </c>
      <c r="Q1466">
        <v>154</v>
      </c>
      <c r="R1466">
        <v>78</v>
      </c>
      <c r="S1466">
        <v>17</v>
      </c>
    </row>
    <row r="1467" spans="1:19" hidden="1" x14ac:dyDescent="0.25">
      <c r="A1467">
        <v>21900419</v>
      </c>
      <c r="B1467" t="s">
        <v>18</v>
      </c>
      <c r="C1467" t="s">
        <v>84</v>
      </c>
      <c r="D1467">
        <v>22</v>
      </c>
      <c r="E1467">
        <v>19</v>
      </c>
      <c r="F1467">
        <v>3</v>
      </c>
      <c r="G1467">
        <v>1</v>
      </c>
      <c r="H1467" s="1">
        <v>2.662037037037037E-3</v>
      </c>
      <c r="I1467">
        <v>2019</v>
      </c>
      <c r="J1467" t="s">
        <v>83</v>
      </c>
      <c r="K1467" s="2" t="str">
        <f>HYPERLINK("https://www.nba.com/stats/events?CFID=&amp;CFPARAMS=&amp;GameEventID=95&amp;GameID=0021900419&amp;Season=2019-20&amp;flag=1&amp;title=Leonard%2018'%20jumpshot%20(9%20PTS)", "18' jumpshot (9 PTS)")</f>
        <v>18' jumpshot (9 PTS)</v>
      </c>
      <c r="L1467" s="2" t="str">
        <f>HYPERLINK("https://www.nba.com/game/...-vs-...-0021900419/play-by-play?watchFullGame=true", "LAC vs HOU - Q1 03:50.00")</f>
        <v>LAC vs HOU - Q1 03:50.00</v>
      </c>
      <c r="M1467">
        <v>18.12</v>
      </c>
      <c r="N1467">
        <v>78.89</v>
      </c>
      <c r="O1467">
        <v>30.08</v>
      </c>
      <c r="P1467">
        <v>-100</v>
      </c>
      <c r="Q1467">
        <v>146</v>
      </c>
      <c r="R1467">
        <v>78</v>
      </c>
      <c r="S1467">
        <v>30</v>
      </c>
    </row>
    <row r="1468" spans="1:19" hidden="1" x14ac:dyDescent="0.25">
      <c r="A1468">
        <v>22300486</v>
      </c>
      <c r="B1468" t="s">
        <v>18</v>
      </c>
      <c r="C1468" t="s">
        <v>19</v>
      </c>
      <c r="D1468">
        <v>4</v>
      </c>
      <c r="E1468">
        <v>6</v>
      </c>
      <c r="F1468">
        <v>2</v>
      </c>
      <c r="G1468">
        <v>1</v>
      </c>
      <c r="H1468" s="1">
        <v>7.1180555555555554E-3</v>
      </c>
      <c r="I1468">
        <v>2023</v>
      </c>
      <c r="J1468" t="s">
        <v>83</v>
      </c>
      <c r="K1468" s="2" t="str">
        <f>HYPERLINK("https://www.nba.com/stats/events?CFID=&amp;CFPARAMS=&amp;GameEventID=16&amp;GameID=0022300486&amp;Season=2023-24&amp;flag=1&amp;title=Leonard%2017'%20pullup%20Jump%20Shot%20(2%20PTS)", "17' pullup Jump Shot (2 PTS)")</f>
        <v>17' pullup Jump Shot (2 PTS)</v>
      </c>
      <c r="L1468" s="2" t="str">
        <f>HYPERLINK("https://www.nba.com/game/...-vs-...-0022300486/play-by-play?watchFullGame=true", "LAC vs NOP - Q1 10:15.00")</f>
        <v>LAC vs NOP - Q1 10:15.00</v>
      </c>
      <c r="M1468">
        <v>17.41</v>
      </c>
      <c r="N1468">
        <v>78.53</v>
      </c>
      <c r="O1468">
        <v>32.11</v>
      </c>
      <c r="P1468">
        <v>-89</v>
      </c>
      <c r="Q1468">
        <v>149</v>
      </c>
      <c r="R1468">
        <v>78</v>
      </c>
      <c r="S1468">
        <v>32</v>
      </c>
    </row>
    <row r="1469" spans="1:19" hidden="1" x14ac:dyDescent="0.25">
      <c r="A1469">
        <v>21900419</v>
      </c>
      <c r="B1469" t="s">
        <v>18</v>
      </c>
      <c r="C1469" t="s">
        <v>84</v>
      </c>
      <c r="D1469">
        <v>69</v>
      </c>
      <c r="E1469">
        <v>52</v>
      </c>
      <c r="F1469">
        <v>17</v>
      </c>
      <c r="G1469">
        <v>2</v>
      </c>
      <c r="H1469" s="1">
        <v>3.3217592592592592E-4</v>
      </c>
      <c r="I1469">
        <v>2019</v>
      </c>
      <c r="J1469" t="s">
        <v>83</v>
      </c>
      <c r="K1469" s="2" t="str">
        <f>HYPERLINK("https://www.nba.com/stats/events?CFID=&amp;CFPARAMS=&amp;GameEventID=308&amp;GameID=0021900419&amp;Season=2019-20&amp;flag=1&amp;title=Leonard%2018'%20jumpshot%20(17%20PTS)", "18' jumpshot (17 PTS)")</f>
        <v>18' jumpshot (17 PTS)</v>
      </c>
      <c r="L1469" s="2" t="str">
        <f>HYPERLINK("https://www.nba.com/game/...-vs-...-0021900419/play-by-play?watchFullGame=true", "LAC vs HOU - Q2 00:28.70")</f>
        <v>LAC vs HOU - Q2 00:28.70</v>
      </c>
      <c r="M1469">
        <v>17.57</v>
      </c>
      <c r="N1469">
        <v>78.5</v>
      </c>
      <c r="O1469">
        <v>33.51</v>
      </c>
      <c r="P1469">
        <v>-82</v>
      </c>
      <c r="Q1469">
        <v>150</v>
      </c>
      <c r="R1469">
        <v>78</v>
      </c>
      <c r="S1469">
        <v>33</v>
      </c>
    </row>
    <row r="1470" spans="1:19" hidden="1" x14ac:dyDescent="0.25">
      <c r="A1470">
        <v>22201096</v>
      </c>
      <c r="B1470" t="s">
        <v>18</v>
      </c>
      <c r="C1470" t="s">
        <v>19</v>
      </c>
      <c r="D1470">
        <v>2</v>
      </c>
      <c r="E1470">
        <v>2</v>
      </c>
      <c r="F1470">
        <v>0</v>
      </c>
      <c r="G1470">
        <v>1</v>
      </c>
      <c r="H1470" s="1">
        <v>7.5347222222222222E-3</v>
      </c>
      <c r="I1470">
        <v>2022</v>
      </c>
      <c r="J1470" t="s">
        <v>83</v>
      </c>
      <c r="K1470" s="2" t="str">
        <f>HYPERLINK("https://www.nba.com/stats/events?CFID=&amp;CFPARAMS=&amp;GameEventID=13&amp;GameID=0022201096&amp;Season=2022-23&amp;flag=1&amp;title=Leonard%2016'%20pullup%20Jump%20Shot%20(2%20PTS)%20(R.%20Westbrook%201%20AST)", "16' pullup Jump Shot (2 PTS) (R. Westbrook 1 AST)")</f>
        <v>16' pullup Jump Shot (2 PTS) (R. Westbrook 1 AST)</v>
      </c>
      <c r="L1470" s="2" t="str">
        <f>HYPERLINK("https://www.nba.com/game/...-vs-...-0022201096/play-by-play?watchFullGame=true", "LAC vs OKC - Q1 10:51.00")</f>
        <v>LAC vs OKC - Q1 10:51.00</v>
      </c>
      <c r="M1470">
        <v>16.89</v>
      </c>
      <c r="N1470">
        <v>78.37</v>
      </c>
      <c r="O1470">
        <v>34.799999999999997</v>
      </c>
      <c r="P1470">
        <v>-76</v>
      </c>
      <c r="Q1470">
        <v>151</v>
      </c>
      <c r="R1470">
        <v>78</v>
      </c>
      <c r="S1470">
        <v>34</v>
      </c>
    </row>
    <row r="1471" spans="1:19" hidden="1" x14ac:dyDescent="0.25">
      <c r="A1471">
        <v>22300688</v>
      </c>
      <c r="B1471" t="s">
        <v>18</v>
      </c>
      <c r="C1471" t="s">
        <v>19</v>
      </c>
      <c r="D1471">
        <v>21</v>
      </c>
      <c r="E1471">
        <v>28</v>
      </c>
      <c r="F1471">
        <v>7</v>
      </c>
      <c r="G1471">
        <v>1</v>
      </c>
      <c r="H1471" s="1">
        <v>1.6319444444444445E-3</v>
      </c>
      <c r="I1471">
        <v>2023</v>
      </c>
      <c r="J1471" t="s">
        <v>83</v>
      </c>
      <c r="K1471" s="2" t="str">
        <f>HYPERLINK("https://www.nba.com/stats/events?CFID=&amp;CFPARAMS=&amp;GameEventID=117&amp;GameID=0022300688&amp;Season=2023-24&amp;flag=1&amp;title=Leonard%2016'%20pullup%20Jump%20Shot%20(10%20PTS)%20(R.%20Westbrook%204%20AST)", "16' pullup Jump Shot (10 PTS) (R. Westbrook 4 AST)")</f>
        <v>16' pullup Jump Shot (10 PTS) (R. Westbrook 4 AST)</v>
      </c>
      <c r="L1471" s="2" t="str">
        <f>HYPERLINK("https://www.nba.com/game/...-vs-...-0022300688/play-by-play?watchFullGame=true", "LAC vs DET - Q1 02:21.00")</f>
        <v>LAC vs DET - Q1 02:21.00</v>
      </c>
      <c r="M1471">
        <v>16.98</v>
      </c>
      <c r="N1471">
        <v>78.010000000000005</v>
      </c>
      <c r="O1471">
        <v>35.78</v>
      </c>
      <c r="P1471">
        <v>-71</v>
      </c>
      <c r="Q1471">
        <v>154</v>
      </c>
      <c r="R1471">
        <v>78</v>
      </c>
      <c r="S1471">
        <v>35</v>
      </c>
    </row>
    <row r="1472" spans="1:19" hidden="1" x14ac:dyDescent="0.25">
      <c r="A1472">
        <v>21900002</v>
      </c>
      <c r="B1472" t="s">
        <v>18</v>
      </c>
      <c r="C1472" t="s">
        <v>19</v>
      </c>
      <c r="D1472">
        <v>31</v>
      </c>
      <c r="E1472">
        <v>31</v>
      </c>
      <c r="F1472">
        <v>0</v>
      </c>
      <c r="G1472">
        <v>2</v>
      </c>
      <c r="H1472" s="1">
        <v>6.4814814814814813E-3</v>
      </c>
      <c r="I1472">
        <v>2019</v>
      </c>
      <c r="J1472" t="s">
        <v>83</v>
      </c>
      <c r="K1472" s="2" t="str">
        <f>HYPERLINK("https://www.nba.com/stats/events?CFID=&amp;CFPARAMS=&amp;GameEventID=205&amp;GameID=0021900002&amp;Season=2019-20&amp;flag=1&amp;title=Leonard%2017'%20fadeaway%20Jump%20Shot%20(11%20PTS)", "17' fadeaway Jump Shot (11 PTS)")</f>
        <v>17' fadeaway Jump Shot (11 PTS)</v>
      </c>
      <c r="L1472" s="2" t="str">
        <f>HYPERLINK("https://www.nba.com/game/...-vs-...-0021900002/play-by-play?watchFullGame=true", "LAC vs LAL - Q2 09:20.00")</f>
        <v>LAC vs LAL - Q2 09:20.00</v>
      </c>
      <c r="M1472">
        <v>17.170000000000002</v>
      </c>
      <c r="N1472">
        <v>78.099999999999994</v>
      </c>
      <c r="O1472">
        <v>36.94</v>
      </c>
      <c r="P1472">
        <v>-65</v>
      </c>
      <c r="Q1472">
        <v>153</v>
      </c>
      <c r="R1472">
        <v>78</v>
      </c>
      <c r="S1472">
        <v>36</v>
      </c>
    </row>
    <row r="1473" spans="1:19" hidden="1" x14ac:dyDescent="0.25">
      <c r="A1473">
        <v>21900002</v>
      </c>
      <c r="B1473" t="s">
        <v>18</v>
      </c>
      <c r="C1473" t="s">
        <v>19</v>
      </c>
      <c r="D1473">
        <v>24</v>
      </c>
      <c r="E1473">
        <v>25</v>
      </c>
      <c r="F1473">
        <v>1</v>
      </c>
      <c r="G1473">
        <v>2</v>
      </c>
      <c r="H1473" s="1">
        <v>7.9282407407407409E-3</v>
      </c>
      <c r="I1473">
        <v>2019</v>
      </c>
      <c r="J1473" t="s">
        <v>83</v>
      </c>
      <c r="K1473" s="2" t="str">
        <f>HYPERLINK("https://www.nba.com/stats/events?CFID=&amp;CFPARAMS=&amp;GameEventID=182&amp;GameID=0021900002&amp;Season=2019-20&amp;flag=1&amp;title=Leonard%2016'%20pullup%20Jump%20Shot%20(6%20PTS)", "16' pullup Jump Shot (6 PTS)")</f>
        <v>16' pullup Jump Shot (6 PTS)</v>
      </c>
      <c r="L1473" s="2" t="str">
        <f>HYPERLINK("https://www.nba.com/game/...-vs-...-0021900002/play-by-play?watchFullGame=true", "LAC vs LAL - Q2 11:25.00")</f>
        <v>LAC vs LAL - Q2 11:25.00</v>
      </c>
      <c r="M1473">
        <v>16.28</v>
      </c>
      <c r="N1473">
        <v>78.5</v>
      </c>
      <c r="O1473">
        <v>40.130000000000003</v>
      </c>
      <c r="P1473">
        <v>-49</v>
      </c>
      <c r="Q1473">
        <v>150</v>
      </c>
      <c r="R1473">
        <v>78</v>
      </c>
      <c r="S1473">
        <v>40</v>
      </c>
    </row>
    <row r="1474" spans="1:19" hidden="1" x14ac:dyDescent="0.25">
      <c r="A1474">
        <v>21900251</v>
      </c>
      <c r="B1474" t="s">
        <v>18</v>
      </c>
      <c r="C1474" t="s">
        <v>84</v>
      </c>
      <c r="D1474">
        <v>73</v>
      </c>
      <c r="E1474">
        <v>53</v>
      </c>
      <c r="F1474">
        <v>20</v>
      </c>
      <c r="G1474">
        <v>3</v>
      </c>
      <c r="H1474" s="1">
        <v>6.1689814814814819E-3</v>
      </c>
      <c r="I1474">
        <v>2019</v>
      </c>
      <c r="J1474" t="s">
        <v>83</v>
      </c>
      <c r="K1474" s="2" t="str">
        <f>HYPERLINK("https://www.nba.com/stats/events?CFID=&amp;CFPARAMS=&amp;GameEventID=411&amp;GameID=0021900251&amp;Season=2019-20&amp;flag=1&amp;title=Leonard%2016'%20jumpshot%20(15%20PTS)", "16' jumpshot (15 PTS)")</f>
        <v>16' jumpshot (15 PTS)</v>
      </c>
      <c r="L1474" s="2" t="str">
        <f>HYPERLINK("https://www.nba.com/game/...-vs-...-0021900251/play-by-play?watchFullGame=true", "LAC vs DAL - Q3 08:53.00")</f>
        <v>LAC vs DAL - Q3 08:53.00</v>
      </c>
      <c r="M1474">
        <v>15.82</v>
      </c>
      <c r="N1474">
        <v>78.27</v>
      </c>
      <c r="O1474">
        <v>46.64</v>
      </c>
      <c r="P1474">
        <v>-17</v>
      </c>
      <c r="Q1474">
        <v>152</v>
      </c>
      <c r="R1474">
        <v>78</v>
      </c>
      <c r="S1474">
        <v>46</v>
      </c>
    </row>
    <row r="1475" spans="1:19" hidden="1" x14ac:dyDescent="0.25">
      <c r="A1475">
        <v>22300676</v>
      </c>
      <c r="B1475" t="s">
        <v>18</v>
      </c>
      <c r="C1475" t="s">
        <v>19</v>
      </c>
      <c r="D1475">
        <v>25</v>
      </c>
      <c r="E1475">
        <v>21</v>
      </c>
      <c r="F1475">
        <v>4</v>
      </c>
      <c r="G1475">
        <v>1</v>
      </c>
      <c r="H1475" s="1">
        <v>3.0439814814814813E-3</v>
      </c>
      <c r="I1475">
        <v>2023</v>
      </c>
      <c r="J1475" t="s">
        <v>83</v>
      </c>
      <c r="K1475" s="2" t="str">
        <f>HYPERLINK("https://www.nba.com/stats/events?CFID=&amp;CFPARAMS=&amp;GameEventID=94&amp;GameID=0022300676&amp;Season=2023-24&amp;flag=1&amp;title=Leonard%2015'%20turnaround%20Jump%20Shot%20(9%20PTS)%20(R.%20Westbrook%201%20AST)", "15' turnaround Jump Shot (9 PTS) (R. Westbrook 1 AST)")</f>
        <v>15' turnaround Jump Shot (9 PTS) (R. Westbrook 1 AST)</v>
      </c>
      <c r="L1475" s="2" t="str">
        <f>HYPERLINK("https://www.nba.com/game/...-vs-...-0022300676/play-by-play?watchFullGame=true", "LAC vs WAS - Q1 04:23.00")</f>
        <v>LAC vs WAS - Q1 04:23.00</v>
      </c>
      <c r="M1475">
        <v>15.18</v>
      </c>
      <c r="N1475">
        <v>78.27</v>
      </c>
      <c r="O1475">
        <v>50</v>
      </c>
      <c r="P1475">
        <v>78</v>
      </c>
      <c r="Q1475">
        <v>152</v>
      </c>
      <c r="R1475">
        <v>78</v>
      </c>
      <c r="S1475">
        <v>50</v>
      </c>
    </row>
    <row r="1476" spans="1:19" hidden="1" x14ac:dyDescent="0.25">
      <c r="A1476">
        <v>22400874</v>
      </c>
      <c r="B1476" t="s">
        <v>18</v>
      </c>
      <c r="C1476" t="s">
        <v>19</v>
      </c>
      <c r="D1476">
        <v>41</v>
      </c>
      <c r="E1476">
        <v>44</v>
      </c>
      <c r="F1476">
        <v>3</v>
      </c>
      <c r="G1476">
        <v>2</v>
      </c>
      <c r="H1476" s="1">
        <v>5.6018518518518518E-3</v>
      </c>
      <c r="I1476">
        <v>2024</v>
      </c>
      <c r="J1476" t="s">
        <v>83</v>
      </c>
      <c r="K1476" s="2" t="str">
        <f>HYPERLINK("https://www.nba.com/stats/events?CFID=&amp;CFPARAMS=&amp;GameEventID=205&amp;GameID=0022400874&amp;Season=2024-25&amp;flag=1&amp;title=Leonard%2015'%20step%20back%20Jump%20Shot%20(13%20PTS)", "15' step back Jump Shot (13 PTS)")</f>
        <v>15' step back Jump Shot (13 PTS)</v>
      </c>
      <c r="L1476" s="2" t="str">
        <f>HYPERLINK("https://www.nba.com/game/...-vs-...-0022400874/play-by-play?watchFullGame=true", "LAC vs LAL - Q2 08:04.00")</f>
        <v>LAC vs LAL - Q2 08:04.00</v>
      </c>
      <c r="M1476">
        <v>15.31</v>
      </c>
      <c r="N1476">
        <v>78.239999999999995</v>
      </c>
      <c r="O1476">
        <v>53.43</v>
      </c>
      <c r="P1476">
        <v>17</v>
      </c>
      <c r="Q1476">
        <v>152</v>
      </c>
      <c r="R1476">
        <v>78</v>
      </c>
      <c r="S1476">
        <v>53</v>
      </c>
    </row>
    <row r="1477" spans="1:19" hidden="1" x14ac:dyDescent="0.25">
      <c r="A1477">
        <v>22300085</v>
      </c>
      <c r="B1477" t="s">
        <v>18</v>
      </c>
      <c r="C1477" t="s">
        <v>19</v>
      </c>
      <c r="D1477">
        <v>46</v>
      </c>
      <c r="E1477">
        <v>55</v>
      </c>
      <c r="F1477">
        <v>9</v>
      </c>
      <c r="G1477">
        <v>2</v>
      </c>
      <c r="H1477" s="1">
        <v>2.3148148148148147E-3</v>
      </c>
      <c r="I1477">
        <v>2023</v>
      </c>
      <c r="J1477" t="s">
        <v>83</v>
      </c>
      <c r="K1477" s="2" t="str">
        <f>HYPERLINK("https://www.nba.com/stats/events?CFID=&amp;CFPARAMS=&amp;GameEventID=278&amp;GameID=0022300085&amp;Season=2023-24&amp;flag=1&amp;title=Leonard%2015'%20turnaround%20Jump%20Shot%20(10%20PTS)", "15' turnaround Jump Shot (10 PTS)")</f>
        <v>15' turnaround Jump Shot (10 PTS)</v>
      </c>
      <c r="L1477" s="2" t="str">
        <f>HYPERLINK("https://www.nba.com/game/...-vs-...-0022300085/play-by-play?watchFullGame=true", "LAC vs UTA - Q2 03:20.00")</f>
        <v>LAC vs UTA - Q2 03:20.00</v>
      </c>
      <c r="M1477">
        <v>15.03</v>
      </c>
      <c r="N1477">
        <v>78.66</v>
      </c>
      <c r="O1477">
        <v>55.15</v>
      </c>
      <c r="P1477">
        <v>26</v>
      </c>
      <c r="Q1477">
        <v>148</v>
      </c>
      <c r="R1477">
        <v>78</v>
      </c>
      <c r="S1477">
        <v>55</v>
      </c>
    </row>
    <row r="1478" spans="1:19" hidden="1" x14ac:dyDescent="0.25">
      <c r="A1478">
        <v>41900233</v>
      </c>
      <c r="B1478" t="s">
        <v>18</v>
      </c>
      <c r="C1478" t="s">
        <v>84</v>
      </c>
      <c r="D1478">
        <v>64</v>
      </c>
      <c r="E1478">
        <v>67</v>
      </c>
      <c r="F1478">
        <v>3</v>
      </c>
      <c r="G1478">
        <v>3</v>
      </c>
      <c r="H1478" s="1">
        <v>6.4930555555555557E-3</v>
      </c>
      <c r="I1478" t="s">
        <v>85</v>
      </c>
      <c r="J1478" t="s">
        <v>83</v>
      </c>
      <c r="K1478" s="2" t="str">
        <f>HYPERLINK("https://www.nba.com/stats/events?CFID=&amp;CFPARAMS=&amp;GameEventID=341&amp;GameID=0041900233&amp;Season=2019-20&amp;flag=1&amp;title=Leonard%2016'%20jumpshot%20(16%20PTS)%20(P.%20George%203%20AST)", "16' jumpshot (16 PTS) (P. George 3 AST)")</f>
        <v>16' jumpshot (16 PTS) (P. George 3 AST)</v>
      </c>
      <c r="L1478" s="2" t="str">
        <f>HYPERLINK("https://www.nba.com/game/...-vs-...-0041900233/play-by-play?watchFullGame=true", "LAC vs DEN - Q3 09:21.00")</f>
        <v>LAC vs DEN - Q3 09:21.00</v>
      </c>
      <c r="M1478">
        <v>15.86</v>
      </c>
      <c r="N1478">
        <v>78.930000000000007</v>
      </c>
      <c r="O1478">
        <v>59.63</v>
      </c>
      <c r="P1478">
        <v>48</v>
      </c>
      <c r="Q1478">
        <v>146</v>
      </c>
      <c r="R1478">
        <v>78</v>
      </c>
      <c r="S1478">
        <v>59</v>
      </c>
    </row>
    <row r="1479" spans="1:19" hidden="1" x14ac:dyDescent="0.25">
      <c r="A1479">
        <v>22200255</v>
      </c>
      <c r="B1479" t="s">
        <v>18</v>
      </c>
      <c r="C1479" t="s">
        <v>19</v>
      </c>
      <c r="D1479">
        <v>90</v>
      </c>
      <c r="E1479">
        <v>94</v>
      </c>
      <c r="F1479">
        <v>4</v>
      </c>
      <c r="G1479">
        <v>4</v>
      </c>
      <c r="H1479" s="1">
        <v>7.9861111111111105E-3</v>
      </c>
      <c r="I1479">
        <v>2022</v>
      </c>
      <c r="J1479" t="s">
        <v>83</v>
      </c>
      <c r="K1479" s="2" t="str">
        <f>HYPERLINK("https://www.nba.com/stats/events?CFID=&amp;CFPARAMS=&amp;GameEventID=490&amp;GameID=0022200255&amp;Season=2022-23&amp;flag=1&amp;title=Leonard%2015'%20step%20back%20Jump%20Shot%20(8%20PTS)", "15' step back Jump Shot (8 PTS)")</f>
        <v>15' step back Jump Shot (8 PTS)</v>
      </c>
      <c r="L1479" s="2" t="str">
        <f>HYPERLINK("https://www.nba.com/game/...-vs-...-0022200255/play-by-play?watchFullGame=true", "LAC vs UTA - Q4 11:30.00")</f>
        <v>LAC vs UTA - Q4 11:30.00</v>
      </c>
      <c r="M1479">
        <v>15.71</v>
      </c>
      <c r="N1479">
        <v>78.760000000000005</v>
      </c>
      <c r="O1479">
        <v>61.03</v>
      </c>
      <c r="P1479">
        <v>55</v>
      </c>
      <c r="Q1479">
        <v>147</v>
      </c>
      <c r="R1479">
        <v>78</v>
      </c>
      <c r="S1479">
        <v>61</v>
      </c>
    </row>
    <row r="1480" spans="1:19" hidden="1" x14ac:dyDescent="0.25">
      <c r="A1480">
        <v>22201096</v>
      </c>
      <c r="B1480" t="s">
        <v>18</v>
      </c>
      <c r="C1480" t="s">
        <v>19</v>
      </c>
      <c r="D1480">
        <v>24</v>
      </c>
      <c r="E1480">
        <v>22</v>
      </c>
      <c r="F1480">
        <v>2</v>
      </c>
      <c r="G1480">
        <v>1</v>
      </c>
      <c r="H1480" s="1">
        <v>1.9675925925925924E-3</v>
      </c>
      <c r="I1480">
        <v>2022</v>
      </c>
      <c r="J1480" t="s">
        <v>83</v>
      </c>
      <c r="K1480" s="2" t="str">
        <f>HYPERLINK("https://www.nba.com/stats/events?CFID=&amp;CFPARAMS=&amp;GameEventID=111&amp;GameID=0022201096&amp;Season=2022-23&amp;flag=1&amp;title=Leonard%2017'%20pullup%20Jump%20Shot%20(10%20PTS)", "17' pullup Jump Shot (10 PTS)")</f>
        <v>17' pullup Jump Shot (10 PTS)</v>
      </c>
      <c r="L1480" s="2" t="str">
        <f>HYPERLINK("https://www.nba.com/game/...-vs-...-0022201096/play-by-play?watchFullGame=true", "LAC vs OKC - Q1 02:50.00")</f>
        <v>LAC vs OKC - Q1 02:50.00</v>
      </c>
      <c r="M1480">
        <v>17.75</v>
      </c>
      <c r="N1480">
        <v>78.5</v>
      </c>
      <c r="O1480">
        <v>69.12</v>
      </c>
      <c r="P1480">
        <v>96</v>
      </c>
      <c r="Q1480">
        <v>150</v>
      </c>
      <c r="R1480">
        <v>78</v>
      </c>
      <c r="S1480">
        <v>69</v>
      </c>
    </row>
    <row r="1481" spans="1:19" hidden="1" x14ac:dyDescent="0.25">
      <c r="A1481">
        <v>22000366</v>
      </c>
      <c r="B1481" t="s">
        <v>18</v>
      </c>
      <c r="C1481" t="s">
        <v>19</v>
      </c>
      <c r="D1481">
        <v>10</v>
      </c>
      <c r="E1481">
        <v>10</v>
      </c>
      <c r="F1481">
        <v>0</v>
      </c>
      <c r="G1481">
        <v>1</v>
      </c>
      <c r="H1481" s="1">
        <v>4.3750000000000004E-3</v>
      </c>
      <c r="I1481">
        <v>2020</v>
      </c>
      <c r="J1481" t="s">
        <v>83</v>
      </c>
      <c r="K1481" s="2" t="str">
        <f>HYPERLINK("https://www.nba.com/stats/events?CFID=&amp;CFPARAMS=&amp;GameEventID=61&amp;GameID=0022000366&amp;Season=2020-21&amp;flag=1&amp;title=Leonard%2018'%20step%20back%20Jump%20Shot%20(4%20PTS)", "18' step back Jump Shot (4 PTS)")</f>
        <v>18' step back Jump Shot (4 PTS)</v>
      </c>
      <c r="L1481" s="2" t="str">
        <f>HYPERLINK("https://www.nba.com/game/...-vs-...-0022000366/play-by-play?watchFullGame=true", "LAC vs SAC - Q1 06:18.00")</f>
        <v>LAC vs SAC - Q1 06:18.00</v>
      </c>
      <c r="M1481">
        <v>18.559999999999999</v>
      </c>
      <c r="N1481">
        <v>78.010000000000005</v>
      </c>
      <c r="O1481">
        <v>70.66</v>
      </c>
      <c r="P1481">
        <v>103</v>
      </c>
      <c r="Q1481">
        <v>154</v>
      </c>
      <c r="R1481">
        <v>78</v>
      </c>
      <c r="S1481">
        <v>70</v>
      </c>
    </row>
    <row r="1482" spans="1:19" hidden="1" x14ac:dyDescent="0.25">
      <c r="A1482">
        <v>22300526</v>
      </c>
      <c r="B1482" t="s">
        <v>18</v>
      </c>
      <c r="C1482" t="s">
        <v>19</v>
      </c>
      <c r="D1482">
        <v>113</v>
      </c>
      <c r="E1482">
        <v>104</v>
      </c>
      <c r="F1482">
        <v>9</v>
      </c>
      <c r="G1482">
        <v>4</v>
      </c>
      <c r="H1482" s="1">
        <v>4.2592592592592595E-3</v>
      </c>
      <c r="I1482">
        <v>2023</v>
      </c>
      <c r="J1482" t="s">
        <v>83</v>
      </c>
      <c r="K1482" s="2" t="str">
        <f>HYPERLINK("https://www.nba.com/stats/events?CFID=&amp;CFPARAMS=&amp;GameEventID=543&amp;GameID=0022300526&amp;Season=2023-24&amp;flag=1&amp;title=Leonard%2018'%20pullup%20Jump%20Shot%20(27%20PTS)%20(J.%20Harden%2011%20AST)", "18' pullup Jump Shot (27 PTS) (J. Harden 11 AST)")</f>
        <v>18' pullup Jump Shot (27 PTS) (J. Harden 11 AST)</v>
      </c>
      <c r="L1482" s="2" t="str">
        <f>HYPERLINK("https://www.nba.com/game/...-vs-...-0022300526/play-by-play?watchFullGame=true", "LAC vs TOR - Q4 06:08.00")</f>
        <v>LAC vs TOR - Q4 06:08.00</v>
      </c>
      <c r="M1482">
        <v>18.36</v>
      </c>
      <c r="N1482">
        <v>78.89</v>
      </c>
      <c r="O1482">
        <v>72.3</v>
      </c>
      <c r="P1482">
        <v>112</v>
      </c>
      <c r="Q1482">
        <v>146</v>
      </c>
      <c r="R1482">
        <v>78</v>
      </c>
      <c r="S1482">
        <v>72</v>
      </c>
    </row>
    <row r="1483" spans="1:19" hidden="1" x14ac:dyDescent="0.25">
      <c r="A1483">
        <v>22200719</v>
      </c>
      <c r="B1483" t="s">
        <v>18</v>
      </c>
      <c r="C1483" t="s">
        <v>19</v>
      </c>
      <c r="D1483">
        <v>67</v>
      </c>
      <c r="E1483">
        <v>47</v>
      </c>
      <c r="F1483">
        <v>20</v>
      </c>
      <c r="G1483">
        <v>2</v>
      </c>
      <c r="H1483" s="1">
        <v>1.1226851851851851E-3</v>
      </c>
      <c r="I1483">
        <v>2022</v>
      </c>
      <c r="J1483" t="s">
        <v>83</v>
      </c>
      <c r="K1483" s="2" t="str">
        <f>HYPERLINK("https://www.nba.com/stats/events?CFID=&amp;CFPARAMS=&amp;GameEventID=303&amp;GameID=0022200719&amp;Season=2022-23&amp;flag=1&amp;title=Leonard%2018'%20pullup%20Jump%20Shot%20(12%20PTS)", "18' pullup Jump Shot (12 PTS)")</f>
        <v>18' pullup Jump Shot (12 PTS)</v>
      </c>
      <c r="L1483" s="2" t="str">
        <f>HYPERLINK("https://www.nba.com/game/...-vs-...-0022200719/play-by-play?watchFullGame=true", "LAC vs LAL - Q2 01:37.00")</f>
        <v>LAC vs LAL - Q2 01:37.00</v>
      </c>
      <c r="M1483">
        <v>18.68</v>
      </c>
      <c r="N1483">
        <v>78.760000000000005</v>
      </c>
      <c r="O1483">
        <v>73.040000000000006</v>
      </c>
      <c r="P1483">
        <v>115</v>
      </c>
      <c r="Q1483">
        <v>147</v>
      </c>
      <c r="R1483">
        <v>78</v>
      </c>
      <c r="S1483">
        <v>73</v>
      </c>
    </row>
    <row r="1484" spans="1:19" hidden="1" x14ac:dyDescent="0.25">
      <c r="A1484">
        <v>22200352</v>
      </c>
      <c r="B1484" t="s">
        <v>18</v>
      </c>
      <c r="C1484" t="s">
        <v>19</v>
      </c>
      <c r="D1484">
        <v>55</v>
      </c>
      <c r="E1484">
        <v>42</v>
      </c>
      <c r="F1484">
        <v>13</v>
      </c>
      <c r="G1484">
        <v>2</v>
      </c>
      <c r="H1484" s="1">
        <v>3.2060185185185186E-3</v>
      </c>
      <c r="I1484">
        <v>2022</v>
      </c>
      <c r="J1484" t="s">
        <v>83</v>
      </c>
      <c r="K1484" s="2" t="str">
        <f>HYPERLINK("https://www.nba.com/stats/events?CFID=&amp;CFPARAMS=&amp;GameEventID=272&amp;GameID=0022200352&amp;Season=2022-23&amp;flag=1&amp;title=Leonard%2019'%20step%20back%20Jump%20Shot%20(6%20PTS)%20(P.%20George%207%20AST)", "19' step back Jump Shot (6 PTS) (P. George 7 AST)")</f>
        <v>19' step back Jump Shot (6 PTS) (P. George 7 AST)</v>
      </c>
      <c r="L1484" s="2" t="str">
        <f>HYPERLINK("https://www.nba.com/game/...-vs-...-0022200352/play-by-play?watchFullGame=true", "LAC vs CHA - Q2 04:37.00")</f>
        <v>LAC vs CHA - Q2 04:37.00</v>
      </c>
      <c r="M1484">
        <v>19.03</v>
      </c>
      <c r="N1484">
        <v>78.400000000000006</v>
      </c>
      <c r="O1484">
        <v>73.28</v>
      </c>
      <c r="P1484">
        <v>116</v>
      </c>
      <c r="Q1484">
        <v>151</v>
      </c>
      <c r="R1484">
        <v>78</v>
      </c>
      <c r="S1484">
        <v>73</v>
      </c>
    </row>
    <row r="1485" spans="1:19" hidden="1" x14ac:dyDescent="0.25">
      <c r="A1485">
        <v>21901307</v>
      </c>
      <c r="B1485" t="s">
        <v>18</v>
      </c>
      <c r="C1485" t="s">
        <v>84</v>
      </c>
      <c r="D1485">
        <v>100</v>
      </c>
      <c r="E1485">
        <v>94</v>
      </c>
      <c r="F1485">
        <v>6</v>
      </c>
      <c r="G1485">
        <v>4</v>
      </c>
      <c r="H1485" s="1">
        <v>5.7060185185185183E-3</v>
      </c>
      <c r="I1485">
        <v>2019</v>
      </c>
      <c r="J1485" t="s">
        <v>83</v>
      </c>
      <c r="K1485" s="2" t="str">
        <f>HYPERLINK("https://www.nba.com/stats/events?CFID=&amp;CFPARAMS=&amp;GameEventID=537&amp;GameID=0021901307&amp;Season=2019-20&amp;flag=1&amp;title=Leonard%2020'%20jumpshot%20(24%20PTS)", "20' jumpshot (24 PTS)")</f>
        <v>20' jumpshot (24 PTS)</v>
      </c>
      <c r="L1485" s="2" t="str">
        <f>HYPERLINK("https://www.nba.com/game/...-vs-...-0021901307/play-by-play?watchFullGame=true", "LAC vs DEN - Q4 08:13.00")</f>
        <v>LAC vs DEN - Q4 08:13.00</v>
      </c>
      <c r="M1485">
        <v>19.98</v>
      </c>
      <c r="N1485">
        <v>78.14</v>
      </c>
      <c r="O1485">
        <v>74.33</v>
      </c>
      <c r="P1485">
        <v>122</v>
      </c>
      <c r="Q1485">
        <v>153</v>
      </c>
      <c r="R1485">
        <v>78</v>
      </c>
      <c r="S1485">
        <v>74</v>
      </c>
    </row>
    <row r="1486" spans="1:19" hidden="1" x14ac:dyDescent="0.25">
      <c r="A1486">
        <v>21900212</v>
      </c>
      <c r="B1486" t="s">
        <v>18</v>
      </c>
      <c r="C1486" t="s">
        <v>84</v>
      </c>
      <c r="D1486">
        <v>45</v>
      </c>
      <c r="E1486">
        <v>42</v>
      </c>
      <c r="F1486">
        <v>3</v>
      </c>
      <c r="G1486">
        <v>3</v>
      </c>
      <c r="H1486" s="1">
        <v>7.5115740740740742E-3</v>
      </c>
      <c r="I1486">
        <v>2019</v>
      </c>
      <c r="J1486" t="s">
        <v>83</v>
      </c>
      <c r="K1486" s="2" t="str">
        <f>HYPERLINK("https://www.nba.com/stats/events?CFID=&amp;CFPARAMS=&amp;GameEventID=358&amp;GameID=0021900212&amp;Season=2019-20&amp;flag=1&amp;title=Leonard%2020'%20jumpshot%20(13%20PTS)%20(M.%20Harkless%201%20AST)", "20' jumpshot (13 PTS) (M. Harkless 1 AST)")</f>
        <v>20' jumpshot (13 PTS) (M. Harkless 1 AST)</v>
      </c>
      <c r="L1486" s="2" t="str">
        <f>HYPERLINK("https://www.nba.com/game/...-vs-...-0021900212/play-by-play?watchFullGame=true", "LAC vs BOS - Q3 10:49.00")</f>
        <v>LAC vs BOS - Q3 10:49.00</v>
      </c>
      <c r="M1486">
        <v>19.61</v>
      </c>
      <c r="N1486">
        <v>78.89</v>
      </c>
      <c r="O1486">
        <v>74.930000000000007</v>
      </c>
      <c r="P1486">
        <v>125</v>
      </c>
      <c r="Q1486">
        <v>146</v>
      </c>
      <c r="R1486">
        <v>78</v>
      </c>
      <c r="S1486">
        <v>74</v>
      </c>
    </row>
    <row r="1487" spans="1:19" hidden="1" x14ac:dyDescent="0.25">
      <c r="A1487">
        <v>21900419</v>
      </c>
      <c r="B1487" t="s">
        <v>18</v>
      </c>
      <c r="C1487" t="s">
        <v>84</v>
      </c>
      <c r="D1487">
        <v>62</v>
      </c>
      <c r="E1487">
        <v>48</v>
      </c>
      <c r="F1487">
        <v>14</v>
      </c>
      <c r="G1487">
        <v>2</v>
      </c>
      <c r="H1487" s="1">
        <v>2.0254629629629629E-3</v>
      </c>
      <c r="I1487">
        <v>2019</v>
      </c>
      <c r="J1487" t="s">
        <v>83</v>
      </c>
      <c r="K1487" s="2" t="str">
        <f>HYPERLINK("https://www.nba.com/stats/events?CFID=&amp;CFPARAMS=&amp;GameEventID=274&amp;GameID=0021900419&amp;Season=2019-20&amp;flag=1&amp;title=Leonard%2022'%20jumpshot%20(15%20PTS)", "22' jumpshot (15 PTS)")</f>
        <v>22' jumpshot (15 PTS)</v>
      </c>
      <c r="L1487" s="2" t="str">
        <f>HYPERLINK("https://www.nba.com/game/...-vs-...-0021900419/play-by-play?watchFullGame=true", "LAC vs HOU - Q2 02:55.00")</f>
        <v>LAC vs HOU - Q2 02:55.00</v>
      </c>
      <c r="M1487">
        <v>21.79</v>
      </c>
      <c r="N1487">
        <v>78.099999999999994</v>
      </c>
      <c r="O1487">
        <v>79.83</v>
      </c>
      <c r="P1487">
        <v>149</v>
      </c>
      <c r="Q1487">
        <v>153</v>
      </c>
      <c r="R1487">
        <v>78</v>
      </c>
      <c r="S1487">
        <v>79</v>
      </c>
    </row>
    <row r="1488" spans="1:19" hidden="1" x14ac:dyDescent="0.25">
      <c r="A1488">
        <v>21900157</v>
      </c>
      <c r="B1488" t="s">
        <v>18</v>
      </c>
      <c r="C1488" t="s">
        <v>84</v>
      </c>
      <c r="D1488">
        <v>21</v>
      </c>
      <c r="E1488">
        <v>36</v>
      </c>
      <c r="F1488">
        <v>15</v>
      </c>
      <c r="G1488">
        <v>2</v>
      </c>
      <c r="H1488" s="1">
        <v>6.5046296296296293E-3</v>
      </c>
      <c r="I1488">
        <v>2019</v>
      </c>
      <c r="J1488" t="s">
        <v>83</v>
      </c>
      <c r="K1488" s="2" t="str">
        <f>HYPERLINK("https://www.nba.com/stats/events?CFID=&amp;CFPARAMS=&amp;GameEventID=220&amp;GameID=0021900157&amp;Season=2019-20&amp;flag=1&amp;title=Leonard%2022'%20jumpshot%20(11%20PTS)", "22' jumpshot (11 PTS)")</f>
        <v>22' jumpshot (11 PTS)</v>
      </c>
      <c r="L1488" s="2" t="str">
        <f>HYPERLINK("https://www.nba.com/game/...-vs-...-0021900157/play-by-play?watchFullGame=true", "LAC vs HOU - Q2 09:22.00")</f>
        <v>LAC vs HOU - Q2 09:22.00</v>
      </c>
      <c r="M1488">
        <v>21.52</v>
      </c>
      <c r="N1488">
        <v>78.5</v>
      </c>
      <c r="O1488">
        <v>79.83</v>
      </c>
      <c r="P1488">
        <v>149</v>
      </c>
      <c r="Q1488">
        <v>150</v>
      </c>
      <c r="R1488">
        <v>78</v>
      </c>
      <c r="S1488">
        <v>79</v>
      </c>
    </row>
    <row r="1489" spans="1:19" hidden="1" x14ac:dyDescent="0.25">
      <c r="A1489">
        <v>22200604</v>
      </c>
      <c r="B1489" t="s">
        <v>18</v>
      </c>
      <c r="C1489" t="s">
        <v>19</v>
      </c>
      <c r="D1489">
        <v>38</v>
      </c>
      <c r="E1489">
        <v>47</v>
      </c>
      <c r="F1489">
        <v>9</v>
      </c>
      <c r="G1489">
        <v>2</v>
      </c>
      <c r="H1489" s="1">
        <v>3.449074074074074E-3</v>
      </c>
      <c r="I1489">
        <v>2022</v>
      </c>
      <c r="J1489" t="s">
        <v>83</v>
      </c>
      <c r="K1489" s="2" t="str">
        <f>HYPERLINK("https://www.nba.com/stats/events?CFID=&amp;CFPARAMS=&amp;GameEventID=249&amp;GameID=0022200604&amp;Season=2022-23&amp;flag=1&amp;title=Leonard%2014'%20pullup%20Jump%20Shot%20(10%20PTS)", "14' pullup Jump Shot (10 PTS)")</f>
        <v>14' pullup Jump Shot (10 PTS)</v>
      </c>
      <c r="L1489" s="2" t="str">
        <f>HYPERLINK("https://www.nba.com/game/...-vs-...-0022200604/play-by-play?watchFullGame=true", "LAC vs ATL - Q2 04:58.00")</f>
        <v>LAC vs ATL - Q2 04:58.00</v>
      </c>
      <c r="M1489">
        <v>14.96</v>
      </c>
      <c r="N1489">
        <v>78.5</v>
      </c>
      <c r="O1489">
        <v>49.75</v>
      </c>
      <c r="P1489">
        <v>-1</v>
      </c>
      <c r="Q1489">
        <v>150</v>
      </c>
      <c r="R1489">
        <v>78</v>
      </c>
      <c r="S1489">
        <v>49</v>
      </c>
    </row>
    <row r="1490" spans="1:19" hidden="1" x14ac:dyDescent="0.25">
      <c r="A1490">
        <v>22200970</v>
      </c>
      <c r="B1490" t="s">
        <v>18</v>
      </c>
      <c r="C1490" t="s">
        <v>19</v>
      </c>
      <c r="D1490">
        <v>129</v>
      </c>
      <c r="E1490">
        <v>123</v>
      </c>
      <c r="F1490">
        <v>6</v>
      </c>
      <c r="G1490">
        <v>4</v>
      </c>
      <c r="H1490" s="1">
        <v>1.4930555555555556E-3</v>
      </c>
      <c r="I1490">
        <v>2022</v>
      </c>
      <c r="J1490" t="s">
        <v>83</v>
      </c>
      <c r="K1490" s="2" t="str">
        <f>HYPERLINK("https://www.nba.com/stats/events?CFID=&amp;CFPARAMS=&amp;GameEventID=616&amp;GameID=0022200970&amp;Season=2022-23&amp;flag=1&amp;title=Leonard%2014'%20Jump%20Shot%20(30%20PTS)%20(P.%20George%203%20AST)", "14' Jump Shot (30 PTS) (P. George 3 AST)")</f>
        <v>14' Jump Shot (30 PTS) (P. George 3 AST)</v>
      </c>
      <c r="L1490" s="2" t="str">
        <f>HYPERLINK("https://www.nba.com/game/...-vs-...-0022200970/play-by-play?watchFullGame=true", "LAC vs MEM - Q4 02:09.00")</f>
        <v>LAC vs MEM - Q4 02:09.00</v>
      </c>
      <c r="M1490">
        <v>14.74</v>
      </c>
      <c r="N1490">
        <v>78.760000000000005</v>
      </c>
      <c r="O1490">
        <v>48.28</v>
      </c>
      <c r="P1490">
        <v>-9</v>
      </c>
      <c r="Q1490">
        <v>147</v>
      </c>
      <c r="R1490">
        <v>78</v>
      </c>
      <c r="S1490">
        <v>48</v>
      </c>
    </row>
    <row r="1491" spans="1:19" hidden="1" x14ac:dyDescent="0.25">
      <c r="A1491">
        <v>22201096</v>
      </c>
      <c r="B1491" t="s">
        <v>18</v>
      </c>
      <c r="C1491" t="s">
        <v>19</v>
      </c>
      <c r="D1491">
        <v>22</v>
      </c>
      <c r="E1491">
        <v>22</v>
      </c>
      <c r="F1491">
        <v>0</v>
      </c>
      <c r="G1491">
        <v>1</v>
      </c>
      <c r="H1491" s="1">
        <v>2.3032407407407407E-3</v>
      </c>
      <c r="I1491">
        <v>2022</v>
      </c>
      <c r="J1491" t="s">
        <v>83</v>
      </c>
      <c r="K1491" s="2" t="str">
        <f>HYPERLINK("https://www.nba.com/stats/events?CFID=&amp;CFPARAMS=&amp;GameEventID=99&amp;GameID=0022201096&amp;Season=2022-23&amp;flag=1&amp;title=Leonard%2014'%20Jump%20Shot%20(8%20PTS)", "14' Jump Shot (8 PTS)")</f>
        <v>14' Jump Shot (8 PTS)</v>
      </c>
      <c r="L1491" s="2" t="str">
        <f>HYPERLINK("https://www.nba.com/game/...-vs-...-0022201096/play-by-play?watchFullGame=true", "LAC vs OKC - Q1 03:19.00")</f>
        <v>LAC vs OKC - Q1 03:19.00</v>
      </c>
      <c r="M1491">
        <v>14.71</v>
      </c>
      <c r="N1491">
        <v>78.760000000000005</v>
      </c>
      <c r="O1491">
        <v>49.26</v>
      </c>
      <c r="P1491">
        <v>-4</v>
      </c>
      <c r="Q1491">
        <v>147</v>
      </c>
      <c r="R1491">
        <v>78</v>
      </c>
      <c r="S1491">
        <v>49</v>
      </c>
    </row>
    <row r="1492" spans="1:19" hidden="1" x14ac:dyDescent="0.25">
      <c r="A1492">
        <v>22300257</v>
      </c>
      <c r="B1492" t="s">
        <v>26</v>
      </c>
      <c r="C1492" t="s">
        <v>19</v>
      </c>
      <c r="D1492">
        <v>22</v>
      </c>
      <c r="E1492">
        <v>21</v>
      </c>
      <c r="F1492">
        <v>1</v>
      </c>
      <c r="G1492">
        <v>1</v>
      </c>
      <c r="H1492" s="1">
        <v>2.0254629629629629E-3</v>
      </c>
      <c r="I1492">
        <v>2023</v>
      </c>
      <c r="J1492" t="s">
        <v>83</v>
      </c>
      <c r="K1492" s="2" t="str">
        <f>HYPERLINK("https://www.nba.com/stats/events?CFID=&amp;CFPARAMS=&amp;GameEventID=115&amp;GameID=0022300257&amp;Season=2023-24&amp;flag=1&amp;title=Leonard%2026'%203PT%20%20(9%20PTS)", "26' 3PT  (9 PTS)")</f>
        <v>26' 3PT  (9 PTS)</v>
      </c>
      <c r="L1492" s="2" t="str">
        <f>HYPERLINK("https://www.nba.com/game/...-vs-...-0022300257/play-by-play?watchFullGame=true", "LAC vs DEN - Q1 02:55.00")</f>
        <v>LAC vs DEN - Q1 02:55.00</v>
      </c>
      <c r="M1492">
        <v>26.69</v>
      </c>
      <c r="N1492">
        <v>79.02</v>
      </c>
      <c r="O1492">
        <v>94.85</v>
      </c>
      <c r="P1492">
        <v>224</v>
      </c>
      <c r="Q1492">
        <v>145</v>
      </c>
      <c r="R1492">
        <v>79</v>
      </c>
      <c r="S1492">
        <v>94</v>
      </c>
    </row>
    <row r="1493" spans="1:19" hidden="1" x14ac:dyDescent="0.25">
      <c r="A1493">
        <v>22000289</v>
      </c>
      <c r="B1493" t="s">
        <v>26</v>
      </c>
      <c r="C1493" t="s">
        <v>19</v>
      </c>
      <c r="D1493">
        <v>62</v>
      </c>
      <c r="E1493">
        <v>48</v>
      </c>
      <c r="F1493">
        <v>14</v>
      </c>
      <c r="G1493">
        <v>2</v>
      </c>
      <c r="H1493" s="1">
        <v>0</v>
      </c>
      <c r="I1493">
        <v>2020</v>
      </c>
      <c r="J1493" t="s">
        <v>83</v>
      </c>
      <c r="K1493" s="2" t="str">
        <f>HYPERLINK("https://www.nba.com/stats/events?CFID=&amp;CFPARAMS=&amp;GameEventID=311&amp;GameID=0022000289&amp;Season=2020-21&amp;flag=1&amp;title=Leonard%2025'%203PT%20step%20back%20(18%20PTS)%20(P.%20George%204%20AST)", "25' 3PT step back (18 PTS) (P. George 4 AST)")</f>
        <v>25' 3PT step back (18 PTS) (P. George 4 AST)</v>
      </c>
      <c r="L1493" s="2" t="str">
        <f>HYPERLINK("https://www.nba.com/game/...-vs-...-0022000289/play-by-play?watchFullGame=true", "LAC vs ORL - Q2 00:00.00")</f>
        <v>LAC vs ORL - Q2 00:00.00</v>
      </c>
      <c r="M1493">
        <v>25.75</v>
      </c>
      <c r="N1493">
        <v>79.709999999999994</v>
      </c>
      <c r="O1493">
        <v>93.45</v>
      </c>
      <c r="P1493">
        <v>217</v>
      </c>
      <c r="Q1493">
        <v>138</v>
      </c>
      <c r="R1493">
        <v>79</v>
      </c>
      <c r="S1493">
        <v>93</v>
      </c>
    </row>
    <row r="1494" spans="1:19" hidden="1" x14ac:dyDescent="0.25">
      <c r="A1494">
        <v>22300024</v>
      </c>
      <c r="B1494" t="s">
        <v>26</v>
      </c>
      <c r="C1494" t="s">
        <v>19</v>
      </c>
      <c r="D1494">
        <v>39</v>
      </c>
      <c r="E1494">
        <v>41</v>
      </c>
      <c r="F1494">
        <v>2</v>
      </c>
      <c r="G1494">
        <v>2</v>
      </c>
      <c r="H1494" s="1">
        <v>4.8379629629629632E-3</v>
      </c>
      <c r="I1494">
        <v>2023</v>
      </c>
      <c r="J1494" t="s">
        <v>83</v>
      </c>
      <c r="K1494" s="2" t="str">
        <f>HYPERLINK("https://www.nba.com/stats/events?CFID=&amp;CFPARAMS=&amp;GameEventID=217&amp;GameID=0022300024&amp;Season=2023-24&amp;flag=1&amp;title=Leonard%2025'%203PT%20%20(5%20PTS)%20(P.%20George%201%20AST)", "25' 3PT  (5 PTS) (P. George 1 AST)")</f>
        <v>25' 3PT  (5 PTS) (P. George 1 AST)</v>
      </c>
      <c r="L1494" s="2" t="str">
        <f>HYPERLINK("https://www.nba.com/game/...-vs-...-0022300024/play-by-play?watchFullGame=true", "LAC vs DEN - Q2 06:58.00")</f>
        <v>LAC vs DEN - Q2 06:58.00</v>
      </c>
      <c r="M1494">
        <v>25.17</v>
      </c>
      <c r="N1494">
        <v>79.19</v>
      </c>
      <c r="O1494">
        <v>91.42</v>
      </c>
      <c r="P1494">
        <v>207</v>
      </c>
      <c r="Q1494">
        <v>143</v>
      </c>
      <c r="R1494">
        <v>79</v>
      </c>
      <c r="S1494">
        <v>91</v>
      </c>
    </row>
    <row r="1495" spans="1:19" hidden="1" x14ac:dyDescent="0.25">
      <c r="A1495">
        <v>22400646</v>
      </c>
      <c r="B1495" t="s">
        <v>18</v>
      </c>
      <c r="C1495" t="s">
        <v>19</v>
      </c>
      <c r="D1495">
        <v>30</v>
      </c>
      <c r="E1495">
        <v>28</v>
      </c>
      <c r="F1495">
        <v>2</v>
      </c>
      <c r="G1495">
        <v>2</v>
      </c>
      <c r="H1495" s="1">
        <v>8.1134259259259267E-3</v>
      </c>
      <c r="I1495">
        <v>2024</v>
      </c>
      <c r="J1495" t="s">
        <v>83</v>
      </c>
      <c r="K1495" s="2" t="str">
        <f>HYPERLINK("https://www.nba.com/stats/events?CFID=&amp;CFPARAMS=&amp;GameEventID=169&amp;GameID=0022400646&amp;Season=2024-25&amp;flag=1&amp;title=Leonard%2016'%20pullup%20Jump%20Shot%20(4%20PTS)%20(N.%20Batum%201%20AST)", "16' pullup Jump Shot (4 PTS) (N. Batum 1 AST)")</f>
        <v>16' pullup Jump Shot (4 PTS) (N. Batum 1 AST)</v>
      </c>
      <c r="L1495" s="2" t="str">
        <f>HYPERLINK("https://www.nba.com/game/...-vs-...-0022400646/play-by-play?watchFullGame=true", "LAC vs MIL - Q2 11:41.00")</f>
        <v>LAC vs MIL - Q2 11:41.00</v>
      </c>
      <c r="M1495">
        <v>16.600000000000001</v>
      </c>
      <c r="N1495">
        <v>79.709999999999994</v>
      </c>
      <c r="O1495">
        <v>31.62</v>
      </c>
      <c r="P1495">
        <v>-92</v>
      </c>
      <c r="Q1495">
        <v>138</v>
      </c>
      <c r="R1495">
        <v>79</v>
      </c>
      <c r="S1495">
        <v>31</v>
      </c>
    </row>
    <row r="1496" spans="1:19" hidden="1" x14ac:dyDescent="0.25">
      <c r="A1496">
        <v>22000400</v>
      </c>
      <c r="B1496" t="s">
        <v>18</v>
      </c>
      <c r="C1496" t="s">
        <v>19</v>
      </c>
      <c r="D1496">
        <v>24</v>
      </c>
      <c r="E1496">
        <v>12</v>
      </c>
      <c r="F1496">
        <v>12</v>
      </c>
      <c r="G1496">
        <v>1</v>
      </c>
      <c r="H1496" s="1">
        <v>1.8402777777777777E-3</v>
      </c>
      <c r="I1496">
        <v>2020</v>
      </c>
      <c r="J1496" t="s">
        <v>83</v>
      </c>
      <c r="K1496" s="2" t="str">
        <f>HYPERLINK("https://www.nba.com/stats/events?CFID=&amp;CFPARAMS=&amp;GameEventID=124&amp;GameID=0022000400&amp;Season=2020-21&amp;flag=1&amp;title=Leonard%2015'%20pullup%20Jump%20Shot%20(4%20PTS)", "15' pullup Jump Shot (4 PTS)")</f>
        <v>15' pullup Jump Shot (4 PTS)</v>
      </c>
      <c r="L1496" s="2" t="str">
        <f>HYPERLINK("https://www.nba.com/game/...-vs-...-0022000400/play-by-play?watchFullGame=true", "LAC vs CHI - Q1 02:39.00")</f>
        <v>LAC vs CHI - Q1 02:39.00</v>
      </c>
      <c r="M1496">
        <v>15.71</v>
      </c>
      <c r="N1496">
        <v>79.849999999999994</v>
      </c>
      <c r="O1496">
        <v>34.630000000000003</v>
      </c>
      <c r="P1496">
        <v>-77</v>
      </c>
      <c r="Q1496">
        <v>137</v>
      </c>
      <c r="R1496">
        <v>79</v>
      </c>
      <c r="S1496">
        <v>34</v>
      </c>
    </row>
    <row r="1497" spans="1:19" hidden="1" x14ac:dyDescent="0.25">
      <c r="A1497">
        <v>22000520</v>
      </c>
      <c r="B1497" t="s">
        <v>18</v>
      </c>
      <c r="C1497" t="s">
        <v>19</v>
      </c>
      <c r="D1497">
        <v>15</v>
      </c>
      <c r="E1497">
        <v>15</v>
      </c>
      <c r="F1497">
        <v>0</v>
      </c>
      <c r="G1497">
        <v>1</v>
      </c>
      <c r="H1497" s="1">
        <v>3.0092592592592593E-3</v>
      </c>
      <c r="I1497">
        <v>2020</v>
      </c>
      <c r="J1497" t="s">
        <v>83</v>
      </c>
      <c r="K1497" s="2" t="str">
        <f>HYPERLINK("https://www.nba.com/stats/events?CFID=&amp;CFPARAMS=&amp;GameEventID=88&amp;GameID=0022000520&amp;Season=2020-21&amp;flag=1&amp;title=Leonard%2015'%20pullup%20Jump%20Shot%20(7%20PTS)", "15' pullup Jump Shot (7 PTS)")</f>
        <v>15' pullup Jump Shot (7 PTS)</v>
      </c>
      <c r="L1497" s="2" t="str">
        <f>HYPERLINK("https://www.nba.com/game/...-vs-...-0022000520/play-by-play?watchFullGame=true", "LAC vs MIL - Q1 04:20.00")</f>
        <v>LAC vs MIL - Q1 04:20.00</v>
      </c>
      <c r="M1497">
        <v>15.42</v>
      </c>
      <c r="N1497">
        <v>79.98</v>
      </c>
      <c r="O1497">
        <v>35.36</v>
      </c>
      <c r="P1497">
        <v>-73</v>
      </c>
      <c r="Q1497">
        <v>136</v>
      </c>
      <c r="R1497">
        <v>79</v>
      </c>
      <c r="S1497">
        <v>35</v>
      </c>
    </row>
    <row r="1498" spans="1:19" hidden="1" x14ac:dyDescent="0.25">
      <c r="A1498">
        <v>22200016</v>
      </c>
      <c r="B1498" t="s">
        <v>18</v>
      </c>
      <c r="C1498" t="s">
        <v>19</v>
      </c>
      <c r="D1498">
        <v>50</v>
      </c>
      <c r="E1498">
        <v>36</v>
      </c>
      <c r="F1498">
        <v>14</v>
      </c>
      <c r="G1498">
        <v>2</v>
      </c>
      <c r="H1498" s="1">
        <v>4.1435185185185186E-3</v>
      </c>
      <c r="I1498">
        <v>2022</v>
      </c>
      <c r="J1498" t="s">
        <v>83</v>
      </c>
      <c r="K1498" s="2" t="str">
        <f>HYPERLINK("https://www.nba.com/stats/events?CFID=&amp;CFPARAMS=&amp;GameEventID=254&amp;GameID=0022200016&amp;Season=2022-23&amp;flag=1&amp;title=Leonard%2015'%20fadeaway%20Jump%20Shot%20(2%20PTS)", "15' fadeaway Jump Shot (2 PTS)")</f>
        <v>15' fadeaway Jump Shot (2 PTS)</v>
      </c>
      <c r="L1498" s="2" t="str">
        <f>HYPERLINK("https://www.nba.com/game/...-vs-...-0022200016/play-by-play?watchFullGame=true", "LAC vs LAL - Q2 05:58.00")</f>
        <v>LAC vs LAL - Q2 05:58.00</v>
      </c>
      <c r="M1498">
        <v>15.68</v>
      </c>
      <c r="N1498">
        <v>79.55</v>
      </c>
      <c r="O1498">
        <v>35.78</v>
      </c>
      <c r="P1498">
        <v>-71</v>
      </c>
      <c r="Q1498">
        <v>140</v>
      </c>
      <c r="R1498">
        <v>79</v>
      </c>
      <c r="S1498">
        <v>35</v>
      </c>
    </row>
    <row r="1499" spans="1:19" hidden="1" x14ac:dyDescent="0.25">
      <c r="A1499">
        <v>21900090</v>
      </c>
      <c r="B1499" t="s">
        <v>18</v>
      </c>
      <c r="C1499" t="s">
        <v>84</v>
      </c>
      <c r="D1499">
        <v>41</v>
      </c>
      <c r="E1499">
        <v>41</v>
      </c>
      <c r="F1499">
        <v>0</v>
      </c>
      <c r="G1499">
        <v>3</v>
      </c>
      <c r="H1499" s="1">
        <v>8.1481481481481474E-3</v>
      </c>
      <c r="I1499">
        <v>2019</v>
      </c>
      <c r="J1499" t="s">
        <v>83</v>
      </c>
      <c r="K1499" s="2" t="str">
        <f>HYPERLINK("https://www.nba.com/stats/events?CFID=&amp;CFPARAMS=&amp;GameEventID=348&amp;GameID=0021900090&amp;Season=2019-20&amp;flag=1&amp;title=[LAC]%20Leonard%20jumpshot:%20Made%20(7%20PTS)%20assist:%20Zubac%20(1%20AST)", "[LAC] Leonard jumpshot: Made (7 PTS) assist: Zubac (1 AST)")</f>
        <v>[LAC] Leonard jumpshot: Made (7 PTS) assist: Zubac (1 AST)</v>
      </c>
      <c r="L1499" s="2" t="str">
        <f>HYPERLINK("https://www.nba.com/game/...-vs-...-0021900090/play-by-play?watchFullGame=true", "LAC vs UTA - Q3 11:44.00")</f>
        <v>LAC vs UTA - Q3 11:44.00</v>
      </c>
      <c r="M1499">
        <v>15.11</v>
      </c>
      <c r="N1499">
        <v>79.02</v>
      </c>
      <c r="O1499">
        <v>46.74</v>
      </c>
      <c r="P1499">
        <v>-16</v>
      </c>
      <c r="Q1499">
        <v>145</v>
      </c>
      <c r="R1499">
        <v>79</v>
      </c>
      <c r="S1499">
        <v>46</v>
      </c>
    </row>
    <row r="1500" spans="1:19" hidden="1" x14ac:dyDescent="0.25">
      <c r="A1500">
        <v>22300127</v>
      </c>
      <c r="B1500" t="s">
        <v>18</v>
      </c>
      <c r="C1500" t="s">
        <v>19</v>
      </c>
      <c r="D1500">
        <v>61</v>
      </c>
      <c r="E1500">
        <v>48</v>
      </c>
      <c r="F1500">
        <v>13</v>
      </c>
      <c r="G1500">
        <v>2</v>
      </c>
      <c r="H1500" s="1">
        <v>1.574074074074074E-4</v>
      </c>
      <c r="I1500">
        <v>2023</v>
      </c>
      <c r="J1500" t="s">
        <v>83</v>
      </c>
      <c r="K1500" s="2" t="str">
        <f>HYPERLINK("https://www.nba.com/stats/events?CFID=&amp;CFPARAMS=&amp;GameEventID=314&amp;GameID=0022300127&amp;Season=2023-24&amp;flag=1&amp;title=Leonard%2015'%20step%20back%20Jump%20Shot%20(22%20PTS)", "15' step back Jump Shot (22 PTS)")</f>
        <v>15' step back Jump Shot (22 PTS)</v>
      </c>
      <c r="L1500" s="2" t="str">
        <f>HYPERLINK("https://www.nba.com/game/...-vs-...-0022300127/play-by-play?watchFullGame=true", "LAC vs LAL - Q2 00:13.60")</f>
        <v>LAC vs LAL - Q2 00:13.60</v>
      </c>
      <c r="M1500">
        <v>15.76</v>
      </c>
      <c r="N1500">
        <v>79.02</v>
      </c>
      <c r="O1500">
        <v>62.5</v>
      </c>
      <c r="P1500">
        <v>62</v>
      </c>
      <c r="Q1500">
        <v>145</v>
      </c>
      <c r="R1500">
        <v>79</v>
      </c>
      <c r="S1500">
        <v>62</v>
      </c>
    </row>
    <row r="1501" spans="1:19" hidden="1" x14ac:dyDescent="0.25">
      <c r="A1501">
        <v>22300618</v>
      </c>
      <c r="B1501" t="s">
        <v>18</v>
      </c>
      <c r="C1501" t="s">
        <v>19</v>
      </c>
      <c r="D1501">
        <v>2</v>
      </c>
      <c r="E1501">
        <v>0</v>
      </c>
      <c r="F1501">
        <v>2</v>
      </c>
      <c r="G1501">
        <v>1</v>
      </c>
      <c r="H1501" s="1">
        <v>8.0902777777777778E-3</v>
      </c>
      <c r="I1501">
        <v>2023</v>
      </c>
      <c r="J1501" t="s">
        <v>83</v>
      </c>
      <c r="K1501" s="2" t="str">
        <f>HYPERLINK("https://www.nba.com/stats/events?CFID=&amp;CFPARAMS=&amp;GameEventID=7&amp;GameID=0022300618&amp;Season=2023-24&amp;flag=1&amp;title=Leonard%2015'%20pullup%20Jump%20Shot%20(2%20PTS)%20(J.%20Harden%201%20AST)", "15' pullup Jump Shot (2 PTS) (J. Harden 1 AST)")</f>
        <v>15' pullup Jump Shot (2 PTS) (J. Harden 1 AST)</v>
      </c>
      <c r="L1501" s="2" t="str">
        <f>HYPERLINK("https://www.nba.com/game/...-vs-...-0022300618/play-by-play?watchFullGame=true", "LAC vs LAL - Q1 11:39.00")</f>
        <v>LAC vs LAL - Q1 11:39.00</v>
      </c>
      <c r="M1501">
        <v>15.41</v>
      </c>
      <c r="N1501">
        <v>79.81</v>
      </c>
      <c r="O1501">
        <v>63.97</v>
      </c>
      <c r="P1501">
        <v>70</v>
      </c>
      <c r="Q1501">
        <v>137</v>
      </c>
      <c r="R1501">
        <v>79</v>
      </c>
      <c r="S1501">
        <v>63</v>
      </c>
    </row>
    <row r="1502" spans="1:19" hidden="1" x14ac:dyDescent="0.25">
      <c r="A1502">
        <v>22300235</v>
      </c>
      <c r="B1502" t="s">
        <v>18</v>
      </c>
      <c r="C1502" t="s">
        <v>19</v>
      </c>
      <c r="D1502">
        <v>21</v>
      </c>
      <c r="E1502">
        <v>14</v>
      </c>
      <c r="F1502">
        <v>7</v>
      </c>
      <c r="G1502">
        <v>1</v>
      </c>
      <c r="H1502" s="1">
        <v>1.0532407407407407E-3</v>
      </c>
      <c r="I1502">
        <v>2023</v>
      </c>
      <c r="J1502" t="s">
        <v>83</v>
      </c>
      <c r="K1502" s="2" t="str">
        <f>HYPERLINK("https://www.nba.com/stats/events?CFID=&amp;CFPARAMS=&amp;GameEventID=133&amp;GameID=0022300235&amp;Season=2023-24&amp;flag=1&amp;title=Leonard%2015'%20pullup%20Jump%20Shot%20(7%20PTS)", "15' pullup Jump Shot (7 PTS)")</f>
        <v>15' pullup Jump Shot (7 PTS)</v>
      </c>
      <c r="L1502" s="2" t="str">
        <f>HYPERLINK("https://www.nba.com/game/...-vs-...-0022300235/play-by-play?watchFullGame=true", "LAC vs SAS - Q1 01:31.00")</f>
        <v>LAC vs SAS - Q1 01:31.00</v>
      </c>
      <c r="M1502">
        <v>15.78</v>
      </c>
      <c r="N1502">
        <v>79.849999999999994</v>
      </c>
      <c r="O1502">
        <v>65.69</v>
      </c>
      <c r="P1502">
        <v>78</v>
      </c>
      <c r="Q1502">
        <v>137</v>
      </c>
      <c r="R1502">
        <v>79</v>
      </c>
      <c r="S1502">
        <v>65</v>
      </c>
    </row>
    <row r="1503" spans="1:19" hidden="1" x14ac:dyDescent="0.25">
      <c r="A1503">
        <v>22300731</v>
      </c>
      <c r="B1503" t="s">
        <v>18</v>
      </c>
      <c r="C1503" t="s">
        <v>19</v>
      </c>
      <c r="D1503">
        <v>65</v>
      </c>
      <c r="E1503">
        <v>71</v>
      </c>
      <c r="F1503">
        <v>6</v>
      </c>
      <c r="G1503">
        <v>3</v>
      </c>
      <c r="H1503" s="1">
        <v>2.1643518518518518E-3</v>
      </c>
      <c r="I1503">
        <v>2023</v>
      </c>
      <c r="J1503" t="s">
        <v>83</v>
      </c>
      <c r="K1503" s="2" t="str">
        <f>HYPERLINK("https://www.nba.com/stats/events?CFID=&amp;CFPARAMS=&amp;GameEventID=417&amp;GameID=0022300731&amp;Season=2023-24&amp;flag=1&amp;title=Leonard%2016'%20turnaround%20fadeaway%20Jump%20Shot%20(14%20PTS)%20(J.%20Harden%202%20AST)", "16' turnaround fadeaway Jump Shot (14 PTS) (J. Harden 2 AST)")</f>
        <v>16' turnaround fadeaway Jump Shot (14 PTS) (J. Harden 2 AST)</v>
      </c>
      <c r="L1503" s="2" t="str">
        <f>HYPERLINK("https://www.nba.com/game/...-vs-...-0022300731/play-by-play?watchFullGame=true", "LAC vs NOP - Q3 03:07.00")</f>
        <v>LAC vs NOP - Q3 03:07.00</v>
      </c>
      <c r="M1503">
        <v>16.100000000000001</v>
      </c>
      <c r="N1503">
        <v>79.680000000000007</v>
      </c>
      <c r="O1503">
        <v>66.42</v>
      </c>
      <c r="P1503">
        <v>82</v>
      </c>
      <c r="Q1503">
        <v>138</v>
      </c>
      <c r="R1503">
        <v>79</v>
      </c>
      <c r="S1503">
        <v>66</v>
      </c>
    </row>
    <row r="1504" spans="1:19" hidden="1" x14ac:dyDescent="0.25">
      <c r="A1504">
        <v>22000520</v>
      </c>
      <c r="B1504" t="s">
        <v>18</v>
      </c>
      <c r="C1504" t="s">
        <v>19</v>
      </c>
      <c r="D1504">
        <v>36</v>
      </c>
      <c r="E1504">
        <v>43</v>
      </c>
      <c r="F1504">
        <v>7</v>
      </c>
      <c r="G1504">
        <v>2</v>
      </c>
      <c r="H1504" s="1">
        <v>3.7268518518518519E-3</v>
      </c>
      <c r="I1504">
        <v>2020</v>
      </c>
      <c r="J1504" t="s">
        <v>83</v>
      </c>
      <c r="K1504" s="2" t="str">
        <f>HYPERLINK("https://www.nba.com/stats/events?CFID=&amp;CFPARAMS=&amp;GameEventID=240&amp;GameID=0022000520&amp;Season=2020-21&amp;flag=1&amp;title=Leonard%2016'%20pullup%20Jump%20Shot%20(11%20PTS)%20(N.%20Batum%201%20AST)", "16' pullup Jump Shot (11 PTS) (N. Batum 1 AST)")</f>
        <v>16' pullup Jump Shot (11 PTS) (N. Batum 1 AST)</v>
      </c>
      <c r="L1504" s="2" t="str">
        <f>HYPERLINK("https://www.nba.com/game/...-vs-...-0022000520/play-by-play?watchFullGame=true", "LAC vs MIL - Q2 05:22.00")</f>
        <v>LAC vs MIL - Q2 05:22.00</v>
      </c>
      <c r="M1504">
        <v>16.14</v>
      </c>
      <c r="N1504">
        <v>79.98</v>
      </c>
      <c r="O1504">
        <v>67.47</v>
      </c>
      <c r="P1504">
        <v>87</v>
      </c>
      <c r="Q1504">
        <v>136</v>
      </c>
      <c r="R1504">
        <v>79</v>
      </c>
      <c r="S1504">
        <v>67</v>
      </c>
    </row>
    <row r="1505" spans="1:19" hidden="1" x14ac:dyDescent="0.25">
      <c r="A1505">
        <v>22300749</v>
      </c>
      <c r="B1505" t="s">
        <v>18</v>
      </c>
      <c r="C1505" t="s">
        <v>19</v>
      </c>
      <c r="D1505">
        <v>16</v>
      </c>
      <c r="E1505">
        <v>14</v>
      </c>
      <c r="F1505">
        <v>2</v>
      </c>
      <c r="G1505">
        <v>1</v>
      </c>
      <c r="H1505" s="1">
        <v>3.4375E-3</v>
      </c>
      <c r="I1505">
        <v>2023</v>
      </c>
      <c r="J1505" t="s">
        <v>83</v>
      </c>
      <c r="K1505" s="2" t="str">
        <f>HYPERLINK("https://www.nba.com/stats/events?CFID=&amp;CFPARAMS=&amp;GameEventID=85&amp;GameID=0022300749&amp;Season=2023-24&amp;flag=1&amp;title=Leonard%2016'%20fadeaway%20Jump%20Shot%20(5%20PTS)", "16' fadeaway Jump Shot (5 PTS)")</f>
        <v>16' fadeaway Jump Shot (5 PTS)</v>
      </c>
      <c r="L1505" s="2" t="str">
        <f>HYPERLINK("https://www.nba.com/game/...-vs-...-0022300749/play-by-play?watchFullGame=true", "LAC vs DET - Q1 04:57.00")</f>
        <v>LAC vs DET - Q1 04:57.00</v>
      </c>
      <c r="M1505">
        <v>16.71</v>
      </c>
      <c r="N1505">
        <v>79.849999999999994</v>
      </c>
      <c r="O1505">
        <v>69.12</v>
      </c>
      <c r="P1505">
        <v>96</v>
      </c>
      <c r="Q1505">
        <v>137</v>
      </c>
      <c r="R1505">
        <v>79</v>
      </c>
      <c r="S1505">
        <v>69</v>
      </c>
    </row>
    <row r="1506" spans="1:19" hidden="1" x14ac:dyDescent="0.25">
      <c r="A1506">
        <v>22400646</v>
      </c>
      <c r="B1506" t="s">
        <v>18</v>
      </c>
      <c r="C1506" t="s">
        <v>19</v>
      </c>
      <c r="D1506">
        <v>41</v>
      </c>
      <c r="E1506">
        <v>38</v>
      </c>
      <c r="F1506">
        <v>3</v>
      </c>
      <c r="G1506">
        <v>2</v>
      </c>
      <c r="H1506" s="1">
        <v>5.2314814814814811E-3</v>
      </c>
      <c r="I1506">
        <v>2024</v>
      </c>
      <c r="J1506" t="s">
        <v>83</v>
      </c>
      <c r="K1506" s="2" t="str">
        <f>HYPERLINK("https://www.nba.com/stats/events?CFID=&amp;CFPARAMS=&amp;GameEventID=213&amp;GameID=0022400646&amp;Season=2024-25&amp;flag=1&amp;title=Leonard%2016'%20pullup%20Jump%20Shot%20(9%20PTS)", "16' pullup Jump Shot (9 PTS)")</f>
        <v>16' pullup Jump Shot (9 PTS)</v>
      </c>
      <c r="L1506" s="2" t="str">
        <f>HYPERLINK("https://www.nba.com/game/...-vs-...-0022400646/play-by-play?watchFullGame=true", "LAC vs MIL - Q2 07:32.00")</f>
        <v>LAC vs MIL - Q2 07:32.00</v>
      </c>
      <c r="M1506">
        <v>16.739999999999998</v>
      </c>
      <c r="N1506">
        <v>79.98</v>
      </c>
      <c r="O1506">
        <v>69.61</v>
      </c>
      <c r="P1506">
        <v>98</v>
      </c>
      <c r="Q1506">
        <v>136</v>
      </c>
      <c r="R1506">
        <v>79</v>
      </c>
      <c r="S1506">
        <v>69</v>
      </c>
    </row>
    <row r="1507" spans="1:19" hidden="1" x14ac:dyDescent="0.25">
      <c r="A1507">
        <v>22000077</v>
      </c>
      <c r="B1507" t="s">
        <v>18</v>
      </c>
      <c r="C1507" t="s">
        <v>19</v>
      </c>
      <c r="D1507">
        <v>81</v>
      </c>
      <c r="E1507">
        <v>91</v>
      </c>
      <c r="F1507">
        <v>10</v>
      </c>
      <c r="G1507">
        <v>4</v>
      </c>
      <c r="H1507" s="1">
        <v>4.7106481481481478E-3</v>
      </c>
      <c r="I1507">
        <v>2020</v>
      </c>
      <c r="J1507" t="s">
        <v>83</v>
      </c>
      <c r="K1507" s="2" t="str">
        <f>HYPERLINK("https://www.nba.com/stats/events?CFID=&amp;CFPARAMS=&amp;GameEventID=554&amp;GameID=0022000077&amp;Season=2020-21&amp;flag=1&amp;title=Leonard%2017'%20step%20back%20Jump%20Shot%20(18%20PTS)", "17' step back Jump Shot (18 PTS)")</f>
        <v>17' step back Jump Shot (18 PTS)</v>
      </c>
      <c r="L1507" s="2" t="str">
        <f>HYPERLINK("https://www.nba.com/game/...-vs-...-0022000077/play-by-play?watchFullGame=true", "LAC vs UTA - Q4 06:47.00")</f>
        <v>LAC vs UTA - Q4 06:47.00</v>
      </c>
      <c r="M1507">
        <v>17.2</v>
      </c>
      <c r="N1507">
        <v>79.58</v>
      </c>
      <c r="O1507">
        <v>70.17</v>
      </c>
      <c r="P1507">
        <v>101</v>
      </c>
      <c r="Q1507">
        <v>139</v>
      </c>
      <c r="R1507">
        <v>79</v>
      </c>
      <c r="S1507">
        <v>70</v>
      </c>
    </row>
    <row r="1508" spans="1:19" hidden="1" x14ac:dyDescent="0.25">
      <c r="A1508">
        <v>21900292</v>
      </c>
      <c r="B1508" t="s">
        <v>18</v>
      </c>
      <c r="C1508" t="s">
        <v>84</v>
      </c>
      <c r="D1508">
        <v>15</v>
      </c>
      <c r="E1508">
        <v>10</v>
      </c>
      <c r="F1508">
        <v>5</v>
      </c>
      <c r="G1508">
        <v>1</v>
      </c>
      <c r="H1508" s="1">
        <v>5.2662037037037035E-3</v>
      </c>
      <c r="I1508">
        <v>2019</v>
      </c>
      <c r="J1508" t="s">
        <v>83</v>
      </c>
      <c r="K1508" s="2" t="str">
        <f>HYPERLINK("https://www.nba.com/stats/events?CFID=&amp;CFPARAMS=&amp;GameEventID=58&amp;GameID=0021900292&amp;Season=2019-20&amp;flag=1&amp;title=Leonard%2018'%20jumpshot%20(8%20PTS)", "18' jumpshot (8 PTS)")</f>
        <v>18' jumpshot (8 PTS)</v>
      </c>
      <c r="L1508" s="2" t="str">
        <f>HYPERLINK("https://www.nba.com/game/...-vs-...-0021900292/play-by-play?watchFullGame=true", "LAC vs WAS - Q1 07:35.00")</f>
        <v>LAC vs WAS - Q1 07:35.00</v>
      </c>
      <c r="M1508">
        <v>18.239999999999998</v>
      </c>
      <c r="N1508">
        <v>79.42</v>
      </c>
      <c r="O1508">
        <v>71.739999999999995</v>
      </c>
      <c r="P1508">
        <v>109</v>
      </c>
      <c r="Q1508">
        <v>141</v>
      </c>
      <c r="R1508">
        <v>79</v>
      </c>
      <c r="S1508">
        <v>71</v>
      </c>
    </row>
    <row r="1509" spans="1:19" hidden="1" x14ac:dyDescent="0.25">
      <c r="A1509">
        <v>22000130</v>
      </c>
      <c r="B1509" t="s">
        <v>18</v>
      </c>
      <c r="C1509" t="s">
        <v>19</v>
      </c>
      <c r="D1509">
        <v>83</v>
      </c>
      <c r="E1509">
        <v>63</v>
      </c>
      <c r="F1509">
        <v>20</v>
      </c>
      <c r="G1509">
        <v>3</v>
      </c>
      <c r="H1509" s="1">
        <v>2.5231481481481481E-3</v>
      </c>
      <c r="I1509">
        <v>2020</v>
      </c>
      <c r="J1509" t="s">
        <v>83</v>
      </c>
      <c r="K1509" s="2" t="str">
        <f>HYPERLINK("https://www.nba.com/stats/events?CFID=&amp;CFPARAMS=&amp;GameEventID=436&amp;GameID=0022000130&amp;Season=2020-21&amp;flag=1&amp;title=Leonard%2018'%20pullup%20Jump%20Shot%20(18%20PTS)", "18' pullup Jump Shot (18 PTS)")</f>
        <v>18' pullup Jump Shot (18 PTS)</v>
      </c>
      <c r="L1509" s="2" t="str">
        <f>HYPERLINK("https://www.nba.com/game/...-vs-...-0022000130/play-by-play?watchFullGame=true", "LAC vs GSW - Q3 03:38.00")</f>
        <v>LAC vs GSW - Q3 03:38.00</v>
      </c>
      <c r="M1509">
        <v>18.3</v>
      </c>
      <c r="N1509">
        <v>79.319999999999993</v>
      </c>
      <c r="O1509">
        <v>73.11</v>
      </c>
      <c r="P1509">
        <v>116</v>
      </c>
      <c r="Q1509">
        <v>142</v>
      </c>
      <c r="R1509">
        <v>79</v>
      </c>
      <c r="S1509">
        <v>73</v>
      </c>
    </row>
    <row r="1510" spans="1:19" hidden="1" x14ac:dyDescent="0.25">
      <c r="A1510">
        <v>42000223</v>
      </c>
      <c r="B1510" t="s">
        <v>18</v>
      </c>
      <c r="C1510" t="s">
        <v>19</v>
      </c>
      <c r="D1510">
        <v>79</v>
      </c>
      <c r="E1510">
        <v>63</v>
      </c>
      <c r="F1510">
        <v>16</v>
      </c>
      <c r="G1510">
        <v>3</v>
      </c>
      <c r="H1510" s="1">
        <v>4.6759259259259263E-3</v>
      </c>
      <c r="I1510" t="s">
        <v>94</v>
      </c>
      <c r="J1510" t="s">
        <v>83</v>
      </c>
      <c r="K1510" s="2" t="str">
        <f>HYPERLINK("https://www.nba.com/stats/events?CFID=&amp;CFPARAMS=&amp;GameEventID=352&amp;GameID=0042000223&amp;Season=2020-21&amp;flag=1&amp;title=Leonard%2014'%20Jump%20Shot%20(20%20PTS)", "14' Jump Shot (20 PTS)")</f>
        <v>14' Jump Shot (20 PTS)</v>
      </c>
      <c r="L1510" s="2" t="str">
        <f>HYPERLINK("https://www.nba.com/game/...-vs-...-0042000223/play-by-play?watchFullGame=true", "LAC vs UTA - Q3 06:44.00")</f>
        <v>LAC vs UTA - Q3 06:44.00</v>
      </c>
      <c r="M1510">
        <v>14.86</v>
      </c>
      <c r="N1510">
        <v>79.55</v>
      </c>
      <c r="O1510">
        <v>39.880000000000003</v>
      </c>
      <c r="P1510">
        <v>79</v>
      </c>
      <c r="Q1510">
        <v>39</v>
      </c>
      <c r="R1510">
        <v>79</v>
      </c>
      <c r="S1510">
        <v>39</v>
      </c>
    </row>
    <row r="1511" spans="1:19" hidden="1" x14ac:dyDescent="0.25">
      <c r="A1511">
        <v>21900115</v>
      </c>
      <c r="B1511" t="s">
        <v>18</v>
      </c>
      <c r="C1511" t="s">
        <v>84</v>
      </c>
      <c r="D1511">
        <v>76</v>
      </c>
      <c r="E1511">
        <v>80</v>
      </c>
      <c r="F1511">
        <v>4</v>
      </c>
      <c r="G1511">
        <v>4</v>
      </c>
      <c r="H1511" s="1">
        <v>7.1180555555555554E-3</v>
      </c>
      <c r="I1511">
        <v>2019</v>
      </c>
      <c r="J1511" t="s">
        <v>83</v>
      </c>
      <c r="K1511" s="2" t="str">
        <f>HYPERLINK("https://www.nba.com/stats/events?CFID=&amp;CFPARAMS=&amp;GameEventID=547&amp;GameID=0021900115&amp;Season=2019-20&amp;flag=1&amp;title=[LAC]%20Leonard%20jumpshot:%20Made%20(13%20PTS)", "[LAC] Leonard jumpshot: Made (13 PTS)")</f>
        <v>[LAC] Leonard jumpshot: Made (13 PTS)</v>
      </c>
      <c r="L1511" s="2" t="str">
        <f>HYPERLINK("https://www.nba.com/game/...-vs-...-0021900115/play-by-play?watchFullGame=true", "LAC vs POR - Q4 10:15.00")</f>
        <v>LAC vs POR - Q4 10:15.00</v>
      </c>
      <c r="M1511">
        <v>14.8</v>
      </c>
      <c r="N1511">
        <v>79.290000000000006</v>
      </c>
      <c r="O1511">
        <v>48.22</v>
      </c>
      <c r="P1511">
        <v>-9</v>
      </c>
      <c r="Q1511">
        <v>142</v>
      </c>
      <c r="R1511">
        <v>79</v>
      </c>
      <c r="S1511">
        <v>48</v>
      </c>
    </row>
    <row r="1512" spans="1:19" hidden="1" x14ac:dyDescent="0.25">
      <c r="A1512">
        <v>22300127</v>
      </c>
      <c r="B1512" t="s">
        <v>18</v>
      </c>
      <c r="C1512" t="s">
        <v>19</v>
      </c>
      <c r="D1512">
        <v>2</v>
      </c>
      <c r="E1512">
        <v>2</v>
      </c>
      <c r="F1512">
        <v>0</v>
      </c>
      <c r="G1512">
        <v>1</v>
      </c>
      <c r="H1512" s="1">
        <v>7.4421296296296293E-3</v>
      </c>
      <c r="I1512">
        <v>2023</v>
      </c>
      <c r="J1512" t="s">
        <v>83</v>
      </c>
      <c r="K1512" s="2" t="str">
        <f>HYPERLINK("https://www.nba.com/stats/events?CFID=&amp;CFPARAMS=&amp;GameEventID=18&amp;GameID=0022300127&amp;Season=2023-24&amp;flag=1&amp;title=Leonard%2014'%20pullup%20Jump%20Shot%20(2%20PTS)%20(R.%20Westbrook%201%20AST)", "14' pullup Jump Shot (2 PTS) (R. Westbrook 1 AST)")</f>
        <v>14' pullup Jump Shot (2 PTS) (R. Westbrook 1 AST)</v>
      </c>
      <c r="L1512" s="2" t="str">
        <f>HYPERLINK("https://www.nba.com/game/...-vs-...-0022300127/play-by-play?watchFullGame=true", "LAC vs LAL - Q1 10:43.00")</f>
        <v>LAC vs LAL - Q1 10:43.00</v>
      </c>
      <c r="M1512">
        <v>14.75</v>
      </c>
      <c r="N1512">
        <v>79.81</v>
      </c>
      <c r="O1512">
        <v>39.22</v>
      </c>
      <c r="P1512">
        <v>-54</v>
      </c>
      <c r="Q1512">
        <v>137</v>
      </c>
      <c r="R1512">
        <v>79</v>
      </c>
      <c r="S1512">
        <v>39</v>
      </c>
    </row>
    <row r="1513" spans="1:19" hidden="1" x14ac:dyDescent="0.25">
      <c r="A1513">
        <v>21900377</v>
      </c>
      <c r="B1513" t="s">
        <v>18</v>
      </c>
      <c r="C1513" t="s">
        <v>84</v>
      </c>
      <c r="D1513">
        <v>4</v>
      </c>
      <c r="E1513">
        <v>3</v>
      </c>
      <c r="F1513">
        <v>1</v>
      </c>
      <c r="G1513">
        <v>1</v>
      </c>
      <c r="H1513" s="1">
        <v>7.7314814814814815E-3</v>
      </c>
      <c r="I1513">
        <v>2019</v>
      </c>
      <c r="J1513" t="s">
        <v>83</v>
      </c>
      <c r="K1513" s="2" t="str">
        <f>HYPERLINK("https://www.nba.com/stats/events?CFID=&amp;CFPARAMS=&amp;GameEventID=16&amp;GameID=0021900377&amp;Season=2019-20&amp;flag=1&amp;title=Leonard%2015'%20jumpshot%20(2%20PTS)", "15' jumpshot (2 PTS)")</f>
        <v>15' jumpshot (2 PTS)</v>
      </c>
      <c r="L1513" s="2" t="str">
        <f>HYPERLINK("https://www.nba.com/game/...-vs-...-0021900377/play-by-play?watchFullGame=true", "LAC vs MIN - Q1 11:08.00")</f>
        <v>LAC vs MIN - Q1 11:08.00</v>
      </c>
      <c r="M1513">
        <v>14.75</v>
      </c>
      <c r="N1513">
        <v>79.319999999999993</v>
      </c>
      <c r="O1513">
        <v>51.05</v>
      </c>
      <c r="P1513">
        <v>5</v>
      </c>
      <c r="Q1513">
        <v>142</v>
      </c>
      <c r="R1513">
        <v>79</v>
      </c>
      <c r="S1513">
        <v>51</v>
      </c>
    </row>
    <row r="1514" spans="1:19" hidden="1" x14ac:dyDescent="0.25">
      <c r="A1514">
        <v>21900115</v>
      </c>
      <c r="B1514" t="s">
        <v>18</v>
      </c>
      <c r="C1514" t="s">
        <v>84</v>
      </c>
      <c r="D1514">
        <v>72</v>
      </c>
      <c r="E1514">
        <v>78</v>
      </c>
      <c r="F1514">
        <v>6</v>
      </c>
      <c r="G1514">
        <v>4</v>
      </c>
      <c r="H1514" s="1">
        <v>7.9629629629629634E-3</v>
      </c>
      <c r="I1514">
        <v>2019</v>
      </c>
      <c r="J1514" t="s">
        <v>83</v>
      </c>
      <c r="K1514" s="2" t="str">
        <f>HYPERLINK("https://www.nba.com/stats/events?CFID=&amp;CFPARAMS=&amp;GameEventID=531&amp;GameID=0021900115&amp;Season=2019-20&amp;flag=1&amp;title=[LAC]%20Leonard%20jumpshot:%20Made%20(11%20PTS)%20assist:%20Williams%20(6%20AST)", "[LAC] Leonard jumpshot: Made (11 PTS) assist: Williams (6 AST)")</f>
        <v>[LAC] Leonard jumpshot: Made (11 PTS) assist: Williams (6 AST)</v>
      </c>
      <c r="L1514" s="2" t="str">
        <f>HYPERLINK("https://www.nba.com/game/...-vs-...-0021900115/play-by-play?watchFullGame=true", "LAC vs POR - Q4 11:28.00")</f>
        <v>LAC vs POR - Q4 11:28.00</v>
      </c>
      <c r="M1514">
        <v>14.68</v>
      </c>
      <c r="N1514">
        <v>79.81</v>
      </c>
      <c r="O1514">
        <v>56.79</v>
      </c>
      <c r="P1514">
        <v>34</v>
      </c>
      <c r="Q1514">
        <v>137</v>
      </c>
      <c r="R1514">
        <v>79</v>
      </c>
      <c r="S1514">
        <v>56</v>
      </c>
    </row>
    <row r="1515" spans="1:19" hidden="1" x14ac:dyDescent="0.25">
      <c r="A1515">
        <v>21900576</v>
      </c>
      <c r="B1515" t="s">
        <v>18</v>
      </c>
      <c r="C1515" t="s">
        <v>84</v>
      </c>
      <c r="D1515">
        <v>11</v>
      </c>
      <c r="E1515">
        <v>7</v>
      </c>
      <c r="F1515">
        <v>4</v>
      </c>
      <c r="G1515">
        <v>1</v>
      </c>
      <c r="H1515" s="1">
        <v>5.0115740740740737E-3</v>
      </c>
      <c r="I1515">
        <v>2019</v>
      </c>
      <c r="J1515" t="s">
        <v>83</v>
      </c>
      <c r="K1515" s="2" t="str">
        <f>HYPERLINK("https://www.nba.com/stats/events?CFID=&amp;CFPARAMS=&amp;GameEventID=59&amp;GameID=0021900576&amp;Season=2019-20&amp;flag=1&amp;title=Leonard%2015'%20jumpshot%20(2%20PTS)%20(P.%20Beverley%201%20AST)", "15' jumpshot (2 PTS) (P. Beverley 1 AST)")</f>
        <v>15' jumpshot (2 PTS) (P. Beverley 1 AST)</v>
      </c>
      <c r="L1515" s="2" t="str">
        <f>HYPERLINK("https://www.nba.com/game/...-vs-...-0021900576/play-by-play?watchFullGame=true", "LAC vs GSW - Q1 07:13.00")</f>
        <v>LAC vs GSW - Q1 07:13.00</v>
      </c>
      <c r="M1515">
        <v>14.59</v>
      </c>
      <c r="N1515">
        <v>79.680000000000007</v>
      </c>
      <c r="O1515">
        <v>45.27</v>
      </c>
      <c r="P1515">
        <v>-24</v>
      </c>
      <c r="Q1515">
        <v>138</v>
      </c>
      <c r="R1515">
        <v>79</v>
      </c>
      <c r="S1515">
        <v>45</v>
      </c>
    </row>
    <row r="1516" spans="1:19" hidden="1" x14ac:dyDescent="0.25">
      <c r="A1516">
        <v>22000091</v>
      </c>
      <c r="B1516" t="s">
        <v>18</v>
      </c>
      <c r="C1516" t="s">
        <v>19</v>
      </c>
      <c r="D1516">
        <v>84</v>
      </c>
      <c r="E1516">
        <v>67</v>
      </c>
      <c r="F1516">
        <v>17</v>
      </c>
      <c r="G1516">
        <v>3</v>
      </c>
      <c r="H1516" s="1">
        <v>2.673611111111111E-3</v>
      </c>
      <c r="I1516">
        <v>2020</v>
      </c>
      <c r="J1516" t="s">
        <v>83</v>
      </c>
      <c r="K1516" s="2" t="str">
        <f>HYPERLINK("https://www.nba.com/stats/events?CFID=&amp;CFPARAMS=&amp;GameEventID=381&amp;GameID=0022000091&amp;Season=2020-21&amp;flag=1&amp;title=Leonard%2014'%20pullup%20Jump%20Shot%20(13%20PTS)", "14' pullup Jump Shot (13 PTS)")</f>
        <v>14' pullup Jump Shot (13 PTS)</v>
      </c>
      <c r="L1516" s="2" t="str">
        <f>HYPERLINK("https://www.nba.com/game/...-vs-...-0022000091/play-by-play?watchFullGame=true", "LAC vs PHX - Q3 03:51.00")</f>
        <v>LAC vs PHX - Q3 03:51.00</v>
      </c>
      <c r="M1516">
        <v>14.49</v>
      </c>
      <c r="N1516">
        <v>79.45</v>
      </c>
      <c r="O1516">
        <v>56.93</v>
      </c>
      <c r="P1516">
        <v>35</v>
      </c>
      <c r="Q1516">
        <v>141</v>
      </c>
      <c r="R1516">
        <v>79</v>
      </c>
      <c r="S1516">
        <v>56</v>
      </c>
    </row>
    <row r="1517" spans="1:19" hidden="1" x14ac:dyDescent="0.25">
      <c r="A1517">
        <v>22300618</v>
      </c>
      <c r="B1517" t="s">
        <v>18</v>
      </c>
      <c r="C1517" t="s">
        <v>19</v>
      </c>
      <c r="D1517">
        <v>18</v>
      </c>
      <c r="E1517">
        <v>14</v>
      </c>
      <c r="F1517">
        <v>4</v>
      </c>
      <c r="G1517">
        <v>1</v>
      </c>
      <c r="H1517" s="1">
        <v>4.2592592592592595E-3</v>
      </c>
      <c r="I1517">
        <v>2023</v>
      </c>
      <c r="J1517" t="s">
        <v>83</v>
      </c>
      <c r="K1517" s="2" t="str">
        <f>HYPERLINK("https://www.nba.com/stats/events?CFID=&amp;CFPARAMS=&amp;GameEventID=64&amp;GameID=0022300618&amp;Season=2023-24&amp;flag=1&amp;title=Leonard%2014'%20Jump%20Shot%20(4%20PTS)%20(R.%20Westbrook%201%20AST)", "14' Jump Shot (4 PTS) (R. Westbrook 1 AST)")</f>
        <v>14' Jump Shot (4 PTS) (R. Westbrook 1 AST)</v>
      </c>
      <c r="L1517" s="2" t="str">
        <f>HYPERLINK("https://www.nba.com/game/...-vs-...-0022300618/play-by-play?watchFullGame=true", "LAC vs LAL - Q1 06:08.00")</f>
        <v>LAC vs LAL - Q1 06:08.00</v>
      </c>
      <c r="M1517">
        <v>14.49</v>
      </c>
      <c r="N1517">
        <v>79.16</v>
      </c>
      <c r="O1517">
        <v>45.83</v>
      </c>
      <c r="P1517">
        <v>-21</v>
      </c>
      <c r="Q1517">
        <v>143</v>
      </c>
      <c r="R1517">
        <v>79</v>
      </c>
      <c r="S1517">
        <v>45</v>
      </c>
    </row>
    <row r="1518" spans="1:19" hidden="1" x14ac:dyDescent="0.25">
      <c r="A1518">
        <v>22400553</v>
      </c>
      <c r="B1518" t="s">
        <v>18</v>
      </c>
      <c r="C1518" t="s">
        <v>19</v>
      </c>
      <c r="D1518">
        <v>16</v>
      </c>
      <c r="E1518">
        <v>20</v>
      </c>
      <c r="F1518">
        <v>4</v>
      </c>
      <c r="G1518">
        <v>1</v>
      </c>
      <c r="H1518" s="1">
        <v>3.7962962962962963E-3</v>
      </c>
      <c r="I1518">
        <v>2024</v>
      </c>
      <c r="J1518" t="s">
        <v>83</v>
      </c>
      <c r="K1518" s="2" t="str">
        <f>HYPERLINK("https://www.nba.com/stats/events?CFID=&amp;CFPARAMS=&amp;GameEventID=67&amp;GameID=0022400553&amp;Season=2024-25&amp;flag=1&amp;title=Leonard%2014'%20pullup%20Jump%20Shot%20(4%20PTS)", "14' pullup Jump Shot (4 PTS)")</f>
        <v>14' pullup Jump Shot (4 PTS)</v>
      </c>
      <c r="L1518" s="2" t="str">
        <f>HYPERLINK("https://www.nba.com/game/...-vs-...-0022400553/play-by-play?watchFullGame=true", "LAC vs MIA - Q1 05:28.00")</f>
        <v>LAC vs MIA - Q1 05:28.00</v>
      </c>
      <c r="M1518">
        <v>14.38</v>
      </c>
      <c r="N1518">
        <v>79.58</v>
      </c>
      <c r="O1518">
        <v>57.11</v>
      </c>
      <c r="P1518">
        <v>36</v>
      </c>
      <c r="Q1518">
        <v>139</v>
      </c>
      <c r="R1518">
        <v>79</v>
      </c>
      <c r="S1518">
        <v>57</v>
      </c>
    </row>
    <row r="1519" spans="1:19" hidden="1" x14ac:dyDescent="0.25">
      <c r="A1519">
        <v>22000457</v>
      </c>
      <c r="B1519" t="s">
        <v>18</v>
      </c>
      <c r="C1519" t="s">
        <v>19</v>
      </c>
      <c r="D1519">
        <v>77</v>
      </c>
      <c r="E1519">
        <v>73</v>
      </c>
      <c r="F1519">
        <v>4</v>
      </c>
      <c r="G1519">
        <v>3</v>
      </c>
      <c r="H1519" s="1">
        <v>9.9537037037037042E-4</v>
      </c>
      <c r="I1519">
        <v>2020</v>
      </c>
      <c r="J1519" t="s">
        <v>83</v>
      </c>
      <c r="K1519" s="2" t="str">
        <f>HYPERLINK("https://www.nba.com/stats/events?CFID=&amp;CFPARAMS=&amp;GameEventID=432&amp;GameID=0022000457&amp;Season=2020-21&amp;flag=1&amp;title=Leonard%2014'%20pullup%20Jump%20Shot%20(22%20PTS)", "14' pullup Jump Shot (22 PTS)")</f>
        <v>14' pullup Jump Shot (22 PTS)</v>
      </c>
      <c r="L1519" s="2" t="str">
        <f>HYPERLINK("https://www.nba.com/game/...-vs-...-0022000457/play-by-play?watchFullGame=true", "LAC vs UTA - Q3 01:26.00")</f>
        <v>LAC vs UTA - Q3 01:26.00</v>
      </c>
      <c r="M1519">
        <v>14.33</v>
      </c>
      <c r="N1519">
        <v>79.19</v>
      </c>
      <c r="O1519">
        <v>48.6</v>
      </c>
      <c r="P1519">
        <v>-7</v>
      </c>
      <c r="Q1519">
        <v>143</v>
      </c>
      <c r="R1519">
        <v>79</v>
      </c>
      <c r="S1519">
        <v>48</v>
      </c>
    </row>
    <row r="1520" spans="1:19" hidden="1" x14ac:dyDescent="0.25">
      <c r="A1520">
        <v>22201196</v>
      </c>
      <c r="B1520" t="s">
        <v>18</v>
      </c>
      <c r="C1520" t="s">
        <v>19</v>
      </c>
      <c r="D1520">
        <v>10</v>
      </c>
      <c r="E1520">
        <v>1</v>
      </c>
      <c r="F1520">
        <v>9</v>
      </c>
      <c r="G1520">
        <v>1</v>
      </c>
      <c r="H1520" s="1">
        <v>6.7361111111111111E-3</v>
      </c>
      <c r="I1520">
        <v>2022</v>
      </c>
      <c r="J1520" t="s">
        <v>83</v>
      </c>
      <c r="K1520" s="2" t="str">
        <f>HYPERLINK("https://www.nba.com/stats/events?CFID=&amp;CFPARAMS=&amp;GameEventID=29&amp;GameID=0022201196&amp;Season=2022-23&amp;flag=1&amp;title=Leonard%2014'%20pullup%20Jump%20Shot%20(2%20PTS)", "14' pullup Jump Shot (2 PTS)")</f>
        <v>14' pullup Jump Shot (2 PTS)</v>
      </c>
      <c r="L1520" s="2" t="str">
        <f>HYPERLINK("https://www.nba.com/game/...-vs-...-0022201196/play-by-play?watchFullGame=true", "LAC vs LAL - Q1 09:42.00")</f>
        <v>LAC vs LAL - Q1 09:42.00</v>
      </c>
      <c r="M1520">
        <v>14.25</v>
      </c>
      <c r="N1520">
        <v>79.81</v>
      </c>
      <c r="O1520">
        <v>57.6</v>
      </c>
      <c r="P1520">
        <v>38</v>
      </c>
      <c r="Q1520">
        <v>137</v>
      </c>
      <c r="R1520">
        <v>79</v>
      </c>
      <c r="S1520">
        <v>57</v>
      </c>
    </row>
    <row r="1521" spans="1:19" hidden="1" x14ac:dyDescent="0.25">
      <c r="A1521">
        <v>42000224</v>
      </c>
      <c r="B1521" t="s">
        <v>18</v>
      </c>
      <c r="C1521" t="s">
        <v>19</v>
      </c>
      <c r="D1521">
        <v>87</v>
      </c>
      <c r="E1521">
        <v>71</v>
      </c>
      <c r="F1521">
        <v>16</v>
      </c>
      <c r="G1521">
        <v>3</v>
      </c>
      <c r="H1521" s="1">
        <v>1.1458333333333333E-3</v>
      </c>
      <c r="I1521" t="s">
        <v>94</v>
      </c>
      <c r="J1521" t="s">
        <v>83</v>
      </c>
      <c r="K1521" s="2" t="str">
        <f>HYPERLINK("https://www.nba.com/stats/events?CFID=&amp;CFPARAMS=&amp;GameEventID=433&amp;GameID=0042000224&amp;Season=2020-21&amp;flag=1&amp;title=Leonard%2014'%20pullup%20Jump%20Shot%20(24%20PTS)", "14' pullup Jump Shot (24 PTS)")</f>
        <v>14' pullup Jump Shot (24 PTS)</v>
      </c>
      <c r="L1521" s="2" t="str">
        <f>HYPERLINK("https://www.nba.com/game/...-vs-...-0042000224/play-by-play?watchFullGame=true", "LAC vs UTA - Q3 01:39.00")</f>
        <v>LAC vs UTA - Q3 01:39.00</v>
      </c>
      <c r="M1521">
        <v>14.24</v>
      </c>
      <c r="N1521">
        <v>79.290000000000006</v>
      </c>
      <c r="O1521">
        <v>48.46</v>
      </c>
      <c r="P1521">
        <v>79</v>
      </c>
      <c r="Q1521">
        <v>48</v>
      </c>
      <c r="R1521">
        <v>79</v>
      </c>
      <c r="S1521">
        <v>48</v>
      </c>
    </row>
    <row r="1522" spans="1:19" hidden="1" x14ac:dyDescent="0.25">
      <c r="A1522">
        <v>22400859</v>
      </c>
      <c r="B1522" t="s">
        <v>18</v>
      </c>
      <c r="C1522" t="s">
        <v>19</v>
      </c>
      <c r="D1522">
        <v>42</v>
      </c>
      <c r="E1522">
        <v>50</v>
      </c>
      <c r="F1522">
        <v>8</v>
      </c>
      <c r="G1522">
        <v>2</v>
      </c>
      <c r="H1522" s="1">
        <v>2.9861111111111113E-3</v>
      </c>
      <c r="I1522">
        <v>2024</v>
      </c>
      <c r="J1522" t="s">
        <v>83</v>
      </c>
      <c r="K1522" s="2" t="str">
        <f>HYPERLINK("https://www.nba.com/stats/events?CFID=&amp;CFPARAMS=&amp;GameEventID=223&amp;GameID=0022400859&amp;Season=2024-25&amp;flag=1&amp;title=Leonard%2014'%20Jump%20Shot%20(8%20PTS)%20(Dunn%203%20AST)", "14' Jump Shot (8 PTS) (K. Dunn 3 AST)")</f>
        <v>14' Jump Shot (8 PTS) (K. Dunn 3 AST)</v>
      </c>
      <c r="L1522" s="2" t="str">
        <f>HYPERLINK("https://www.nba.com/game/...-vs-...-0022400859/play-by-play?watchFullGame=true", "LAC vs LAL - Q2 04:18.00")</f>
        <v>LAC vs LAL - Q2 04:18.00</v>
      </c>
      <c r="M1522">
        <v>14.15</v>
      </c>
      <c r="N1522">
        <v>79.5</v>
      </c>
      <c r="O1522">
        <v>46.16</v>
      </c>
      <c r="P1522">
        <v>-19</v>
      </c>
      <c r="Q1522">
        <v>140</v>
      </c>
      <c r="R1522">
        <v>79</v>
      </c>
      <c r="S1522">
        <v>46</v>
      </c>
    </row>
    <row r="1523" spans="1:19" hidden="1" x14ac:dyDescent="0.25">
      <c r="A1523">
        <v>42000224</v>
      </c>
      <c r="B1523" t="s">
        <v>18</v>
      </c>
      <c r="C1523" t="s">
        <v>19</v>
      </c>
      <c r="D1523">
        <v>75</v>
      </c>
      <c r="E1523">
        <v>59</v>
      </c>
      <c r="F1523">
        <v>16</v>
      </c>
      <c r="G1523">
        <v>3</v>
      </c>
      <c r="H1523" s="1">
        <v>5.2662037037037035E-3</v>
      </c>
      <c r="I1523" t="s">
        <v>94</v>
      </c>
      <c r="J1523" t="s">
        <v>83</v>
      </c>
      <c r="K1523" s="2" t="str">
        <f>HYPERLINK("https://www.nba.com/stats/events?CFID=&amp;CFPARAMS=&amp;GameEventID=355&amp;GameID=0042000224&amp;Season=2020-21&amp;flag=1&amp;title=Leonard%2013'%20pullup%20Jump%20Shot%20(21%20PTS)%20(N.%20Batum%204%20AST)", "13' pullup Jump Shot (21 PTS) (N. Batum 4 AST)")</f>
        <v>13' pullup Jump Shot (21 PTS) (N. Batum 4 AST)</v>
      </c>
      <c r="L1523" s="2" t="str">
        <f>HYPERLINK("https://www.nba.com/game/...-vs-...-0042000224/play-by-play?watchFullGame=true", "LAC vs UTA - Q3 07:35.00")</f>
        <v>LAC vs UTA - Q3 07:35.00</v>
      </c>
      <c r="M1523">
        <v>13.74</v>
      </c>
      <c r="N1523">
        <v>79.81</v>
      </c>
      <c r="O1523">
        <v>48.95</v>
      </c>
      <c r="P1523">
        <v>79</v>
      </c>
      <c r="Q1523">
        <v>48</v>
      </c>
      <c r="R1523">
        <v>79</v>
      </c>
      <c r="S1523">
        <v>48</v>
      </c>
    </row>
    <row r="1524" spans="1:19" hidden="1" x14ac:dyDescent="0.25">
      <c r="A1524">
        <v>22400671</v>
      </c>
      <c r="B1524" t="s">
        <v>26</v>
      </c>
      <c r="C1524" t="s">
        <v>19</v>
      </c>
      <c r="D1524">
        <v>49</v>
      </c>
      <c r="E1524">
        <v>44</v>
      </c>
      <c r="F1524">
        <v>5</v>
      </c>
      <c r="G1524">
        <v>2</v>
      </c>
      <c r="H1524" s="1">
        <v>4.178240740740741E-3</v>
      </c>
      <c r="I1524">
        <v>2024</v>
      </c>
      <c r="J1524" t="s">
        <v>83</v>
      </c>
      <c r="K1524" s="2" t="str">
        <f>HYPERLINK("https://www.nba.com/stats/events?CFID=&amp;CFPARAMS=&amp;GameEventID=246&amp;GameID=0022400671&amp;Season=2024-25&amp;flag=1&amp;title=Leonard%2025'%203PT%20%20(10%20PTS)%20(N.%20Powell%201%20AST)", "25' 3PT  (10 PTS) (N. Powell 1 AST)")</f>
        <v>25' 3PT  (10 PTS) (N. Powell 1 AST)</v>
      </c>
      <c r="L1524" s="2" t="str">
        <f>HYPERLINK("https://www.nba.com/game/...-vs-...-0022400671/play-by-play?watchFullGame=true", "LAC vs SAS - Q2 06:01.00")</f>
        <v>LAC vs SAS - Q2 06:01.00</v>
      </c>
      <c r="M1524">
        <v>25.65</v>
      </c>
      <c r="N1524">
        <v>80.5</v>
      </c>
      <c r="O1524">
        <v>5.88</v>
      </c>
      <c r="P1524">
        <v>-221</v>
      </c>
      <c r="Q1524">
        <v>131</v>
      </c>
      <c r="R1524">
        <v>80</v>
      </c>
      <c r="S1524">
        <v>5</v>
      </c>
    </row>
    <row r="1525" spans="1:19" hidden="1" x14ac:dyDescent="0.25">
      <c r="A1525">
        <v>21900653</v>
      </c>
      <c r="B1525" t="s">
        <v>26</v>
      </c>
      <c r="C1525" t="s">
        <v>84</v>
      </c>
      <c r="D1525">
        <v>108</v>
      </c>
      <c r="E1525">
        <v>100</v>
      </c>
      <c r="F1525">
        <v>8</v>
      </c>
      <c r="G1525">
        <v>4</v>
      </c>
      <c r="H1525" s="1">
        <v>8.6805555555555551E-4</v>
      </c>
      <c r="I1525">
        <v>2019</v>
      </c>
      <c r="J1525" t="s">
        <v>83</v>
      </c>
      <c r="K1525" s="2" t="str">
        <f>HYPERLINK("https://www.nba.com/stats/events?CFID=&amp;CFPARAMS=&amp;GameEventID=675&amp;GameID=0021900653&amp;Season=2019-20&amp;flag=1&amp;title=Leonard%2026'%203PT%20%20(34%20PTS)", "26' 3PT  (34 PTS)")</f>
        <v>26' 3PT  (34 PTS)</v>
      </c>
      <c r="L1525" s="2" t="str">
        <f>HYPERLINK("https://www.nba.com/game/...-vs-...-0021900653/play-by-play?watchFullGame=true", "LAC vs DAL - Q4 01:15.00")</f>
        <v>LAC vs DAL - Q4 01:15.00</v>
      </c>
      <c r="M1525">
        <v>25.5</v>
      </c>
      <c r="N1525">
        <v>80.900000000000006</v>
      </c>
      <c r="O1525">
        <v>6.44</v>
      </c>
      <c r="P1525">
        <v>-218</v>
      </c>
      <c r="Q1525">
        <v>127</v>
      </c>
      <c r="R1525">
        <v>80</v>
      </c>
      <c r="S1525">
        <v>6</v>
      </c>
    </row>
    <row r="1526" spans="1:19" hidden="1" x14ac:dyDescent="0.25">
      <c r="A1526">
        <v>21900339</v>
      </c>
      <c r="B1526" t="s">
        <v>26</v>
      </c>
      <c r="C1526" t="s">
        <v>84</v>
      </c>
      <c r="D1526">
        <v>17</v>
      </c>
      <c r="E1526">
        <v>5</v>
      </c>
      <c r="F1526">
        <v>12</v>
      </c>
      <c r="G1526">
        <v>1</v>
      </c>
      <c r="H1526" s="1">
        <v>5.9722222222222225E-3</v>
      </c>
      <c r="I1526">
        <v>2019</v>
      </c>
      <c r="J1526" t="s">
        <v>83</v>
      </c>
      <c r="K1526" s="2" t="str">
        <f>HYPERLINK("https://www.nba.com/stats/events?CFID=&amp;CFPARAMS=&amp;GameEventID=44&amp;GameID=0021900339&amp;Season=2019-20&amp;flag=1&amp;title=Leonard%2025'%203PT%20%20(6%20PTS)%20(I.%20Zubac%201%20AST)", "25' 3PT  (6 PTS) (I. Zubac 1 AST)")</f>
        <v>25' 3PT  (6 PTS) (I. Zubac 1 AST)</v>
      </c>
      <c r="L1526" s="2" t="str">
        <f>HYPERLINK("https://www.nba.com/game/...-vs-...-0021900339/play-by-play?watchFullGame=true", "LAC vs WAS - Q1 08:36.00")</f>
        <v>LAC vs WAS - Q1 08:36.00</v>
      </c>
      <c r="M1526">
        <v>25.1</v>
      </c>
      <c r="N1526">
        <v>80.86</v>
      </c>
      <c r="O1526">
        <v>92.58</v>
      </c>
      <c r="P1526">
        <v>213</v>
      </c>
      <c r="Q1526">
        <v>127</v>
      </c>
      <c r="R1526">
        <v>80</v>
      </c>
      <c r="S1526">
        <v>92</v>
      </c>
    </row>
    <row r="1527" spans="1:19" hidden="1" x14ac:dyDescent="0.25">
      <c r="A1527">
        <v>22000966</v>
      </c>
      <c r="B1527" t="s">
        <v>18</v>
      </c>
      <c r="C1527" t="s">
        <v>19</v>
      </c>
      <c r="D1527">
        <v>34</v>
      </c>
      <c r="E1527">
        <v>34</v>
      </c>
      <c r="F1527">
        <v>0</v>
      </c>
      <c r="G1527">
        <v>2</v>
      </c>
      <c r="H1527" s="1">
        <v>6.6782407407407407E-3</v>
      </c>
      <c r="I1527">
        <v>2020</v>
      </c>
      <c r="J1527" t="s">
        <v>83</v>
      </c>
      <c r="K1527" s="2" t="str">
        <f>HYPERLINK("https://www.nba.com/stats/events?CFID=&amp;CFPARAMS=&amp;GameEventID=171&amp;GameID=0022000966&amp;Season=2020-21&amp;flag=1&amp;title=Leonard%2021'%20step%20back%20Jump%20Shot%20(9%20PTS)", "21' step back Jump Shot (9 PTS)")</f>
        <v>21' step back Jump Shot (9 PTS)</v>
      </c>
      <c r="L1527" s="2" t="str">
        <f>HYPERLINK("https://www.nba.com/game/...-vs-...-0022000966/play-by-play?watchFullGame=true", "LAC vs DEN - Q2 09:37.00")</f>
        <v>LAC vs DEN - Q2 09:37.00</v>
      </c>
      <c r="M1527">
        <v>21.32</v>
      </c>
      <c r="N1527">
        <v>80.900000000000006</v>
      </c>
      <c r="O1527">
        <v>15.76</v>
      </c>
      <c r="P1527">
        <v>-171</v>
      </c>
      <c r="Q1527">
        <v>127</v>
      </c>
      <c r="R1527">
        <v>80</v>
      </c>
      <c r="S1527">
        <v>15</v>
      </c>
    </row>
    <row r="1528" spans="1:19" hidden="1" x14ac:dyDescent="0.25">
      <c r="A1528">
        <v>22300982</v>
      </c>
      <c r="B1528" t="s">
        <v>18</v>
      </c>
      <c r="C1528" t="s">
        <v>19</v>
      </c>
      <c r="D1528">
        <v>2</v>
      </c>
      <c r="E1528">
        <v>0</v>
      </c>
      <c r="F1528">
        <v>2</v>
      </c>
      <c r="G1528">
        <v>1</v>
      </c>
      <c r="H1528" s="1">
        <v>8.0787037037037043E-3</v>
      </c>
      <c r="I1528">
        <v>2023</v>
      </c>
      <c r="J1528" t="s">
        <v>83</v>
      </c>
      <c r="K1528" s="2" t="str">
        <f>HYPERLINK("https://www.nba.com/stats/events?CFID=&amp;CFPARAMS=&amp;GameEventID=7&amp;GameID=0022300982&amp;Season=2023-24&amp;flag=1&amp;title=Leonard%2017'%20turnaround%20fadeaway%20Jump%20Shot%20(2%20PTS)", "17' turnaround fadeaway Jump Shot (2 PTS)")</f>
        <v>17' turnaround fadeaway Jump Shot (2 PTS)</v>
      </c>
      <c r="L1528" s="2" t="str">
        <f>HYPERLINK("https://www.nba.com/game/...-vs-...-0022300982/play-by-play?watchFullGame=true", "LAC vs ATL - Q1 11:38.00")</f>
        <v>LAC vs ATL - Q1 11:38.00</v>
      </c>
      <c r="M1528">
        <v>17.350000000000001</v>
      </c>
      <c r="N1528">
        <v>80.73</v>
      </c>
      <c r="O1528">
        <v>26.72</v>
      </c>
      <c r="P1528">
        <v>-116</v>
      </c>
      <c r="Q1528">
        <v>129</v>
      </c>
      <c r="R1528">
        <v>80</v>
      </c>
      <c r="S1528">
        <v>26</v>
      </c>
    </row>
    <row r="1529" spans="1:19" hidden="1" x14ac:dyDescent="0.25">
      <c r="A1529">
        <v>21900115</v>
      </c>
      <c r="B1529" t="s">
        <v>18</v>
      </c>
      <c r="C1529" t="s">
        <v>84</v>
      </c>
      <c r="D1529">
        <v>94</v>
      </c>
      <c r="E1529">
        <v>93</v>
      </c>
      <c r="F1529">
        <v>1</v>
      </c>
      <c r="G1529">
        <v>4</v>
      </c>
      <c r="H1529" s="1">
        <v>1.8518518518518519E-3</v>
      </c>
      <c r="I1529">
        <v>2019</v>
      </c>
      <c r="J1529" t="s">
        <v>83</v>
      </c>
      <c r="K1529" s="2" t="str">
        <f>HYPERLINK("https://www.nba.com/stats/events?CFID=&amp;CFPARAMS=&amp;GameEventID=637&amp;GameID=0021900115&amp;Season=2019-20&amp;flag=1&amp;title=[LAC]%20Leonard%20jumpshot:%20Made%20(21%20PTS)", "[LAC] Leonard jumpshot: Made (21 PTS)")</f>
        <v>[LAC] Leonard jumpshot: Made (21 PTS)</v>
      </c>
      <c r="L1529" s="2" t="str">
        <f>HYPERLINK("https://www.nba.com/game/...-vs-...-0021900115/play-by-play?watchFullGame=true", "LAC vs POR - Q4 02:40.00")</f>
        <v>LAC vs POR - Q4 02:40.00</v>
      </c>
      <c r="M1529">
        <v>15.02</v>
      </c>
      <c r="N1529">
        <v>80.08</v>
      </c>
      <c r="O1529">
        <v>60.72</v>
      </c>
      <c r="P1529">
        <v>54</v>
      </c>
      <c r="Q1529">
        <v>135</v>
      </c>
      <c r="R1529">
        <v>80</v>
      </c>
      <c r="S1529">
        <v>60</v>
      </c>
    </row>
    <row r="1530" spans="1:19" hidden="1" x14ac:dyDescent="0.25">
      <c r="A1530">
        <v>22300037</v>
      </c>
      <c r="B1530" t="s">
        <v>18</v>
      </c>
      <c r="C1530" t="s">
        <v>19</v>
      </c>
      <c r="D1530">
        <v>84</v>
      </c>
      <c r="E1530">
        <v>90</v>
      </c>
      <c r="F1530">
        <v>6</v>
      </c>
      <c r="G1530">
        <v>4</v>
      </c>
      <c r="H1530" s="1">
        <v>5.9837962962962961E-3</v>
      </c>
      <c r="I1530">
        <v>2023</v>
      </c>
      <c r="J1530" t="s">
        <v>83</v>
      </c>
      <c r="K1530" s="2" t="str">
        <f>HYPERLINK("https://www.nba.com/stats/events?CFID=&amp;CFPARAMS=&amp;GameEventID=574&amp;GameID=0022300037&amp;Season=2023-24&amp;flag=1&amp;title=Leonard%2015'%20pullup%20Jump%20Shot%20(22%20PTS)", "15' pullup Jump Shot (22 PTS)")</f>
        <v>15' pullup Jump Shot (22 PTS)</v>
      </c>
      <c r="L1530" s="2" t="str">
        <f>HYPERLINK("https://www.nba.com/game/...-vs-...-0022300037/play-by-play?watchFullGame=true", "LAC vs HOU - Q4 08:37.00")</f>
        <v>LAC vs HOU - Q4 08:37.00</v>
      </c>
      <c r="M1530">
        <v>15.29</v>
      </c>
      <c r="N1530">
        <v>80.599999999999994</v>
      </c>
      <c r="O1530">
        <v>66.180000000000007</v>
      </c>
      <c r="P1530">
        <v>81</v>
      </c>
      <c r="Q1530">
        <v>130</v>
      </c>
      <c r="R1530">
        <v>80</v>
      </c>
      <c r="S1530">
        <v>66</v>
      </c>
    </row>
    <row r="1531" spans="1:19" hidden="1" x14ac:dyDescent="0.25">
      <c r="A1531">
        <v>22300676</v>
      </c>
      <c r="B1531" t="s">
        <v>18</v>
      </c>
      <c r="C1531" t="s">
        <v>19</v>
      </c>
      <c r="D1531">
        <v>60</v>
      </c>
      <c r="E1531">
        <v>53</v>
      </c>
      <c r="F1531">
        <v>7</v>
      </c>
      <c r="G1531">
        <v>2</v>
      </c>
      <c r="H1531" s="1">
        <v>1.7476851851851852E-3</v>
      </c>
      <c r="I1531">
        <v>2023</v>
      </c>
      <c r="J1531" t="s">
        <v>83</v>
      </c>
      <c r="K1531" s="2" t="str">
        <f>HYPERLINK("https://www.nba.com/stats/events?CFID=&amp;CFPARAMS=&amp;GameEventID=276&amp;GameID=0022300676&amp;Season=2023-24&amp;flag=1&amp;title=Leonard%2015'%20turnaround%20fadeaway%20Jump%20Shot%20(15%20PTS)", "15' turnaround fadeaway Jump Shot (15 PTS)")</f>
        <v>15' turnaround fadeaway Jump Shot (15 PTS)</v>
      </c>
      <c r="L1531" s="2" t="str">
        <f>HYPERLINK("https://www.nba.com/game/...-vs-...-0022300676/play-by-play?watchFullGame=true", "LAC vs WAS - Q2 02:31.00")</f>
        <v>LAC vs WAS - Q2 02:31.00</v>
      </c>
      <c r="M1531">
        <v>15.54</v>
      </c>
      <c r="N1531">
        <v>80.37</v>
      </c>
      <c r="O1531">
        <v>66.42</v>
      </c>
      <c r="P1531">
        <v>82</v>
      </c>
      <c r="Q1531">
        <v>132</v>
      </c>
      <c r="R1531">
        <v>80</v>
      </c>
      <c r="S1531">
        <v>66</v>
      </c>
    </row>
    <row r="1532" spans="1:19" hidden="1" x14ac:dyDescent="0.25">
      <c r="A1532">
        <v>22300865</v>
      </c>
      <c r="B1532" t="s">
        <v>18</v>
      </c>
      <c r="C1532" t="s">
        <v>19</v>
      </c>
      <c r="D1532">
        <v>69</v>
      </c>
      <c r="E1532">
        <v>50</v>
      </c>
      <c r="F1532">
        <v>19</v>
      </c>
      <c r="G1532">
        <v>2</v>
      </c>
      <c r="H1532" s="1">
        <v>2.3726851851851851E-3</v>
      </c>
      <c r="I1532">
        <v>2023</v>
      </c>
      <c r="J1532" t="s">
        <v>83</v>
      </c>
      <c r="K1532" s="2" t="str">
        <f>HYPERLINK("https://www.nba.com/stats/events?CFID=&amp;CFPARAMS=&amp;GameEventID=281&amp;GameID=0022300865&amp;Season=2023-24&amp;flag=1&amp;title=Leonard%2015'%20pullup%20Jump%20Shot%20(11%20PTS)", "15' pullup Jump Shot (11 PTS)")</f>
        <v>15' pullup Jump Shot (11 PTS)</v>
      </c>
      <c r="L1532" s="2" t="str">
        <f>HYPERLINK("https://www.nba.com/game/...-vs-...-0022300865/play-by-play?watchFullGame=true", "LAC vs WAS - Q2 03:25.00")</f>
        <v>LAC vs WAS - Q2 03:25.00</v>
      </c>
      <c r="M1532">
        <v>15.85</v>
      </c>
      <c r="N1532">
        <v>80.08</v>
      </c>
      <c r="O1532">
        <v>66.67</v>
      </c>
      <c r="P1532">
        <v>83</v>
      </c>
      <c r="Q1532">
        <v>135</v>
      </c>
      <c r="R1532">
        <v>80</v>
      </c>
      <c r="S1532">
        <v>66</v>
      </c>
    </row>
    <row r="1533" spans="1:19" hidden="1" x14ac:dyDescent="0.25">
      <c r="A1533">
        <v>22200604</v>
      </c>
      <c r="B1533" t="s">
        <v>18</v>
      </c>
      <c r="C1533" t="s">
        <v>19</v>
      </c>
      <c r="D1533">
        <v>22</v>
      </c>
      <c r="E1533">
        <v>17</v>
      </c>
      <c r="F1533">
        <v>5</v>
      </c>
      <c r="G1533">
        <v>1</v>
      </c>
      <c r="H1533" s="1">
        <v>2.9050925925925928E-3</v>
      </c>
      <c r="I1533">
        <v>2022</v>
      </c>
      <c r="J1533" t="s">
        <v>83</v>
      </c>
      <c r="K1533" s="2" t="str">
        <f>HYPERLINK("https://www.nba.com/stats/events?CFID=&amp;CFPARAMS=&amp;GameEventID=86&amp;GameID=0022200604&amp;Season=2022-23&amp;flag=1&amp;title=Leonard%2016'%20step%20back%20Jump%20Shot%20(4%20PTS)", "16' step back Jump Shot (4 PTS)")</f>
        <v>16' step back Jump Shot (4 PTS)</v>
      </c>
      <c r="L1533" s="2" t="str">
        <f>HYPERLINK("https://www.nba.com/game/...-vs-...-0022200604/play-by-play?watchFullGame=true", "LAC vs ATL - Q1 04:11.00")</f>
        <v>LAC vs ATL - Q1 04:11.00</v>
      </c>
      <c r="M1533">
        <v>16.11</v>
      </c>
      <c r="N1533">
        <v>80.08</v>
      </c>
      <c r="O1533">
        <v>67.650000000000006</v>
      </c>
      <c r="P1533">
        <v>88</v>
      </c>
      <c r="Q1533">
        <v>135</v>
      </c>
      <c r="R1533">
        <v>80</v>
      </c>
      <c r="S1533">
        <v>67</v>
      </c>
    </row>
    <row r="1534" spans="1:19" hidden="1" x14ac:dyDescent="0.25">
      <c r="A1534">
        <v>21900436</v>
      </c>
      <c r="B1534" t="s">
        <v>18</v>
      </c>
      <c r="C1534" t="s">
        <v>84</v>
      </c>
      <c r="D1534">
        <v>91</v>
      </c>
      <c r="E1534">
        <v>73</v>
      </c>
      <c r="F1534">
        <v>18</v>
      </c>
      <c r="G1534">
        <v>3</v>
      </c>
      <c r="H1534" s="1">
        <v>4.1319444444444442E-3</v>
      </c>
      <c r="I1534">
        <v>2019</v>
      </c>
      <c r="J1534" t="s">
        <v>83</v>
      </c>
      <c r="K1534" s="2" t="str">
        <f>HYPERLINK("https://www.nba.com/stats/events?CFID=&amp;CFPARAMS=&amp;GameEventID=405&amp;GameID=0021900436&amp;Season=2019-20&amp;flag=1&amp;title=Leonard%2017'%20jumpshot%20(24%20PTS)%20(I.%20Zubac%202%20AST)", "17' jumpshot (24 PTS) (I. Zubac 2 AST)")</f>
        <v>17' jumpshot (24 PTS) (I. Zubac 2 AST)</v>
      </c>
      <c r="L1534" s="2" t="str">
        <f>HYPERLINK("https://www.nba.com/game/...-vs-...-0021900436/play-by-play?watchFullGame=true", "LAC vs SAS - Q3 05:57.00")</f>
        <v>LAC vs SAS - Q3 05:57.00</v>
      </c>
      <c r="M1534">
        <v>17.11</v>
      </c>
      <c r="N1534">
        <v>80.11</v>
      </c>
      <c r="O1534">
        <v>69.680000000000007</v>
      </c>
      <c r="P1534">
        <v>98</v>
      </c>
      <c r="Q1534">
        <v>134</v>
      </c>
      <c r="R1534">
        <v>80</v>
      </c>
      <c r="S1534">
        <v>69</v>
      </c>
    </row>
    <row r="1535" spans="1:19" hidden="1" x14ac:dyDescent="0.25">
      <c r="A1535">
        <v>22000002</v>
      </c>
      <c r="B1535" t="s">
        <v>18</v>
      </c>
      <c r="C1535" t="s">
        <v>19</v>
      </c>
      <c r="D1535">
        <v>109</v>
      </c>
      <c r="E1535">
        <v>94</v>
      </c>
      <c r="F1535">
        <v>15</v>
      </c>
      <c r="G1535">
        <v>4</v>
      </c>
      <c r="H1535" s="1">
        <v>3.3680555555555556E-3</v>
      </c>
      <c r="I1535">
        <v>2020</v>
      </c>
      <c r="J1535" t="s">
        <v>83</v>
      </c>
      <c r="K1535" s="2" t="str">
        <f>HYPERLINK("https://www.nba.com/stats/events?CFID=&amp;CFPARAMS=&amp;GameEventID=641&amp;GameID=0022000002&amp;Season=2020-21&amp;flag=1&amp;title=Leonard%2016'%20turnaround%20fadeaway%20Jump%20Shot%20(26%20PTS)%20(N.%20Batum%205%20AST)", "16' turnaround fadeaway Jump Shot (26 PTS) (N. Batum 5 AST)")</f>
        <v>16' turnaround fadeaway Jump Shot (26 PTS) (N. Batum 5 AST)</v>
      </c>
      <c r="L1535" s="2" t="str">
        <f>HYPERLINK("https://www.nba.com/game/...-vs-...-0022000002/play-by-play?watchFullGame=true", "LAC vs LAL - Q4 04:51.00")</f>
        <v>LAC vs LAL - Q4 04:51.00</v>
      </c>
      <c r="M1535">
        <v>16.510000000000002</v>
      </c>
      <c r="N1535">
        <v>80.5</v>
      </c>
      <c r="O1535">
        <v>70.17</v>
      </c>
      <c r="P1535">
        <v>101</v>
      </c>
      <c r="Q1535">
        <v>131</v>
      </c>
      <c r="R1535">
        <v>80</v>
      </c>
      <c r="S1535">
        <v>70</v>
      </c>
    </row>
    <row r="1536" spans="1:19" hidden="1" x14ac:dyDescent="0.25">
      <c r="A1536">
        <v>22201229</v>
      </c>
      <c r="B1536" t="s">
        <v>18</v>
      </c>
      <c r="C1536" t="s">
        <v>19</v>
      </c>
      <c r="D1536">
        <v>10</v>
      </c>
      <c r="E1536">
        <v>14</v>
      </c>
      <c r="F1536">
        <v>4</v>
      </c>
      <c r="G1536">
        <v>1</v>
      </c>
      <c r="H1536" s="1">
        <v>5.2199074074074075E-3</v>
      </c>
      <c r="I1536">
        <v>2022</v>
      </c>
      <c r="J1536" t="s">
        <v>83</v>
      </c>
      <c r="K1536" s="2" t="str">
        <f>HYPERLINK("https://www.nba.com/stats/events?CFID=&amp;CFPARAMS=&amp;GameEventID=43&amp;GameID=0022201229&amp;Season=2022-23&amp;flag=1&amp;title=Leonard%2017'%20driving%20floating%20bank%20Jump%20Shot%20(2%20PTS)", "17' driving floating bank Jump Shot (2 PTS)")</f>
        <v>17' driving floating bank Jump Shot (2 PTS)</v>
      </c>
      <c r="L1536" s="2" t="str">
        <f>HYPERLINK("https://www.nba.com/game/...-vs-...-0022201229/play-by-play?watchFullGame=true", "LAC vs PHX - Q1 07:31.00")</f>
        <v>LAC vs PHX - Q1 07:31.00</v>
      </c>
      <c r="M1536">
        <v>17.190000000000001</v>
      </c>
      <c r="N1536">
        <v>80.5</v>
      </c>
      <c r="O1536">
        <v>72.3</v>
      </c>
      <c r="P1536">
        <v>112</v>
      </c>
      <c r="Q1536">
        <v>131</v>
      </c>
      <c r="R1536">
        <v>80</v>
      </c>
      <c r="S1536">
        <v>72</v>
      </c>
    </row>
    <row r="1537" spans="1:19" hidden="1" x14ac:dyDescent="0.25">
      <c r="A1537">
        <v>21900618</v>
      </c>
      <c r="B1537" t="s">
        <v>18</v>
      </c>
      <c r="C1537" t="s">
        <v>84</v>
      </c>
      <c r="D1537">
        <v>20</v>
      </c>
      <c r="E1537">
        <v>18</v>
      </c>
      <c r="F1537">
        <v>2</v>
      </c>
      <c r="G1537">
        <v>1</v>
      </c>
      <c r="H1537" s="1">
        <v>3.9467592592592592E-3</v>
      </c>
      <c r="I1537">
        <v>2019</v>
      </c>
      <c r="J1537" t="s">
        <v>83</v>
      </c>
      <c r="K1537" s="2" t="str">
        <f>HYPERLINK("https://www.nba.com/stats/events?CFID=&amp;CFPARAMS=&amp;GameEventID=68&amp;GameID=0021900618&amp;Season=2019-20&amp;flag=1&amp;title=Leonard%2018'%20jumpshot%20(12%20PTS)", "18' jumpshot (12 PTS)")</f>
        <v>18' jumpshot (12 PTS)</v>
      </c>
      <c r="L1537" s="2" t="str">
        <f>HYPERLINK("https://www.nba.com/game/...-vs-...-0021900618/play-by-play?watchFullGame=true", "LAC vs ORL - Q1 05:41.00")</f>
        <v>LAC vs ORL - Q1 05:41.00</v>
      </c>
      <c r="M1537">
        <v>18.04</v>
      </c>
      <c r="N1537">
        <v>80.209999999999994</v>
      </c>
      <c r="O1537">
        <v>72.97</v>
      </c>
      <c r="P1537">
        <v>115</v>
      </c>
      <c r="Q1537">
        <v>134</v>
      </c>
      <c r="R1537">
        <v>80</v>
      </c>
      <c r="S1537">
        <v>72</v>
      </c>
    </row>
    <row r="1538" spans="1:19" hidden="1" x14ac:dyDescent="0.25">
      <c r="A1538">
        <v>22200719</v>
      </c>
      <c r="B1538" t="s">
        <v>18</v>
      </c>
      <c r="C1538" t="s">
        <v>19</v>
      </c>
      <c r="D1538">
        <v>17</v>
      </c>
      <c r="E1538">
        <v>8</v>
      </c>
      <c r="F1538">
        <v>9</v>
      </c>
      <c r="G1538">
        <v>1</v>
      </c>
      <c r="H1538" s="1">
        <v>5.2314814814814811E-3</v>
      </c>
      <c r="I1538">
        <v>2022</v>
      </c>
      <c r="J1538" t="s">
        <v>83</v>
      </c>
      <c r="K1538" s="2" t="str">
        <f>HYPERLINK("https://www.nba.com/stats/events?CFID=&amp;CFPARAMS=&amp;GameEventID=43&amp;GameID=0022200719&amp;Season=2022-23&amp;flag=1&amp;title=Leonard%2017'%20pullup%20Jump%20Shot%20(6%20PTS)", "17' pullup Jump Shot (6 PTS)")</f>
        <v>17' pullup Jump Shot (6 PTS)</v>
      </c>
      <c r="L1538" s="2" t="str">
        <f>HYPERLINK("https://www.nba.com/game/...-vs-...-0022200719/play-by-play?watchFullGame=true", "LAC vs LAL - Q1 07:32.00")</f>
        <v>LAC vs LAL - Q1 07:32.00</v>
      </c>
      <c r="M1538">
        <v>17.7</v>
      </c>
      <c r="N1538">
        <v>80.47</v>
      </c>
      <c r="O1538">
        <v>73.77</v>
      </c>
      <c r="P1538">
        <v>119</v>
      </c>
      <c r="Q1538">
        <v>131</v>
      </c>
      <c r="R1538">
        <v>80</v>
      </c>
      <c r="S1538">
        <v>73</v>
      </c>
    </row>
    <row r="1539" spans="1:19" hidden="1" x14ac:dyDescent="0.25">
      <c r="A1539">
        <v>21900377</v>
      </c>
      <c r="B1539" t="s">
        <v>18</v>
      </c>
      <c r="C1539" t="s">
        <v>84</v>
      </c>
      <c r="D1539">
        <v>61</v>
      </c>
      <c r="E1539">
        <v>54</v>
      </c>
      <c r="F1539">
        <v>7</v>
      </c>
      <c r="G1539">
        <v>2</v>
      </c>
      <c r="H1539" s="1">
        <v>1.2962962962962963E-3</v>
      </c>
      <c r="I1539">
        <v>2019</v>
      </c>
      <c r="J1539" t="s">
        <v>83</v>
      </c>
      <c r="K1539" s="2" t="str">
        <f>HYPERLINK("https://www.nba.com/stats/events?CFID=&amp;CFPARAMS=&amp;GameEventID=310&amp;GameID=0021900377&amp;Season=2019-20&amp;flag=1&amp;title=Leonard%2018'%20jumpshot%20(27%20PTS)", "18' jumpshot (27 PTS)")</f>
        <v>18' jumpshot (27 PTS)</v>
      </c>
      <c r="L1539" s="2" t="str">
        <f>HYPERLINK("https://www.nba.com/game/...-vs-...-0021900377/play-by-play?watchFullGame=true", "LAC vs MIN - Q2 01:52.00")</f>
        <v>LAC vs MIN - Q2 01:52.00</v>
      </c>
      <c r="M1539">
        <v>18.190000000000001</v>
      </c>
      <c r="N1539">
        <v>80.5</v>
      </c>
      <c r="O1539">
        <v>74.09</v>
      </c>
      <c r="P1539">
        <v>120</v>
      </c>
      <c r="Q1539">
        <v>131</v>
      </c>
      <c r="R1539">
        <v>80</v>
      </c>
      <c r="S1539">
        <v>74</v>
      </c>
    </row>
    <row r="1540" spans="1:19" hidden="1" x14ac:dyDescent="0.25">
      <c r="A1540">
        <v>22201096</v>
      </c>
      <c r="B1540" t="s">
        <v>18</v>
      </c>
      <c r="C1540" t="s">
        <v>19</v>
      </c>
      <c r="D1540">
        <v>9</v>
      </c>
      <c r="E1540">
        <v>11</v>
      </c>
      <c r="F1540">
        <v>2</v>
      </c>
      <c r="G1540">
        <v>1</v>
      </c>
      <c r="H1540" s="1">
        <v>5.2546296296296299E-3</v>
      </c>
      <c r="I1540">
        <v>2022</v>
      </c>
      <c r="J1540" t="s">
        <v>83</v>
      </c>
      <c r="K1540" s="2" t="str">
        <f>HYPERLINK("https://www.nba.com/stats/events?CFID=&amp;CFPARAMS=&amp;GameEventID=44&amp;GameID=0022201096&amp;Season=2022-23&amp;flag=1&amp;title=Leonard%2018'%20pullup%20Jump%20Shot%20(6%20PTS)%20(R.%20Westbrook%203%20AST)", "18' pullup Jump Shot (6 PTS) (R. Westbrook 3 AST)")</f>
        <v>18' pullup Jump Shot (6 PTS) (R. Westbrook 3 AST)</v>
      </c>
      <c r="L1540" s="2" t="str">
        <f>HYPERLINK("https://www.nba.com/game/...-vs-...-0022201096/play-by-play?watchFullGame=true", "LAC vs OKC - Q1 07:34.00")</f>
        <v>LAC vs OKC - Q1 07:34.00</v>
      </c>
      <c r="M1540">
        <v>18.190000000000001</v>
      </c>
      <c r="N1540">
        <v>80.599999999999994</v>
      </c>
      <c r="O1540">
        <v>75.489999999999995</v>
      </c>
      <c r="P1540">
        <v>127</v>
      </c>
      <c r="Q1540">
        <v>130</v>
      </c>
      <c r="R1540">
        <v>80</v>
      </c>
      <c r="S1540">
        <v>75</v>
      </c>
    </row>
    <row r="1541" spans="1:19" hidden="1" x14ac:dyDescent="0.25">
      <c r="A1541">
        <v>22300350</v>
      </c>
      <c r="B1541" t="s">
        <v>18</v>
      </c>
      <c r="C1541" t="s">
        <v>19</v>
      </c>
      <c r="D1541">
        <v>55</v>
      </c>
      <c r="E1541">
        <v>53</v>
      </c>
      <c r="F1541">
        <v>2</v>
      </c>
      <c r="G1541">
        <v>2</v>
      </c>
      <c r="H1541" s="1">
        <v>4.2013888888888891E-3</v>
      </c>
      <c r="I1541">
        <v>2023</v>
      </c>
      <c r="J1541" t="s">
        <v>83</v>
      </c>
      <c r="K1541" s="2" t="str">
        <f>HYPERLINK("https://www.nba.com/stats/events?CFID=&amp;CFPARAMS=&amp;GameEventID=263&amp;GameID=0022300350&amp;Season=2023-24&amp;flag=1&amp;title=Leonard%2018'%20Jump%20Shot%20(14%20PTS)", "18' Jump Shot (14 PTS)")</f>
        <v>18' Jump Shot (14 PTS)</v>
      </c>
      <c r="L1541" s="2" t="str">
        <f>HYPERLINK("https://www.nba.com/game/...-vs-...-0022300350/play-by-play?watchFullGame=true", "LAC vs IND - Q2 06:03.00")</f>
        <v>LAC vs IND - Q2 06:03.00</v>
      </c>
      <c r="M1541">
        <v>18.96</v>
      </c>
      <c r="N1541">
        <v>80.5</v>
      </c>
      <c r="O1541">
        <v>77.45</v>
      </c>
      <c r="P1541">
        <v>137</v>
      </c>
      <c r="Q1541">
        <v>131</v>
      </c>
      <c r="R1541">
        <v>80</v>
      </c>
      <c r="S1541">
        <v>77</v>
      </c>
    </row>
    <row r="1542" spans="1:19" hidden="1" x14ac:dyDescent="0.25">
      <c r="A1542">
        <v>22201229</v>
      </c>
      <c r="B1542" t="s">
        <v>18</v>
      </c>
      <c r="C1542" t="s">
        <v>19</v>
      </c>
      <c r="D1542">
        <v>40</v>
      </c>
      <c r="E1542">
        <v>41</v>
      </c>
      <c r="F1542">
        <v>1</v>
      </c>
      <c r="G1542">
        <v>2</v>
      </c>
      <c r="H1542" s="1">
        <v>2.9050925925925928E-3</v>
      </c>
      <c r="I1542">
        <v>2022</v>
      </c>
      <c r="J1542" t="s">
        <v>83</v>
      </c>
      <c r="K1542" s="2" t="str">
        <f>HYPERLINK("https://www.nba.com/stats/events?CFID=&amp;CFPARAMS=&amp;GameEventID=265&amp;GameID=0022201229&amp;Season=2022-23&amp;flag=1&amp;title=Leonard%2019'%20pullup%20Jump%20Shot%20(4%20PTS)", "19' pullup Jump Shot (4 PTS)")</f>
        <v>19' pullup Jump Shot (4 PTS)</v>
      </c>
      <c r="L1542" s="2" t="str">
        <f>HYPERLINK("https://www.nba.com/game/...-vs-...-0022201229/play-by-play?watchFullGame=true", "LAC vs PHX - Q2 04:11.00")</f>
        <v>LAC vs PHX - Q2 04:11.00</v>
      </c>
      <c r="M1542">
        <v>19.48</v>
      </c>
      <c r="N1542">
        <v>80.11</v>
      </c>
      <c r="O1542">
        <v>78.19</v>
      </c>
      <c r="P1542">
        <v>141</v>
      </c>
      <c r="Q1542">
        <v>134</v>
      </c>
      <c r="R1542">
        <v>80</v>
      </c>
      <c r="S1542">
        <v>78</v>
      </c>
    </row>
    <row r="1543" spans="1:19" hidden="1" x14ac:dyDescent="0.25">
      <c r="A1543">
        <v>22301028</v>
      </c>
      <c r="B1543" t="s">
        <v>18</v>
      </c>
      <c r="C1543" t="s">
        <v>19</v>
      </c>
      <c r="D1543">
        <v>56</v>
      </c>
      <c r="E1543">
        <v>63</v>
      </c>
      <c r="F1543">
        <v>7</v>
      </c>
      <c r="G1543">
        <v>2</v>
      </c>
      <c r="H1543" s="1">
        <v>2.8472222222222223E-4</v>
      </c>
      <c r="I1543">
        <v>2023</v>
      </c>
      <c r="J1543" t="s">
        <v>83</v>
      </c>
      <c r="K1543" s="2" t="str">
        <f>HYPERLINK("https://www.nba.com/stats/events?CFID=&amp;CFPARAMS=&amp;GameEventID=283&amp;GameID=0022301028&amp;Season=2023-24&amp;flag=1&amp;title=Leonard%2018'%20Jump%20Shot%20(12%20PTS)", "18' Jump Shot (12 PTS)")</f>
        <v>18' Jump Shot (12 PTS)</v>
      </c>
      <c r="L1543" s="2" t="str">
        <f>HYPERLINK("https://www.nba.com/game/...-vs-...-0022301028/play-by-play?watchFullGame=true", "LAC vs PHI - Q2 00:24.60")</f>
        <v>LAC vs PHI - Q2 00:24.60</v>
      </c>
      <c r="M1543">
        <v>18.91</v>
      </c>
      <c r="N1543">
        <v>81</v>
      </c>
      <c r="O1543">
        <v>78.19</v>
      </c>
      <c r="P1543">
        <v>141</v>
      </c>
      <c r="Q1543">
        <v>126</v>
      </c>
      <c r="R1543">
        <v>80</v>
      </c>
      <c r="S1543">
        <v>78</v>
      </c>
    </row>
    <row r="1544" spans="1:19" hidden="1" x14ac:dyDescent="0.25">
      <c r="A1544">
        <v>21900157</v>
      </c>
      <c r="B1544" t="s">
        <v>18</v>
      </c>
      <c r="C1544" t="s">
        <v>84</v>
      </c>
      <c r="D1544">
        <v>17</v>
      </c>
      <c r="E1544">
        <v>31</v>
      </c>
      <c r="F1544">
        <v>14</v>
      </c>
      <c r="G1544">
        <v>2</v>
      </c>
      <c r="H1544" s="1">
        <v>8.1481481481481474E-3</v>
      </c>
      <c r="I1544">
        <v>2019</v>
      </c>
      <c r="J1544" t="s">
        <v>83</v>
      </c>
      <c r="K1544" s="2" t="str">
        <f>HYPERLINK("https://www.nba.com/stats/events?CFID=&amp;CFPARAMS=&amp;GameEventID=189&amp;GameID=0021900157&amp;Season=2019-20&amp;flag=1&amp;title=Leonard%2022'%20jumpshot%20(7%20PTS)%20(L.%20Williams%201%20AST)", "22' jumpshot (7 PTS) (L. Williams 1 AST)")</f>
        <v>22' jumpshot (7 PTS) (L. Williams 1 AST)</v>
      </c>
      <c r="L1544" s="2" t="str">
        <f>HYPERLINK("https://www.nba.com/game/...-vs-...-0021900157/play-by-play?watchFullGame=true", "LAC vs HOU - Q2 11:44.00")</f>
        <v>LAC vs HOU - Q2 11:44.00</v>
      </c>
      <c r="M1544">
        <v>21.75</v>
      </c>
      <c r="N1544">
        <v>80.73</v>
      </c>
      <c r="O1544">
        <v>84.24</v>
      </c>
      <c r="P1544">
        <v>171</v>
      </c>
      <c r="Q1544">
        <v>129</v>
      </c>
      <c r="R1544">
        <v>80</v>
      </c>
      <c r="S1544">
        <v>84</v>
      </c>
    </row>
    <row r="1545" spans="1:19" hidden="1" x14ac:dyDescent="0.25">
      <c r="A1545">
        <v>22201196</v>
      </c>
      <c r="B1545" t="s">
        <v>18</v>
      </c>
      <c r="C1545" t="s">
        <v>19</v>
      </c>
      <c r="D1545">
        <v>27</v>
      </c>
      <c r="E1545">
        <v>26</v>
      </c>
      <c r="F1545">
        <v>1</v>
      </c>
      <c r="G1545">
        <v>1</v>
      </c>
      <c r="H1545" s="1">
        <v>1.4930555555555556E-3</v>
      </c>
      <c r="I1545">
        <v>2022</v>
      </c>
      <c r="J1545" t="s">
        <v>83</v>
      </c>
      <c r="K1545" s="2" t="str">
        <f>HYPERLINK("https://www.nba.com/stats/events?CFID=&amp;CFPARAMS=&amp;GameEventID=121&amp;GameID=0022201196&amp;Season=2022-23&amp;flag=1&amp;title=Leonard%2014'%20pullup%20Jump%20Shot%20(6%20PTS)", "14' pullup Jump Shot (6 PTS)")</f>
        <v>14' pullup Jump Shot (6 PTS)</v>
      </c>
      <c r="L1545" s="2" t="str">
        <f>HYPERLINK("https://www.nba.com/game/...-vs-...-0022201196/play-by-play?watchFullGame=true", "LAC vs LAL - Q1 02:09.00")</f>
        <v>LAC vs LAL - Q1 02:09.00</v>
      </c>
      <c r="M1545">
        <v>14.97</v>
      </c>
      <c r="N1545">
        <v>80.47</v>
      </c>
      <c r="O1545">
        <v>35.54</v>
      </c>
      <c r="P1545">
        <v>-72</v>
      </c>
      <c r="Q1545">
        <v>131</v>
      </c>
      <c r="R1545">
        <v>80</v>
      </c>
      <c r="S1545">
        <v>35</v>
      </c>
    </row>
    <row r="1546" spans="1:19" hidden="1" x14ac:dyDescent="0.25">
      <c r="A1546">
        <v>22301017</v>
      </c>
      <c r="B1546" t="s">
        <v>18</v>
      </c>
      <c r="C1546" t="s">
        <v>19</v>
      </c>
      <c r="D1546">
        <v>39</v>
      </c>
      <c r="E1546">
        <v>25</v>
      </c>
      <c r="F1546">
        <v>14</v>
      </c>
      <c r="G1546">
        <v>1</v>
      </c>
      <c r="H1546" s="1">
        <v>1.0648148148148149E-3</v>
      </c>
      <c r="I1546">
        <v>2023</v>
      </c>
      <c r="J1546" t="s">
        <v>83</v>
      </c>
      <c r="K1546" s="2" t="str">
        <f>HYPERLINK("https://www.nba.com/stats/events?CFID=&amp;CFPARAMS=&amp;GameEventID=148&amp;GameID=0022301017&amp;Season=2023-24&amp;flag=1&amp;title=Leonard%2014'%20pullup%20Jump%20Shot%20(13%20PTS)%20(A.%20Coffey%202%20AST)", "14' pullup Jump Shot (13 PTS) (A. Coffey 2 AST)")</f>
        <v>14' pullup Jump Shot (13 PTS) (A. Coffey 2 AST)</v>
      </c>
      <c r="L1546" s="2" t="str">
        <f>HYPERLINK("https://www.nba.com/game/...-vs-...-0022301017/play-by-play?watchFullGame=true", "LAC vs POR - Q1 01:32.00")</f>
        <v>LAC vs POR - Q1 01:32.00</v>
      </c>
      <c r="M1546">
        <v>14.82</v>
      </c>
      <c r="N1546">
        <v>80.37</v>
      </c>
      <c r="O1546">
        <v>63.48</v>
      </c>
      <c r="P1546">
        <v>67</v>
      </c>
      <c r="Q1546">
        <v>132</v>
      </c>
      <c r="R1546">
        <v>80</v>
      </c>
      <c r="S1546">
        <v>63</v>
      </c>
    </row>
    <row r="1547" spans="1:19" hidden="1" x14ac:dyDescent="0.25">
      <c r="A1547">
        <v>22300473</v>
      </c>
      <c r="B1547" t="s">
        <v>18</v>
      </c>
      <c r="C1547" t="s">
        <v>19</v>
      </c>
      <c r="D1547">
        <v>60</v>
      </c>
      <c r="E1547">
        <v>46</v>
      </c>
      <c r="F1547">
        <v>14</v>
      </c>
      <c r="G1547">
        <v>2</v>
      </c>
      <c r="H1547" s="1">
        <v>1.712962962962963E-3</v>
      </c>
      <c r="I1547">
        <v>2023</v>
      </c>
      <c r="J1547" t="s">
        <v>83</v>
      </c>
      <c r="K1547" s="2" t="str">
        <f>HYPERLINK("https://www.nba.com/stats/events?CFID=&amp;CFPARAMS=&amp;GameEventID=276&amp;GameID=0022300473&amp;Season=2023-24&amp;flag=1&amp;title=Leonard%2014'%20turnaround%20fadeaway%20Jump%20Shot%20(8%20PTS)", "14' turnaround fadeaway Jump Shot (8 PTS)")</f>
        <v>14' turnaround fadeaway Jump Shot (8 PTS)</v>
      </c>
      <c r="L1547" s="2" t="str">
        <f>HYPERLINK("https://www.nba.com/game/...-vs-...-0022300473/play-by-play?watchFullGame=true", "LAC vs PHX - Q2 02:28.00")</f>
        <v>LAC vs PHX - Q2 02:28.00</v>
      </c>
      <c r="M1547">
        <v>14.49</v>
      </c>
      <c r="N1547">
        <v>80.77</v>
      </c>
      <c r="O1547">
        <v>36.520000000000003</v>
      </c>
      <c r="P1547">
        <v>-67</v>
      </c>
      <c r="Q1547">
        <v>128</v>
      </c>
      <c r="R1547">
        <v>80</v>
      </c>
      <c r="S1547">
        <v>36</v>
      </c>
    </row>
    <row r="1548" spans="1:19" hidden="1" x14ac:dyDescent="0.25">
      <c r="A1548">
        <v>41900231</v>
      </c>
      <c r="B1548" t="s">
        <v>18</v>
      </c>
      <c r="C1548" t="s">
        <v>84</v>
      </c>
      <c r="D1548">
        <v>22</v>
      </c>
      <c r="E1548">
        <v>24</v>
      </c>
      <c r="F1548">
        <v>2</v>
      </c>
      <c r="G1548">
        <v>1</v>
      </c>
      <c r="H1548" s="1">
        <v>2.4421296296296296E-3</v>
      </c>
      <c r="I1548" t="s">
        <v>85</v>
      </c>
      <c r="J1548" t="s">
        <v>83</v>
      </c>
      <c r="K1548" s="2" t="str">
        <f>HYPERLINK("https://www.nba.com/stats/events?CFID=&amp;CFPARAMS=&amp;GameEventID=95&amp;GameID=0041900231&amp;Season=2019-20&amp;flag=1&amp;title=Leonard%2014'%20jumpshot%20(8%20PTS)", "14' jumpshot (8 PTS)")</f>
        <v>14' jumpshot (8 PTS)</v>
      </c>
      <c r="L1548" s="2" t="str">
        <f>HYPERLINK("https://www.nba.com/game/...-vs-...-0041900231/play-by-play?watchFullGame=true", "LAC vs DEN - Q1 03:31.00")</f>
        <v>LAC vs DEN - Q1 03:31.00</v>
      </c>
      <c r="M1548">
        <v>14.49</v>
      </c>
      <c r="N1548">
        <v>80.900000000000006</v>
      </c>
      <c r="O1548">
        <v>38.299999999999997</v>
      </c>
      <c r="P1548">
        <v>-58</v>
      </c>
      <c r="Q1548">
        <v>127</v>
      </c>
      <c r="R1548">
        <v>80</v>
      </c>
      <c r="S1548">
        <v>38</v>
      </c>
    </row>
    <row r="1549" spans="1:19" hidden="1" x14ac:dyDescent="0.25">
      <c r="A1549">
        <v>22300309</v>
      </c>
      <c r="B1549" t="s">
        <v>18</v>
      </c>
      <c r="C1549" t="s">
        <v>19</v>
      </c>
      <c r="D1549">
        <v>24</v>
      </c>
      <c r="E1549">
        <v>16</v>
      </c>
      <c r="F1549">
        <v>8</v>
      </c>
      <c r="G1549">
        <v>1</v>
      </c>
      <c r="H1549" s="1">
        <v>2.685185185185185E-3</v>
      </c>
      <c r="I1549">
        <v>2023</v>
      </c>
      <c r="J1549" t="s">
        <v>83</v>
      </c>
      <c r="K1549" s="2" t="str">
        <f>HYPERLINK("https://www.nba.com/stats/events?CFID=&amp;CFPARAMS=&amp;GameEventID=100&amp;GameID=0022300309&amp;Season=2023-24&amp;flag=1&amp;title=Leonard%2014'%20pullup%20Jump%20Shot%20(4%20PTS)", "14' pullup Jump Shot (4 PTS)")</f>
        <v>14' pullup Jump Shot (4 PTS)</v>
      </c>
      <c r="L1549" s="2" t="str">
        <f>HYPERLINK("https://www.nba.com/game/...-vs-...-0022300309/play-by-play?watchFullGame=true", "LAC vs SAC - Q1 03:52.00")</f>
        <v>LAC vs SAC - Q1 03:52.00</v>
      </c>
      <c r="M1549">
        <v>14.22</v>
      </c>
      <c r="N1549">
        <v>80.47</v>
      </c>
      <c r="O1549">
        <v>61.03</v>
      </c>
      <c r="P1549">
        <v>55</v>
      </c>
      <c r="Q1549">
        <v>131</v>
      </c>
      <c r="R1549">
        <v>80</v>
      </c>
      <c r="S1549">
        <v>61</v>
      </c>
    </row>
    <row r="1550" spans="1:19" hidden="1" x14ac:dyDescent="0.25">
      <c r="A1550">
        <v>22300304</v>
      </c>
      <c r="B1550" t="s">
        <v>18</v>
      </c>
      <c r="C1550" t="s">
        <v>19</v>
      </c>
      <c r="D1550">
        <v>2</v>
      </c>
      <c r="E1550">
        <v>0</v>
      </c>
      <c r="F1550">
        <v>2</v>
      </c>
      <c r="G1550">
        <v>1</v>
      </c>
      <c r="H1550" s="1">
        <v>8.1018518518518514E-3</v>
      </c>
      <c r="I1550">
        <v>2023</v>
      </c>
      <c r="J1550" t="s">
        <v>83</v>
      </c>
      <c r="K1550" s="2" t="str">
        <f>HYPERLINK("https://www.nba.com/stats/events?CFID=&amp;CFPARAMS=&amp;GameEventID=7&amp;GameID=0022300304&amp;Season=2023-24&amp;flag=1&amp;title=Leonard%2014'%20turnaround%20fadeaway%20Jump%20Shot%20(2%20PTS)", "14' turnaround fadeaway Jump Shot (2 PTS)")</f>
        <v>14' turnaround fadeaway Jump Shot (2 PTS)</v>
      </c>
      <c r="L1550" s="2" t="str">
        <f>HYPERLINK("https://www.nba.com/game/...-vs-...-0022300304/play-by-play?watchFullGame=true", "LAC vs POR - Q1 11:40.00")</f>
        <v>LAC vs POR - Q1 11:40.00</v>
      </c>
      <c r="M1550">
        <v>14.07</v>
      </c>
      <c r="N1550">
        <v>80.209999999999994</v>
      </c>
      <c r="O1550">
        <v>58.82</v>
      </c>
      <c r="P1550">
        <v>44</v>
      </c>
      <c r="Q1550">
        <v>134</v>
      </c>
      <c r="R1550">
        <v>80</v>
      </c>
      <c r="S1550">
        <v>58</v>
      </c>
    </row>
    <row r="1551" spans="1:19" hidden="1" x14ac:dyDescent="0.25">
      <c r="A1551">
        <v>22000077</v>
      </c>
      <c r="B1551" t="s">
        <v>18</v>
      </c>
      <c r="C1551" t="s">
        <v>19</v>
      </c>
      <c r="D1551">
        <v>77</v>
      </c>
      <c r="E1551">
        <v>91</v>
      </c>
      <c r="F1551">
        <v>14</v>
      </c>
      <c r="G1551">
        <v>4</v>
      </c>
      <c r="H1551" s="1">
        <v>5.9722222222222225E-3</v>
      </c>
      <c r="I1551">
        <v>2020</v>
      </c>
      <c r="J1551" t="s">
        <v>83</v>
      </c>
      <c r="K1551" s="2" t="str">
        <f>HYPERLINK("https://www.nba.com/stats/events?CFID=&amp;CFPARAMS=&amp;GameEventID=532&amp;GameID=0022000077&amp;Season=2020-21&amp;flag=1&amp;title=Leonard%2013'%20pullup%20Jump%20Shot%20(16%20PTS)", "13' pullup Jump Shot (16 PTS)")</f>
        <v>13' pullup Jump Shot (16 PTS)</v>
      </c>
      <c r="L1551" s="2" t="str">
        <f>HYPERLINK("https://www.nba.com/game/...-vs-...-0022000077/play-by-play?watchFullGame=true", "LAC vs UTA - Q4 08:36.00")</f>
        <v>LAC vs UTA - Q4 08:36.00</v>
      </c>
      <c r="M1551">
        <v>13.68</v>
      </c>
      <c r="N1551">
        <v>80.37</v>
      </c>
      <c r="O1551">
        <v>57.18</v>
      </c>
      <c r="P1551">
        <v>36</v>
      </c>
      <c r="Q1551">
        <v>132</v>
      </c>
      <c r="R1551">
        <v>80</v>
      </c>
      <c r="S1551">
        <v>57</v>
      </c>
    </row>
    <row r="1552" spans="1:19" hidden="1" x14ac:dyDescent="0.25">
      <c r="A1552">
        <v>22000350</v>
      </c>
      <c r="B1552" t="s">
        <v>18</v>
      </c>
      <c r="C1552" t="s">
        <v>19</v>
      </c>
      <c r="D1552">
        <v>99</v>
      </c>
      <c r="E1552">
        <v>102</v>
      </c>
      <c r="F1552">
        <v>3</v>
      </c>
      <c r="G1552">
        <v>4</v>
      </c>
      <c r="H1552" s="1">
        <v>4.5833333333333334E-3</v>
      </c>
      <c r="I1552">
        <v>2020</v>
      </c>
      <c r="J1552" t="s">
        <v>83</v>
      </c>
      <c r="K1552" s="2" t="str">
        <f>HYPERLINK("https://www.nba.com/stats/events?CFID=&amp;CFPARAMS=&amp;GameEventID=522&amp;GameID=0022000350&amp;Season=2020-21&amp;flag=1&amp;title=Leonard%2013'%20pullup%20Jump%20Shot%20(24%20PTS)%20(L.%20Williams%206%20AST)", "13' pullup Jump Shot (24 PTS) (L. Williams 6 AST)")</f>
        <v>13' pullup Jump Shot (24 PTS) (L. Williams 6 AST)</v>
      </c>
      <c r="L1552" s="2" t="str">
        <f>HYPERLINK("https://www.nba.com/game/...-vs-...-0022000350/play-by-play?watchFullGame=true", "LAC vs BOS - Q4 06:36.00")</f>
        <v>LAC vs BOS - Q4 06:36.00</v>
      </c>
      <c r="M1552">
        <v>13.53</v>
      </c>
      <c r="N1552">
        <v>80.11</v>
      </c>
      <c r="O1552">
        <v>47.13</v>
      </c>
      <c r="P1552">
        <v>-14</v>
      </c>
      <c r="Q1552">
        <v>134</v>
      </c>
      <c r="R1552">
        <v>80</v>
      </c>
      <c r="S1552">
        <v>47</v>
      </c>
    </row>
    <row r="1553" spans="1:19" hidden="1" x14ac:dyDescent="0.25">
      <c r="A1553">
        <v>21900016</v>
      </c>
      <c r="B1553" t="s">
        <v>18</v>
      </c>
      <c r="C1553" t="s">
        <v>84</v>
      </c>
      <c r="D1553">
        <v>83</v>
      </c>
      <c r="E1553">
        <v>60</v>
      </c>
      <c r="F1553">
        <v>23</v>
      </c>
      <c r="G1553">
        <v>3</v>
      </c>
      <c r="H1553" s="1">
        <v>5.6597222222222222E-3</v>
      </c>
      <c r="I1553">
        <v>2019</v>
      </c>
      <c r="J1553" t="s">
        <v>83</v>
      </c>
      <c r="K1553" s="2" t="str">
        <f>HYPERLINK("https://www.nba.com/stats/events?CFID=&amp;CFPARAMS=&amp;GameEventID=434&amp;GameID=0021900016&amp;Season=2019-20&amp;flag=1&amp;title=[LAC]%20Leonard%20jumpshot:%20Made%20(18%20PTS)%20assist:%20Zubac%20(1%20AST)", "[LAC] Leonard jumpshot: Made (18 PTS) assist: Zubac (1 AST)")</f>
        <v>[LAC] Leonard jumpshot: Made (18 PTS) assist: Zubac (1 AST)</v>
      </c>
      <c r="L1553" s="2" t="str">
        <f>HYPERLINK("https://www.nba.com/game/...-vs-...-0021900016/play-by-play?watchFullGame=true", "LAC vs GSW - Q3 08:09.00")</f>
        <v>LAC vs GSW - Q3 08:09.00</v>
      </c>
      <c r="M1553">
        <v>13.4</v>
      </c>
      <c r="N1553">
        <v>80.77</v>
      </c>
      <c r="O1553">
        <v>48.6</v>
      </c>
      <c r="P1553">
        <v>-7</v>
      </c>
      <c r="Q1553">
        <v>128</v>
      </c>
      <c r="R1553">
        <v>80</v>
      </c>
      <c r="S1553">
        <v>48</v>
      </c>
    </row>
    <row r="1554" spans="1:19" hidden="1" x14ac:dyDescent="0.25">
      <c r="A1554">
        <v>22301043</v>
      </c>
      <c r="B1554" t="s">
        <v>18</v>
      </c>
      <c r="C1554" t="s">
        <v>19</v>
      </c>
      <c r="D1554">
        <v>89</v>
      </c>
      <c r="E1554">
        <v>97</v>
      </c>
      <c r="F1554">
        <v>8</v>
      </c>
      <c r="G1554">
        <v>3</v>
      </c>
      <c r="H1554" s="1">
        <v>3.0092592592592595E-4</v>
      </c>
      <c r="I1554">
        <v>2023</v>
      </c>
      <c r="J1554" t="s">
        <v>83</v>
      </c>
      <c r="K1554" s="2" t="str">
        <f>HYPERLINK("https://www.nba.com/stats/events?CFID=&amp;CFPARAMS=&amp;GameEventID=469&amp;GameID=0022301043&amp;Season=2023-24&amp;flag=1&amp;title=Leonard%2013'%20pullup%20Jump%20Shot%20(24%20PTS)%20(R.%20Westbrook%207%20AST)", "13' pullup Jump Shot (24 PTS) (R. Westbrook 7 AST)")</f>
        <v>13' pullup Jump Shot (24 PTS) (R. Westbrook 7 AST)</v>
      </c>
      <c r="L1554" s="2" t="str">
        <f>HYPERLINK("https://www.nba.com/game/...-vs-...-0022301043/play-by-play?watchFullGame=true", "LAC vs IND - Q3 00:26.00")</f>
        <v>LAC vs IND - Q3 00:26.00</v>
      </c>
      <c r="M1554">
        <v>13.37</v>
      </c>
      <c r="N1554">
        <v>80.34</v>
      </c>
      <c r="O1554">
        <v>53.92</v>
      </c>
      <c r="P1554">
        <v>20</v>
      </c>
      <c r="Q1554">
        <v>132</v>
      </c>
      <c r="R1554">
        <v>80</v>
      </c>
      <c r="S1554">
        <v>53</v>
      </c>
    </row>
    <row r="1555" spans="1:19" hidden="1" x14ac:dyDescent="0.25">
      <c r="A1555">
        <v>22200649</v>
      </c>
      <c r="B1555" t="s">
        <v>18</v>
      </c>
      <c r="C1555" t="s">
        <v>19</v>
      </c>
      <c r="D1555">
        <v>25</v>
      </c>
      <c r="E1555">
        <v>27</v>
      </c>
      <c r="F1555">
        <v>2</v>
      </c>
      <c r="G1555">
        <v>1</v>
      </c>
      <c r="H1555" s="1">
        <v>1.5856481481481481E-3</v>
      </c>
      <c r="I1555">
        <v>2022</v>
      </c>
      <c r="J1555" t="s">
        <v>83</v>
      </c>
      <c r="K1555" s="2" t="str">
        <f>HYPERLINK("https://www.nba.com/stats/events?CFID=&amp;CFPARAMS=&amp;GameEventID=101&amp;GameID=0022200649&amp;Season=2022-23&amp;flag=1&amp;title=Leonard%2013'%20Jump%20Shot%20(10%20PTS)", "13' Jump Shot (10 PTS)")</f>
        <v>13' Jump Shot (10 PTS)</v>
      </c>
      <c r="L1555" s="2" t="str">
        <f>HYPERLINK("https://www.nba.com/game/...-vs-...-0022200649/play-by-play?watchFullGame=true", "LAC vs HOU - Q1 02:17.00")</f>
        <v>LAC vs HOU - Q1 02:17.00</v>
      </c>
      <c r="M1555">
        <v>13.37</v>
      </c>
      <c r="N1555">
        <v>80.209999999999994</v>
      </c>
      <c r="O1555">
        <v>49.26</v>
      </c>
      <c r="P1555">
        <v>-4</v>
      </c>
      <c r="Q1555">
        <v>134</v>
      </c>
      <c r="R1555">
        <v>80</v>
      </c>
      <c r="S1555">
        <v>49</v>
      </c>
    </row>
    <row r="1556" spans="1:19" hidden="1" x14ac:dyDescent="0.25">
      <c r="A1556">
        <v>22300223</v>
      </c>
      <c r="B1556" t="s">
        <v>18</v>
      </c>
      <c r="C1556" t="s">
        <v>19</v>
      </c>
      <c r="D1556">
        <v>19</v>
      </c>
      <c r="E1556">
        <v>19</v>
      </c>
      <c r="F1556">
        <v>0</v>
      </c>
      <c r="G1556">
        <v>1</v>
      </c>
      <c r="H1556" s="1">
        <v>2.3263888888888887E-3</v>
      </c>
      <c r="I1556">
        <v>2023</v>
      </c>
      <c r="J1556" t="s">
        <v>83</v>
      </c>
      <c r="K1556" s="2" t="str">
        <f>HYPERLINK("https://www.nba.com/stats/events?CFID=&amp;CFPARAMS=&amp;GameEventID=101&amp;GameID=0022300223&amp;Season=2023-24&amp;flag=1&amp;title=Leonard%2013'%20pullup%20Jump%20Shot%20(5%20PTS)%20(J.%20Harden%203%20AST)", "13' pullup Jump Shot (5 PTS) (J. Harden 3 AST)")</f>
        <v>13' pullup Jump Shot (5 PTS) (J. Harden 3 AST)</v>
      </c>
      <c r="L1556" s="2" t="str">
        <f>HYPERLINK("https://www.nba.com/game/...-vs-...-0022300223/play-by-play?watchFullGame=true", "LAC vs SAS - Q1 03:21.00")</f>
        <v>LAC vs SAS - Q1 03:21.00</v>
      </c>
      <c r="M1556">
        <v>13.2</v>
      </c>
      <c r="N1556">
        <v>80.63</v>
      </c>
      <c r="O1556">
        <v>44.85</v>
      </c>
      <c r="P1556">
        <v>-26</v>
      </c>
      <c r="Q1556">
        <v>130</v>
      </c>
      <c r="R1556">
        <v>80</v>
      </c>
      <c r="S1556">
        <v>44</v>
      </c>
    </row>
    <row r="1557" spans="1:19" hidden="1" x14ac:dyDescent="0.25">
      <c r="A1557">
        <v>22300637</v>
      </c>
      <c r="B1557" t="s">
        <v>18</v>
      </c>
      <c r="C1557" t="s">
        <v>19</v>
      </c>
      <c r="D1557">
        <v>6</v>
      </c>
      <c r="E1557">
        <v>6</v>
      </c>
      <c r="F1557">
        <v>0</v>
      </c>
      <c r="G1557">
        <v>1</v>
      </c>
      <c r="H1557" s="1">
        <v>6.2847222222222219E-3</v>
      </c>
      <c r="I1557">
        <v>2023</v>
      </c>
      <c r="J1557" t="s">
        <v>83</v>
      </c>
      <c r="K1557" s="2" t="str">
        <f>HYPERLINK("https://www.nba.com/stats/events?CFID=&amp;CFPARAMS=&amp;GameEventID=27&amp;GameID=0022300637&amp;Season=2023-24&amp;flag=1&amp;title=Leonard%2013'%20driving%20floating%20Jump%20Shot%20(2%20PTS)%20(J.%20Harden%201%20AST)", "13' driving floating Jump Shot (2 PTS) (J. Harden 1 AST)")</f>
        <v>13' driving floating Jump Shot (2 PTS) (J. Harden 1 AST)</v>
      </c>
      <c r="L1557" s="2" t="str">
        <f>HYPERLINK("https://www.nba.com/game/...-vs-...-0022300637/play-by-play?watchFullGame=true", "LAC vs TOR - Q1 09:03.00")</f>
        <v>LAC vs TOR - Q1 09:03.00</v>
      </c>
      <c r="M1557">
        <v>13.02</v>
      </c>
      <c r="N1557">
        <v>80.63</v>
      </c>
      <c r="O1557">
        <v>47.3</v>
      </c>
      <c r="P1557">
        <v>-13</v>
      </c>
      <c r="Q1557">
        <v>130</v>
      </c>
      <c r="R1557">
        <v>80</v>
      </c>
      <c r="S1557">
        <v>47</v>
      </c>
    </row>
    <row r="1558" spans="1:19" hidden="1" x14ac:dyDescent="0.25">
      <c r="A1558">
        <v>42200172</v>
      </c>
      <c r="B1558" t="s">
        <v>18</v>
      </c>
      <c r="C1558" t="s">
        <v>19</v>
      </c>
      <c r="D1558">
        <v>15</v>
      </c>
      <c r="E1558">
        <v>13</v>
      </c>
      <c r="F1558">
        <v>2</v>
      </c>
      <c r="G1558">
        <v>1</v>
      </c>
      <c r="H1558" s="1">
        <v>4.2824074074074075E-3</v>
      </c>
      <c r="I1558" t="s">
        <v>96</v>
      </c>
      <c r="J1558" t="s">
        <v>83</v>
      </c>
      <c r="K1558" s="2" t="str">
        <f>HYPERLINK("https://www.nba.com/stats/events?CFID=&amp;CFPARAMS=&amp;GameEventID=68&amp;GameID=0042200172&amp;Season=2022-23&amp;flag=1&amp;title=Leonard%2012'%20step%20back%20Jump%20Shot%20(2%20PTS)%20(E.%20Gordon%201%20AST)", "12' step back Jump Shot (2 PTS) (E. Gordon 1 AST)")</f>
        <v>12' step back Jump Shot (2 PTS) (E. Gordon 1 AST)</v>
      </c>
      <c r="L1558" s="2" t="str">
        <f>HYPERLINK("https://www.nba.com/game/...-vs-...-0042200172/play-by-play?watchFullGame=true", "LAC vs PHX - Q1 06:10.00")</f>
        <v>LAC vs PHX - Q1 06:10.00</v>
      </c>
      <c r="M1558">
        <v>12.84</v>
      </c>
      <c r="N1558">
        <v>80.77</v>
      </c>
      <c r="O1558">
        <v>48.77</v>
      </c>
      <c r="P1558">
        <v>80</v>
      </c>
      <c r="Q1558">
        <v>48</v>
      </c>
      <c r="R1558">
        <v>80</v>
      </c>
      <c r="S1558">
        <v>48</v>
      </c>
    </row>
    <row r="1559" spans="1:19" hidden="1" x14ac:dyDescent="0.25">
      <c r="A1559">
        <v>22000130</v>
      </c>
      <c r="B1559" t="s">
        <v>18</v>
      </c>
      <c r="C1559" t="s">
        <v>19</v>
      </c>
      <c r="D1559">
        <v>99</v>
      </c>
      <c r="E1559">
        <v>100</v>
      </c>
      <c r="F1559">
        <v>1</v>
      </c>
      <c r="G1559">
        <v>4</v>
      </c>
      <c r="H1559" s="1">
        <v>3.3680555555555556E-3</v>
      </c>
      <c r="I1559">
        <v>2020</v>
      </c>
      <c r="J1559" t="s">
        <v>83</v>
      </c>
      <c r="K1559" s="2" t="str">
        <f>HYPERLINK("https://www.nba.com/stats/events?CFID=&amp;CFPARAMS=&amp;GameEventID=584&amp;GameID=0022000130&amp;Season=2020-21&amp;flag=1&amp;title=Leonard%2012'%20fadeaway%20Jump%20Shot%20(24%20PTS)", "12' fadeaway Jump Shot (24 PTS)")</f>
        <v>12' fadeaway Jump Shot (24 PTS)</v>
      </c>
      <c r="L1559" s="2" t="str">
        <f>HYPERLINK("https://www.nba.com/game/...-vs-...-0022000130/play-by-play?watchFullGame=true", "LAC vs GSW - Q4 04:51.00")</f>
        <v>LAC vs GSW - Q4 04:51.00</v>
      </c>
      <c r="M1559">
        <v>12.73</v>
      </c>
      <c r="N1559">
        <v>80.900000000000006</v>
      </c>
      <c r="O1559">
        <v>51.29</v>
      </c>
      <c r="P1559">
        <v>6</v>
      </c>
      <c r="Q1559">
        <v>127</v>
      </c>
      <c r="R1559">
        <v>80</v>
      </c>
      <c r="S1559">
        <v>51</v>
      </c>
    </row>
    <row r="1560" spans="1:19" hidden="1" x14ac:dyDescent="0.25">
      <c r="A1560">
        <v>41900154</v>
      </c>
      <c r="B1560" t="s">
        <v>26</v>
      </c>
      <c r="C1560" t="s">
        <v>84</v>
      </c>
      <c r="D1560">
        <v>73</v>
      </c>
      <c r="E1560">
        <v>65</v>
      </c>
      <c r="F1560">
        <v>8</v>
      </c>
      <c r="G1560">
        <v>3</v>
      </c>
      <c r="H1560" s="1">
        <v>6.851851851851852E-3</v>
      </c>
      <c r="I1560" t="s">
        <v>86</v>
      </c>
      <c r="J1560" t="s">
        <v>83</v>
      </c>
      <c r="K1560" s="2" t="str">
        <f>HYPERLINK("https://www.nba.com/stats/events?CFID=&amp;CFPARAMS=&amp;GameEventID=396&amp;GameID=0041900154&amp;Season=2019-20&amp;flag=1&amp;title=Leonard%2026'%203PT%20%20(16%20PTS)%20(I.%20Zubac%201%20AST)", "26' 3PT  (16 PTS) (I. Zubac 1 AST)")</f>
        <v>26' 3PT  (16 PTS) (I. Zubac 1 AST)</v>
      </c>
      <c r="L1560" s="2" t="str">
        <f>HYPERLINK("https://www.nba.com/game/...-vs-...-0041900154/play-by-play?watchFullGame=true", "LAC vs DAL - Q3 09:52.00")</f>
        <v>LAC vs DAL - Q3 09:52.00</v>
      </c>
      <c r="M1560">
        <v>25.61</v>
      </c>
      <c r="N1560">
        <v>81.55</v>
      </c>
      <c r="O1560">
        <v>5.46</v>
      </c>
      <c r="P1560">
        <v>-223</v>
      </c>
      <c r="Q1560">
        <v>121</v>
      </c>
      <c r="R1560">
        <v>81</v>
      </c>
      <c r="S1560">
        <v>5</v>
      </c>
    </row>
    <row r="1561" spans="1:19" hidden="1" x14ac:dyDescent="0.25">
      <c r="A1561">
        <v>22300708</v>
      </c>
      <c r="B1561" t="s">
        <v>26</v>
      </c>
      <c r="C1561" t="s">
        <v>19</v>
      </c>
      <c r="D1561">
        <v>67</v>
      </c>
      <c r="E1561">
        <v>59</v>
      </c>
      <c r="F1561">
        <v>8</v>
      </c>
      <c r="G1561">
        <v>3</v>
      </c>
      <c r="H1561" s="1">
        <v>2.7430555555555554E-3</v>
      </c>
      <c r="I1561">
        <v>2023</v>
      </c>
      <c r="J1561" t="s">
        <v>83</v>
      </c>
      <c r="K1561" s="2" t="str">
        <f>HYPERLINK("https://www.nba.com/stats/events?CFID=&amp;CFPARAMS=&amp;GameEventID=351&amp;GameID=0022300708&amp;Season=2023-24&amp;flag=1&amp;title=Leonard%2024'%203PT%20%20(21%20PTS)%20(J.%20Harden%208%20AST)", "24' 3PT  (21 PTS) (J. Harden 8 AST)")</f>
        <v>24' 3PT  (21 PTS) (J. Harden 8 AST)</v>
      </c>
      <c r="L1561" s="2" t="str">
        <f>HYPERLINK("https://www.nba.com/game/...-vs-...-0022300708/play-by-play?watchFullGame=true", "LAC vs MIA - Q3 03:57.00")</f>
        <v>LAC vs MIA - Q3 03:57.00</v>
      </c>
      <c r="M1561">
        <v>24.13</v>
      </c>
      <c r="N1561">
        <v>81.03</v>
      </c>
      <c r="O1561">
        <v>91.18</v>
      </c>
      <c r="P1561">
        <v>206</v>
      </c>
      <c r="Q1561">
        <v>126</v>
      </c>
      <c r="R1561">
        <v>81</v>
      </c>
      <c r="S1561">
        <v>91</v>
      </c>
    </row>
    <row r="1562" spans="1:19" hidden="1" x14ac:dyDescent="0.25">
      <c r="A1562">
        <v>22300897</v>
      </c>
      <c r="B1562" t="s">
        <v>18</v>
      </c>
      <c r="C1562" t="s">
        <v>19</v>
      </c>
      <c r="D1562">
        <v>9</v>
      </c>
      <c r="E1562">
        <v>10</v>
      </c>
      <c r="F1562">
        <v>1</v>
      </c>
      <c r="G1562">
        <v>1</v>
      </c>
      <c r="H1562" s="1">
        <v>4.7800925925925927E-3</v>
      </c>
      <c r="I1562">
        <v>2023</v>
      </c>
      <c r="J1562" t="s">
        <v>83</v>
      </c>
      <c r="K1562" s="2" t="str">
        <f>HYPERLINK("https://www.nba.com/stats/events?CFID=&amp;CFPARAMS=&amp;GameEventID=55&amp;GameID=0022300897&amp;Season=2023-24&amp;flag=1&amp;title=Leonard%2020'%20Jump%20Shot%20(2%20PTS)", "20' Jump Shot (2 PTS)")</f>
        <v>20' Jump Shot (2 PTS)</v>
      </c>
      <c r="L1562" s="2" t="str">
        <f>HYPERLINK("https://www.nba.com/game/...-vs-...-0022300897/play-by-play?watchFullGame=true", "LAC vs HOU - Q1 06:53.00")</f>
        <v>LAC vs HOU - Q1 06:53.00</v>
      </c>
      <c r="M1562">
        <v>20.54</v>
      </c>
      <c r="N1562">
        <v>81.819999999999993</v>
      </c>
      <c r="O1562">
        <v>16.420000000000002</v>
      </c>
      <c r="P1562">
        <v>-168</v>
      </c>
      <c r="Q1562">
        <v>118</v>
      </c>
      <c r="R1562">
        <v>81</v>
      </c>
      <c r="S1562">
        <v>16</v>
      </c>
    </row>
    <row r="1563" spans="1:19" hidden="1" x14ac:dyDescent="0.25">
      <c r="A1563">
        <v>22300865</v>
      </c>
      <c r="B1563" t="s">
        <v>18</v>
      </c>
      <c r="C1563" t="s">
        <v>19</v>
      </c>
      <c r="D1563">
        <v>19</v>
      </c>
      <c r="E1563">
        <v>14</v>
      </c>
      <c r="F1563">
        <v>5</v>
      </c>
      <c r="G1563">
        <v>1</v>
      </c>
      <c r="H1563" s="1">
        <v>3.6689814814814814E-3</v>
      </c>
      <c r="I1563">
        <v>2023</v>
      </c>
      <c r="J1563" t="s">
        <v>83</v>
      </c>
      <c r="K1563" s="2" t="str">
        <f>HYPERLINK("https://www.nba.com/stats/events?CFID=&amp;CFPARAMS=&amp;GameEventID=75&amp;GameID=0022300865&amp;Season=2023-24&amp;flag=1&amp;title=Leonard%2017'%20Jump%20Shot%20(2%20PTS)%20(P.%20George%201%20AST)", "17' Jump Shot (2 PTS) (P. George 1 AST)")</f>
        <v>17' Jump Shot (2 PTS) (P. George 1 AST)</v>
      </c>
      <c r="L1563" s="2" t="str">
        <f>HYPERLINK("https://www.nba.com/game/...-vs-...-0022300865/play-by-play?watchFullGame=true", "LAC vs WAS - Q1 05:17.00")</f>
        <v>LAC vs WAS - Q1 05:17.00</v>
      </c>
      <c r="M1563">
        <v>17.149999999999999</v>
      </c>
      <c r="N1563">
        <v>81.650000000000006</v>
      </c>
      <c r="O1563">
        <v>25.49</v>
      </c>
      <c r="P1563">
        <v>-123</v>
      </c>
      <c r="Q1563">
        <v>120</v>
      </c>
      <c r="R1563">
        <v>81</v>
      </c>
      <c r="S1563">
        <v>25</v>
      </c>
    </row>
    <row r="1564" spans="1:19" hidden="1" x14ac:dyDescent="0.25">
      <c r="A1564">
        <v>22400874</v>
      </c>
      <c r="B1564" t="s">
        <v>18</v>
      </c>
      <c r="C1564" t="s">
        <v>19</v>
      </c>
      <c r="D1564">
        <v>43</v>
      </c>
      <c r="E1564">
        <v>44</v>
      </c>
      <c r="F1564">
        <v>1</v>
      </c>
      <c r="G1564">
        <v>2</v>
      </c>
      <c r="H1564" s="1">
        <v>5.2662037037037035E-3</v>
      </c>
      <c r="I1564">
        <v>2024</v>
      </c>
      <c r="J1564" t="s">
        <v>83</v>
      </c>
      <c r="K1564" s="2" t="str">
        <f>HYPERLINK("https://www.nba.com/stats/events?CFID=&amp;CFPARAMS=&amp;GameEventID=208&amp;GameID=0022400874&amp;Season=2024-25&amp;flag=1&amp;title=Leonard%2015'%20pullup%20Jump%20Shot%20(15%20PTS)", "15' pullup Jump Shot (15 PTS)")</f>
        <v>15' pullup Jump Shot (15 PTS)</v>
      </c>
      <c r="L1564" s="2" t="str">
        <f>HYPERLINK("https://www.nba.com/game/...-vs-...-0022400874/play-by-play?watchFullGame=true", "LAC vs LAL - Q2 07:35.00")</f>
        <v>LAC vs LAL - Q2 07:35.00</v>
      </c>
      <c r="M1564">
        <v>15.88</v>
      </c>
      <c r="N1564">
        <v>81.13</v>
      </c>
      <c r="O1564">
        <v>69.61</v>
      </c>
      <c r="P1564">
        <v>98</v>
      </c>
      <c r="Q1564">
        <v>125</v>
      </c>
      <c r="R1564">
        <v>81</v>
      </c>
      <c r="S1564">
        <v>69</v>
      </c>
    </row>
    <row r="1565" spans="1:19" hidden="1" x14ac:dyDescent="0.25">
      <c r="A1565">
        <v>42000177</v>
      </c>
      <c r="B1565" t="s">
        <v>18</v>
      </c>
      <c r="C1565" t="s">
        <v>19</v>
      </c>
      <c r="D1565">
        <v>8</v>
      </c>
      <c r="E1565">
        <v>7</v>
      </c>
      <c r="F1565">
        <v>1</v>
      </c>
      <c r="G1565">
        <v>1</v>
      </c>
      <c r="H1565" s="1">
        <v>6.3657407407407404E-3</v>
      </c>
      <c r="I1565" t="s">
        <v>91</v>
      </c>
      <c r="J1565" t="s">
        <v>83</v>
      </c>
      <c r="K1565" s="2" t="str">
        <f>HYPERLINK("https://www.nba.com/stats/events?CFID=&amp;CFPARAMS=&amp;GameEventID=33&amp;GameID=0042000177&amp;Season=2020-21&amp;flag=1&amp;title=Leonard%2015'%20pullup%20Jump%20Shot%20(4%20PTS)", "15' pullup Jump Shot (4 PTS)")</f>
        <v>15' pullup Jump Shot (4 PTS)</v>
      </c>
      <c r="L1565" s="2" t="str">
        <f>HYPERLINK("https://www.nba.com/game/...-vs-...-0042000177/play-by-play?watchFullGame=true", "LAC vs DAL - Q1 09:10.00")</f>
        <v>LAC vs DAL - Q1 09:10.00</v>
      </c>
      <c r="M1565">
        <v>15.4</v>
      </c>
      <c r="N1565">
        <v>81.819999999999993</v>
      </c>
      <c r="O1565">
        <v>69.680000000000007</v>
      </c>
      <c r="P1565">
        <v>81</v>
      </c>
      <c r="Q1565">
        <v>69</v>
      </c>
      <c r="R1565">
        <v>81</v>
      </c>
      <c r="S1565">
        <v>69</v>
      </c>
    </row>
    <row r="1566" spans="1:19" hidden="1" x14ac:dyDescent="0.25">
      <c r="A1566">
        <v>22001019</v>
      </c>
      <c r="B1566" t="s">
        <v>18</v>
      </c>
      <c r="C1566" t="s">
        <v>19</v>
      </c>
      <c r="D1566">
        <v>52</v>
      </c>
      <c r="E1566">
        <v>49</v>
      </c>
      <c r="F1566">
        <v>3</v>
      </c>
      <c r="G1566">
        <v>2</v>
      </c>
      <c r="H1566" s="1">
        <v>9.4907407407407408E-4</v>
      </c>
      <c r="I1566">
        <v>2020</v>
      </c>
      <c r="J1566" t="s">
        <v>83</v>
      </c>
      <c r="K1566" s="2" t="str">
        <f>HYPERLINK("https://www.nba.com/stats/events?CFID=&amp;CFPARAMS=&amp;GameEventID=269&amp;GameID=0022001019&amp;Season=2020-21&amp;flag=1&amp;title=Leonard%2015'%20Jump%20Shot%20(11%20PTS)%20(N.%20Batum%201%20AST)", "15' Jump Shot (11 PTS) (N. Batum 1 AST)")</f>
        <v>15' Jump Shot (11 PTS) (N. Batum 1 AST)</v>
      </c>
      <c r="L1566" s="2" t="str">
        <f>HYPERLINK("https://www.nba.com/game/...-vs-...-0022001019/play-by-play?watchFullGame=true", "LAC vs NYK - Q2 01:22.00")</f>
        <v>LAC vs NYK - Q2 01:22.00</v>
      </c>
      <c r="M1566">
        <v>15.78</v>
      </c>
      <c r="N1566">
        <v>81.290000000000006</v>
      </c>
      <c r="O1566">
        <v>69.680000000000007</v>
      </c>
      <c r="P1566">
        <v>98</v>
      </c>
      <c r="Q1566">
        <v>123</v>
      </c>
      <c r="R1566">
        <v>81</v>
      </c>
      <c r="S1566">
        <v>69</v>
      </c>
    </row>
    <row r="1567" spans="1:19" hidden="1" x14ac:dyDescent="0.25">
      <c r="A1567">
        <v>21900035</v>
      </c>
      <c r="B1567" t="s">
        <v>18</v>
      </c>
      <c r="C1567" t="s">
        <v>84</v>
      </c>
      <c r="D1567">
        <v>66</v>
      </c>
      <c r="E1567">
        <v>65</v>
      </c>
      <c r="F1567">
        <v>1</v>
      </c>
      <c r="G1567">
        <v>3</v>
      </c>
      <c r="H1567" s="1">
        <v>5.6134259259259262E-3</v>
      </c>
      <c r="I1567">
        <v>2019</v>
      </c>
      <c r="J1567" t="s">
        <v>83</v>
      </c>
      <c r="K1567" s="2" t="str">
        <f>HYPERLINK("https://www.nba.com/stats/events?CFID=&amp;CFPARAMS=&amp;GameEventID=432&amp;GameID=0021900035&amp;Season=2019-20&amp;flag=1&amp;title=[LAC]%20Leonard%20jumpshot:%20Made%20(14%20PTS)", "[LAC] Leonard jumpshot: Made (14 PTS)")</f>
        <v>[LAC] Leonard jumpshot: Made (14 PTS)</v>
      </c>
      <c r="L1567" s="2" t="str">
        <f>HYPERLINK("https://www.nba.com/game/...-vs-...-0021900035/play-by-play?watchFullGame=true", "LAC vs PHX - Q3 08:05.00")</f>
        <v>LAC vs PHX - Q3 08:05.00</v>
      </c>
      <c r="M1567">
        <v>16.29</v>
      </c>
      <c r="N1567">
        <v>81.819999999999993</v>
      </c>
      <c r="O1567">
        <v>71.150000000000006</v>
      </c>
      <c r="P1567">
        <v>106</v>
      </c>
      <c r="Q1567">
        <v>118</v>
      </c>
      <c r="R1567">
        <v>81</v>
      </c>
      <c r="S1567">
        <v>71</v>
      </c>
    </row>
    <row r="1568" spans="1:19" hidden="1" x14ac:dyDescent="0.25">
      <c r="A1568">
        <v>22000799</v>
      </c>
      <c r="B1568" t="s">
        <v>18</v>
      </c>
      <c r="C1568" t="s">
        <v>19</v>
      </c>
      <c r="D1568">
        <v>14</v>
      </c>
      <c r="E1568">
        <v>9</v>
      </c>
      <c r="F1568">
        <v>5</v>
      </c>
      <c r="G1568">
        <v>1</v>
      </c>
      <c r="H1568" s="1">
        <v>5.0000000000000001E-3</v>
      </c>
      <c r="I1568">
        <v>2020</v>
      </c>
      <c r="J1568" t="s">
        <v>83</v>
      </c>
      <c r="K1568" s="2" t="str">
        <f>HYPERLINK("https://www.nba.com/stats/events?CFID=&amp;CFPARAMS=&amp;GameEventID=61&amp;GameID=0022000799&amp;Season=2020-21&amp;flag=1&amp;title=Leonard%2016'%20turnaround%20fadeaway%20Jump%20Shot%20(4%20PTS)", "16' turnaround fadeaway Jump Shot (4 PTS)")</f>
        <v>16' turnaround fadeaway Jump Shot (4 PTS)</v>
      </c>
      <c r="L1568" s="2" t="str">
        <f>HYPERLINK("https://www.nba.com/game/...-vs-...-0022000799/play-by-play?watchFullGame=true", "LAC vs HOU - Q1 07:12.00")</f>
        <v>LAC vs HOU - Q1 07:12.00</v>
      </c>
      <c r="M1568">
        <v>16.11</v>
      </c>
      <c r="N1568">
        <v>81.95</v>
      </c>
      <c r="O1568">
        <v>72.13</v>
      </c>
      <c r="P1568">
        <v>111</v>
      </c>
      <c r="Q1568">
        <v>117</v>
      </c>
      <c r="R1568">
        <v>81</v>
      </c>
      <c r="S1568">
        <v>72</v>
      </c>
    </row>
    <row r="1569" spans="1:19" hidden="1" x14ac:dyDescent="0.25">
      <c r="A1569">
        <v>22300257</v>
      </c>
      <c r="B1569" t="s">
        <v>18</v>
      </c>
      <c r="C1569" t="s">
        <v>19</v>
      </c>
      <c r="D1569">
        <v>10</v>
      </c>
      <c r="E1569">
        <v>4</v>
      </c>
      <c r="F1569">
        <v>6</v>
      </c>
      <c r="G1569">
        <v>1</v>
      </c>
      <c r="H1569" s="1">
        <v>6.0069444444444441E-3</v>
      </c>
      <c r="I1569">
        <v>2023</v>
      </c>
      <c r="J1569" t="s">
        <v>83</v>
      </c>
      <c r="K1569" s="2" t="str">
        <f>HYPERLINK("https://www.nba.com/stats/events?CFID=&amp;CFPARAMS=&amp;GameEventID=48&amp;GameID=0022300257&amp;Season=2023-24&amp;flag=1&amp;title=Leonard%2017'%20pullup%20Jump%20Shot%20(2%20PTS)", "17' pullup Jump Shot (2 PTS)")</f>
        <v>17' pullup Jump Shot (2 PTS)</v>
      </c>
      <c r="L1569" s="2" t="str">
        <f>HYPERLINK("https://www.nba.com/game/...-vs-...-0022300257/play-by-play?watchFullGame=true", "LAC vs DEN - Q1 08:39.00")</f>
        <v>LAC vs DEN - Q1 08:39.00</v>
      </c>
      <c r="M1569">
        <v>17.489999999999998</v>
      </c>
      <c r="N1569">
        <v>81.13</v>
      </c>
      <c r="O1569">
        <v>74.510000000000005</v>
      </c>
      <c r="P1569">
        <v>123</v>
      </c>
      <c r="Q1569">
        <v>125</v>
      </c>
      <c r="R1569">
        <v>81</v>
      </c>
      <c r="S1569">
        <v>74</v>
      </c>
    </row>
    <row r="1570" spans="1:19" hidden="1" x14ac:dyDescent="0.25">
      <c r="A1570">
        <v>22000009</v>
      </c>
      <c r="B1570" t="s">
        <v>18</v>
      </c>
      <c r="C1570" t="s">
        <v>19</v>
      </c>
      <c r="D1570">
        <v>100</v>
      </c>
      <c r="E1570">
        <v>85</v>
      </c>
      <c r="F1570">
        <v>15</v>
      </c>
      <c r="G1570">
        <v>4</v>
      </c>
      <c r="H1570" s="1">
        <v>7.3032407407407404E-3</v>
      </c>
      <c r="I1570">
        <v>2020</v>
      </c>
      <c r="J1570" t="s">
        <v>83</v>
      </c>
      <c r="K1570" s="2" t="str">
        <f>HYPERLINK("https://www.nba.com/stats/events?CFID=&amp;CFPARAMS=&amp;GameEventID=594&amp;GameID=0022000009&amp;Season=2020-21&amp;flag=1&amp;title=Leonard%2018'%20pullup%20Jump%20Shot%20(19%20PTS)%20(R.%20Jackson%203%20AST)", "18' pullup Jump Shot (19 PTS) (R. Jackson 3 AST)")</f>
        <v>18' pullup Jump Shot (19 PTS) (R. Jackson 3 AST)</v>
      </c>
      <c r="L1570" s="2" t="str">
        <f>HYPERLINK("https://www.nba.com/game/...-vs-...-0022000009/play-by-play?watchFullGame=true", "LAC vs DEN - Q4 10:31.00")</f>
        <v>LAC vs DEN - Q4 10:31.00</v>
      </c>
      <c r="M1570">
        <v>18.649999999999999</v>
      </c>
      <c r="N1570">
        <v>81.16</v>
      </c>
      <c r="O1570">
        <v>77.77</v>
      </c>
      <c r="P1570">
        <v>139</v>
      </c>
      <c r="Q1570">
        <v>125</v>
      </c>
      <c r="R1570">
        <v>81</v>
      </c>
      <c r="S1570">
        <v>77</v>
      </c>
    </row>
    <row r="1571" spans="1:19" hidden="1" x14ac:dyDescent="0.25">
      <c r="A1571">
        <v>22000239</v>
      </c>
      <c r="B1571" t="s">
        <v>18</v>
      </c>
      <c r="C1571" t="s">
        <v>19</v>
      </c>
      <c r="D1571">
        <v>21</v>
      </c>
      <c r="E1571">
        <v>8</v>
      </c>
      <c r="F1571">
        <v>13</v>
      </c>
      <c r="G1571">
        <v>1</v>
      </c>
      <c r="H1571" s="1">
        <v>3.7847222222222223E-3</v>
      </c>
      <c r="I1571">
        <v>2020</v>
      </c>
      <c r="J1571" t="s">
        <v>83</v>
      </c>
      <c r="K1571" s="2" t="str">
        <f>HYPERLINK("https://www.nba.com/stats/events?CFID=&amp;CFPARAMS=&amp;GameEventID=79&amp;GameID=0022000239&amp;Season=2020-21&amp;flag=1&amp;title=Leonard%2018'%20Jump%20Shot%20(7%20PTS)%20(P.%20George%203%20AST)", "18' Jump Shot (7 PTS) (P. George 3 AST)")</f>
        <v>18' Jump Shot (7 PTS) (P. George 3 AST)</v>
      </c>
      <c r="L1571" s="2" t="str">
        <f>HYPERLINK("https://www.nba.com/game/...-vs-...-0022000239/play-by-play?watchFullGame=true", "LAC vs OKC - Q1 05:27.00")</f>
        <v>LAC vs OKC - Q1 05:27.00</v>
      </c>
      <c r="M1571">
        <v>18.96</v>
      </c>
      <c r="N1571">
        <v>81.42</v>
      </c>
      <c r="O1571">
        <v>78.989999999999995</v>
      </c>
      <c r="P1571">
        <v>145</v>
      </c>
      <c r="Q1571">
        <v>122</v>
      </c>
      <c r="R1571">
        <v>81</v>
      </c>
      <c r="S1571">
        <v>78</v>
      </c>
    </row>
    <row r="1572" spans="1:19" hidden="1" x14ac:dyDescent="0.25">
      <c r="A1572">
        <v>22200871</v>
      </c>
      <c r="B1572" t="s">
        <v>18</v>
      </c>
      <c r="C1572" t="s">
        <v>19</v>
      </c>
      <c r="D1572">
        <v>21</v>
      </c>
      <c r="E1572">
        <v>11</v>
      </c>
      <c r="F1572">
        <v>10</v>
      </c>
      <c r="G1572">
        <v>1</v>
      </c>
      <c r="H1572" s="1">
        <v>2.8240740740740739E-3</v>
      </c>
      <c r="I1572">
        <v>2022</v>
      </c>
      <c r="J1572" t="s">
        <v>83</v>
      </c>
      <c r="K1572" s="2" t="str">
        <f>HYPERLINK("https://www.nba.com/stats/events?CFID=&amp;CFPARAMS=&amp;GameEventID=75&amp;GameID=0022200871&amp;Season=2022-23&amp;flag=1&amp;title=Leonard%2019'%20fadeaway%20Jump%20Shot%20(8%20PTS)", "19' fadeaway Jump Shot (8 PTS)")</f>
        <v>19' fadeaway Jump Shot (8 PTS)</v>
      </c>
      <c r="L1572" s="2" t="str">
        <f>HYPERLINK("https://www.nba.com/game/...-vs-...-0022200871/play-by-play?watchFullGame=true", "LAC vs GSW - Q1 04:04.00")</f>
        <v>LAC vs GSW - Q1 04:04.00</v>
      </c>
      <c r="M1572">
        <v>19.57</v>
      </c>
      <c r="N1572">
        <v>81.78</v>
      </c>
      <c r="O1572">
        <v>81.13</v>
      </c>
      <c r="P1572">
        <v>156</v>
      </c>
      <c r="Q1572">
        <v>119</v>
      </c>
      <c r="R1572">
        <v>81</v>
      </c>
      <c r="S1572">
        <v>81</v>
      </c>
    </row>
    <row r="1573" spans="1:19" hidden="1" x14ac:dyDescent="0.25">
      <c r="A1573">
        <v>41900151</v>
      </c>
      <c r="B1573" t="s">
        <v>18</v>
      </c>
      <c r="C1573" t="s">
        <v>84</v>
      </c>
      <c r="D1573">
        <v>45</v>
      </c>
      <c r="E1573">
        <v>50</v>
      </c>
      <c r="F1573">
        <v>5</v>
      </c>
      <c r="G1573">
        <v>2</v>
      </c>
      <c r="H1573" s="1">
        <v>3.9467592592592592E-3</v>
      </c>
      <c r="I1573" t="s">
        <v>86</v>
      </c>
      <c r="J1573" t="s">
        <v>83</v>
      </c>
      <c r="K1573" s="2" t="str">
        <f>HYPERLINK("https://www.nba.com/stats/events?CFID=&amp;CFPARAMS=&amp;GameEventID=269&amp;GameID=0041900151&amp;Season=2019-20&amp;flag=1&amp;title=Leonard%2015'%20jumpshot%20(13%20PTS)", "15' jumpshot (13 PTS)")</f>
        <v>15' jumpshot (13 PTS)</v>
      </c>
      <c r="L1573" s="2" t="str">
        <f>HYPERLINK("https://www.nba.com/game/...-vs-...-0041900151/play-by-play?watchFullGame=true", "LAC vs DAL - Q2 05:41.00")</f>
        <v>LAC vs DAL - Q2 05:41.00</v>
      </c>
      <c r="M1573">
        <v>15</v>
      </c>
      <c r="N1573">
        <v>81.03</v>
      </c>
      <c r="O1573">
        <v>64.53</v>
      </c>
      <c r="P1573">
        <v>73</v>
      </c>
      <c r="Q1573">
        <v>126</v>
      </c>
      <c r="R1573">
        <v>81</v>
      </c>
      <c r="S1573">
        <v>64</v>
      </c>
    </row>
    <row r="1574" spans="1:19" hidden="1" x14ac:dyDescent="0.25">
      <c r="A1574">
        <v>22000116</v>
      </c>
      <c r="B1574" t="s">
        <v>18</v>
      </c>
      <c r="C1574" t="s">
        <v>19</v>
      </c>
      <c r="D1574">
        <v>68</v>
      </c>
      <c r="E1574">
        <v>64</v>
      </c>
      <c r="F1574">
        <v>4</v>
      </c>
      <c r="G1574">
        <v>3</v>
      </c>
      <c r="H1574" s="1">
        <v>3.9814814814814817E-3</v>
      </c>
      <c r="I1574">
        <v>2020</v>
      </c>
      <c r="J1574" t="s">
        <v>83</v>
      </c>
      <c r="K1574" s="2" t="str">
        <f>HYPERLINK("https://www.nba.com/stats/events?CFID=&amp;CFPARAMS=&amp;GameEventID=422&amp;GameID=0022000116&amp;Season=2020-21&amp;flag=1&amp;title=Leonard%2014'%20pullup%20Jump%20Shot%20(13%20PTS)", "14' pullup Jump Shot (13 PTS)")</f>
        <v>14' pullup Jump Shot (13 PTS)</v>
      </c>
      <c r="L1574" s="2" t="str">
        <f>HYPERLINK("https://www.nba.com/game/...-vs-...-0022000116/play-by-play?watchFullGame=true", "LAC vs GSW - Q3 05:44.00")</f>
        <v>LAC vs GSW - Q3 05:44.00</v>
      </c>
      <c r="M1574">
        <v>14.66</v>
      </c>
      <c r="N1574">
        <v>81.42</v>
      </c>
      <c r="O1574">
        <v>66.25</v>
      </c>
      <c r="P1574">
        <v>81</v>
      </c>
      <c r="Q1574">
        <v>122</v>
      </c>
      <c r="R1574">
        <v>81</v>
      </c>
      <c r="S1574">
        <v>66</v>
      </c>
    </row>
    <row r="1575" spans="1:19" hidden="1" x14ac:dyDescent="0.25">
      <c r="A1575">
        <v>22200649</v>
      </c>
      <c r="B1575" t="s">
        <v>18</v>
      </c>
      <c r="C1575" t="s">
        <v>19</v>
      </c>
      <c r="D1575">
        <v>21</v>
      </c>
      <c r="E1575">
        <v>27</v>
      </c>
      <c r="F1575">
        <v>6</v>
      </c>
      <c r="G1575">
        <v>1</v>
      </c>
      <c r="H1575" s="1">
        <v>2.2453703703703702E-3</v>
      </c>
      <c r="I1575">
        <v>2022</v>
      </c>
      <c r="J1575" t="s">
        <v>83</v>
      </c>
      <c r="K1575" s="2" t="str">
        <f>HYPERLINK("https://www.nba.com/stats/events?CFID=&amp;CFPARAMS=&amp;GameEventID=93&amp;GameID=0022200649&amp;Season=2022-23&amp;flag=1&amp;title=Leonard%2014'%20pullup%20Jump%20Shot%20(6%20PTS)", "14' pullup Jump Shot (6 PTS)")</f>
        <v>14' pullup Jump Shot (6 PTS)</v>
      </c>
      <c r="L1575" s="2" t="str">
        <f>HYPERLINK("https://www.nba.com/game/...-vs-...-0022200649/play-by-play?watchFullGame=true", "LAC vs HOU - Q1 03:14.00")</f>
        <v>LAC vs HOU - Q1 03:14.00</v>
      </c>
      <c r="M1575">
        <v>14.49</v>
      </c>
      <c r="N1575">
        <v>81.13</v>
      </c>
      <c r="O1575">
        <v>35.29</v>
      </c>
      <c r="P1575">
        <v>-74</v>
      </c>
      <c r="Q1575">
        <v>125</v>
      </c>
      <c r="R1575">
        <v>81</v>
      </c>
      <c r="S1575">
        <v>35</v>
      </c>
    </row>
    <row r="1576" spans="1:19" hidden="1" x14ac:dyDescent="0.25">
      <c r="A1576">
        <v>22300458</v>
      </c>
      <c r="B1576" t="s">
        <v>18</v>
      </c>
      <c r="C1576" t="s">
        <v>19</v>
      </c>
      <c r="D1576">
        <v>35</v>
      </c>
      <c r="E1576">
        <v>42</v>
      </c>
      <c r="F1576">
        <v>7</v>
      </c>
      <c r="G1576">
        <v>2</v>
      </c>
      <c r="H1576" s="1">
        <v>5.5555555555555558E-3</v>
      </c>
      <c r="I1576">
        <v>2023</v>
      </c>
      <c r="J1576" t="s">
        <v>83</v>
      </c>
      <c r="K1576" s="2" t="str">
        <f>HYPERLINK("https://www.nba.com/stats/events?CFID=&amp;CFPARAMS=&amp;GameEventID=189&amp;GameID=0022300458&amp;Season=2023-24&amp;flag=1&amp;title=Leonard%2013'%20pullup%20Jump%20Shot%20(2%20PTS)%20(J.%20Harden%203%20AST)", "13' pullup Jump Shot (2 PTS) (J. Harden 3 AST)")</f>
        <v>13' pullup Jump Shot (2 PTS) (J. Harden 3 AST)</v>
      </c>
      <c r="L1576" s="2" t="str">
        <f>HYPERLINK("https://www.nba.com/game/...-vs-...-0022300458/play-by-play?watchFullGame=true", "LAC vs MIA - Q2 08:00.00")</f>
        <v>LAC vs MIA - Q2 08:00.00</v>
      </c>
      <c r="M1576">
        <v>13.85</v>
      </c>
      <c r="N1576">
        <v>82</v>
      </c>
      <c r="O1576">
        <v>64.900000000000006</v>
      </c>
      <c r="P1576">
        <v>74</v>
      </c>
      <c r="Q1576">
        <v>117</v>
      </c>
      <c r="R1576">
        <v>81</v>
      </c>
      <c r="S1576">
        <v>64</v>
      </c>
    </row>
    <row r="1577" spans="1:19" hidden="1" x14ac:dyDescent="0.25">
      <c r="A1577">
        <v>22200745</v>
      </c>
      <c r="B1577" t="s">
        <v>18</v>
      </c>
      <c r="C1577" t="s">
        <v>19</v>
      </c>
      <c r="D1577">
        <v>52</v>
      </c>
      <c r="E1577">
        <v>47</v>
      </c>
      <c r="F1577">
        <v>5</v>
      </c>
      <c r="G1577">
        <v>2</v>
      </c>
      <c r="H1577" s="1">
        <v>2.1412037037037038E-3</v>
      </c>
      <c r="I1577">
        <v>2022</v>
      </c>
      <c r="J1577" t="s">
        <v>83</v>
      </c>
      <c r="K1577" s="2" t="str">
        <f>HYPERLINK("https://www.nba.com/stats/events?CFID=&amp;CFPARAMS=&amp;GameEventID=255&amp;GameID=0022200745&amp;Season=2022-23&amp;flag=1&amp;title=Leonard%2013'%20pullup%20Jump%20Shot%20(12%20PTS)", "13' pullup Jump Shot (12 PTS)")</f>
        <v>13' pullup Jump Shot (12 PTS)</v>
      </c>
      <c r="L1577" s="2" t="str">
        <f>HYPERLINK("https://www.nba.com/game/...-vs-...-0022200745/play-by-play?watchFullGame=true", "LAC vs ATL - Q2 03:05.00")</f>
        <v>LAC vs ATL - Q2 03:05.00</v>
      </c>
      <c r="M1577">
        <v>13.83</v>
      </c>
      <c r="N1577">
        <v>81.95</v>
      </c>
      <c r="O1577">
        <v>64.709999999999994</v>
      </c>
      <c r="P1577">
        <v>74</v>
      </c>
      <c r="Q1577">
        <v>117</v>
      </c>
      <c r="R1577">
        <v>81</v>
      </c>
      <c r="S1577">
        <v>64</v>
      </c>
    </row>
    <row r="1578" spans="1:19" hidden="1" x14ac:dyDescent="0.25">
      <c r="A1578">
        <v>21900157</v>
      </c>
      <c r="B1578" t="s">
        <v>18</v>
      </c>
      <c r="C1578" t="s">
        <v>84</v>
      </c>
      <c r="D1578">
        <v>33</v>
      </c>
      <c r="E1578">
        <v>38</v>
      </c>
      <c r="F1578">
        <v>5</v>
      </c>
      <c r="G1578">
        <v>2</v>
      </c>
      <c r="H1578" s="1">
        <v>2.488425925925926E-3</v>
      </c>
      <c r="I1578">
        <v>2019</v>
      </c>
      <c r="J1578" t="s">
        <v>83</v>
      </c>
      <c r="K1578" s="2" t="str">
        <f>HYPERLINK("https://www.nba.com/stats/events?CFID=&amp;CFPARAMS=&amp;GameEventID=300&amp;GameID=0021900157&amp;Season=2019-20&amp;flag=1&amp;title=Leonard%2014'%20jumpshot%20(14%20PTS)", "14' jumpshot (14 PTS)")</f>
        <v>14' jumpshot (14 PTS)</v>
      </c>
      <c r="L1578" s="2" t="str">
        <f>HYPERLINK("https://www.nba.com/game/...-vs-...-0021900157/play-by-play?watchFullGame=true", "LAC vs HOU - Q2 03:35.00")</f>
        <v>LAC vs HOU - Q2 03:35.00</v>
      </c>
      <c r="M1578">
        <v>13.79</v>
      </c>
      <c r="N1578">
        <v>81.260000000000005</v>
      </c>
      <c r="O1578">
        <v>40.369999999999997</v>
      </c>
      <c r="P1578">
        <v>-48</v>
      </c>
      <c r="Q1578">
        <v>124</v>
      </c>
      <c r="R1578">
        <v>81</v>
      </c>
      <c r="S1578">
        <v>40</v>
      </c>
    </row>
    <row r="1579" spans="1:19" hidden="1" x14ac:dyDescent="0.25">
      <c r="A1579">
        <v>22200538</v>
      </c>
      <c r="B1579" t="s">
        <v>18</v>
      </c>
      <c r="C1579" t="s">
        <v>19</v>
      </c>
      <c r="D1579">
        <v>16</v>
      </c>
      <c r="E1579">
        <v>21</v>
      </c>
      <c r="F1579">
        <v>5</v>
      </c>
      <c r="G1579">
        <v>1</v>
      </c>
      <c r="H1579" s="1">
        <v>3.2060185185185186E-3</v>
      </c>
      <c r="I1579">
        <v>2022</v>
      </c>
      <c r="J1579" t="s">
        <v>83</v>
      </c>
      <c r="K1579" s="2" t="str">
        <f>HYPERLINK("https://www.nba.com/stats/events?CFID=&amp;CFPARAMS=&amp;GameEventID=75&amp;GameID=0022200538&amp;Season=2022-23&amp;flag=1&amp;title=Leonard%2013'%20fadeaway%20Jump%20Shot%20(2%20PTS)", "13' fadeaway Jump Shot (2 PTS)")</f>
        <v>13' fadeaway Jump Shot (2 PTS)</v>
      </c>
      <c r="L1579" s="2" t="str">
        <f>HYPERLINK("https://www.nba.com/game/...-vs-...-0022200538/play-by-play?watchFullGame=true", "LAC vs IND - Q1 04:37.00")</f>
        <v>LAC vs IND - Q1 04:37.00</v>
      </c>
      <c r="M1579">
        <v>13.73</v>
      </c>
      <c r="N1579">
        <v>81.03</v>
      </c>
      <c r="O1579">
        <v>61.03</v>
      </c>
      <c r="P1579">
        <v>55</v>
      </c>
      <c r="Q1579">
        <v>126</v>
      </c>
      <c r="R1579">
        <v>81</v>
      </c>
      <c r="S1579">
        <v>61</v>
      </c>
    </row>
    <row r="1580" spans="1:19" hidden="1" x14ac:dyDescent="0.25">
      <c r="A1580">
        <v>22000576</v>
      </c>
      <c r="B1580" t="s">
        <v>18</v>
      </c>
      <c r="C1580" t="s">
        <v>19</v>
      </c>
      <c r="D1580">
        <v>22</v>
      </c>
      <c r="E1580">
        <v>20</v>
      </c>
      <c r="F1580">
        <v>2</v>
      </c>
      <c r="G1580">
        <v>1</v>
      </c>
      <c r="H1580" s="1">
        <v>1.5509259259259259E-3</v>
      </c>
      <c r="I1580">
        <v>2020</v>
      </c>
      <c r="J1580" t="s">
        <v>83</v>
      </c>
      <c r="K1580" s="2" t="str">
        <f>HYPERLINK("https://www.nba.com/stats/events?CFID=&amp;CFPARAMS=&amp;GameEventID=124&amp;GameID=0022000576&amp;Season=2020-21&amp;flag=1&amp;title=Leonard%2013'%20pullup%20Jump%20Shot%20(8%20PTS)", "13' pullup Jump Shot (8 PTS)")</f>
        <v>13' pullup Jump Shot (8 PTS)</v>
      </c>
      <c r="L1580" s="2" t="str">
        <f>HYPERLINK("https://www.nba.com/game/...-vs-...-0022000576/play-by-play?watchFullGame=true", "LAC vs GSW - Q1 02:14.00")</f>
        <v>LAC vs GSW - Q1 02:14.00</v>
      </c>
      <c r="M1580">
        <v>13.68</v>
      </c>
      <c r="N1580">
        <v>81.55</v>
      </c>
      <c r="O1580">
        <v>62.81</v>
      </c>
      <c r="P1580">
        <v>64</v>
      </c>
      <c r="Q1580">
        <v>121</v>
      </c>
      <c r="R1580">
        <v>81</v>
      </c>
      <c r="S1580">
        <v>62</v>
      </c>
    </row>
    <row r="1581" spans="1:19" hidden="1" x14ac:dyDescent="0.25">
      <c r="A1581">
        <v>21900359</v>
      </c>
      <c r="B1581" t="s">
        <v>18</v>
      </c>
      <c r="C1581" t="s">
        <v>84</v>
      </c>
      <c r="D1581">
        <v>105</v>
      </c>
      <c r="E1581">
        <v>84</v>
      </c>
      <c r="F1581">
        <v>21</v>
      </c>
      <c r="G1581">
        <v>4</v>
      </c>
      <c r="H1581" s="1">
        <v>3.3796296296296296E-3</v>
      </c>
      <c r="I1581">
        <v>2019</v>
      </c>
      <c r="J1581" t="s">
        <v>83</v>
      </c>
      <c r="K1581" s="2" t="str">
        <f>HYPERLINK("https://www.nba.com/stats/events?CFID=&amp;CFPARAMS=&amp;GameEventID=662&amp;GameID=0021900359&amp;Season=2019-20&amp;flag=1&amp;title=Leonard%2014'%20jumpshot%20(23%20PTS)%20(M.%20Harrell%204%20AST)", "14' jumpshot (23 PTS) (M. Harrell 4 AST)")</f>
        <v>14' jumpshot (23 PTS) (M. Harrell 4 AST)</v>
      </c>
      <c r="L1581" s="2" t="str">
        <f>HYPERLINK("https://www.nba.com/game/...-vs-...-0021900359/play-by-play?watchFullGame=true", "LAC vs TOR - Q4 04:52.00")</f>
        <v>LAC vs TOR - Q4 04:52.00</v>
      </c>
      <c r="M1581">
        <v>13.61</v>
      </c>
      <c r="N1581">
        <v>81.290000000000006</v>
      </c>
      <c r="O1581">
        <v>41.25</v>
      </c>
      <c r="P1581">
        <v>-44</v>
      </c>
      <c r="Q1581">
        <v>123</v>
      </c>
      <c r="R1581">
        <v>81</v>
      </c>
      <c r="S1581">
        <v>41</v>
      </c>
    </row>
    <row r="1582" spans="1:19" hidden="1" x14ac:dyDescent="0.25">
      <c r="A1582">
        <v>22201129</v>
      </c>
      <c r="B1582" t="s">
        <v>18</v>
      </c>
      <c r="C1582" t="s">
        <v>19</v>
      </c>
      <c r="D1582">
        <v>115</v>
      </c>
      <c r="E1582">
        <v>93</v>
      </c>
      <c r="F1582">
        <v>22</v>
      </c>
      <c r="G1582">
        <v>4</v>
      </c>
      <c r="H1582" s="1">
        <v>3.9583333333333337E-3</v>
      </c>
      <c r="I1582">
        <v>2022</v>
      </c>
      <c r="J1582" t="s">
        <v>83</v>
      </c>
      <c r="K1582" s="2" t="str">
        <f>HYPERLINK("https://www.nba.com/stats/events?CFID=&amp;CFPARAMS=&amp;GameEventID=521&amp;GameID=0022201129&amp;Season=2022-23&amp;flag=1&amp;title=Leonard%2013'%20pullup%20Jump%20Shot%20(20%20PTS)%20(N.%20Batum%205%20AST)", "13' pullup Jump Shot (20 PTS) (N. Batum 5 AST)")</f>
        <v>13' pullup Jump Shot (20 PTS) (N. Batum 5 AST)</v>
      </c>
      <c r="L1582" s="2" t="str">
        <f>HYPERLINK("https://www.nba.com/game/...-vs-...-0022201129/play-by-play?watchFullGame=true", "LAC vs CHI - Q4 05:42.00")</f>
        <v>LAC vs CHI - Q4 05:42.00</v>
      </c>
      <c r="M1582">
        <v>13.49</v>
      </c>
      <c r="N1582">
        <v>81.260000000000005</v>
      </c>
      <c r="O1582">
        <v>60.78</v>
      </c>
      <c r="P1582">
        <v>54</v>
      </c>
      <c r="Q1582">
        <v>124</v>
      </c>
      <c r="R1582">
        <v>81</v>
      </c>
      <c r="S1582">
        <v>60</v>
      </c>
    </row>
    <row r="1583" spans="1:19" hidden="1" x14ac:dyDescent="0.25">
      <c r="A1583">
        <v>22300273</v>
      </c>
      <c r="B1583" t="s">
        <v>18</v>
      </c>
      <c r="C1583" t="s">
        <v>19</v>
      </c>
      <c r="D1583">
        <v>4</v>
      </c>
      <c r="E1583">
        <v>5</v>
      </c>
      <c r="F1583">
        <v>1</v>
      </c>
      <c r="G1583">
        <v>1</v>
      </c>
      <c r="H1583" s="1">
        <v>6.7939814814814816E-3</v>
      </c>
      <c r="I1583">
        <v>2023</v>
      </c>
      <c r="J1583" t="s">
        <v>83</v>
      </c>
      <c r="K1583" s="2" t="str">
        <f>HYPERLINK("https://www.nba.com/stats/events?CFID=&amp;CFPARAMS=&amp;GameEventID=22&amp;GameID=0022300273&amp;Season=2023-24&amp;flag=1&amp;title=Leonard%2013'%20fadeaway%20Jump%20Shot%20(2%20PTS)", "13' fadeaway Jump Shot (2 PTS)")</f>
        <v>13' fadeaway Jump Shot (2 PTS)</v>
      </c>
      <c r="L1583" s="2" t="str">
        <f>HYPERLINK("https://www.nba.com/game/...-vs-...-0022300273/play-by-play?watchFullGame=true", "LAC vs GSW - Q1 09:47.00")</f>
        <v>LAC vs GSW - Q1 09:47.00</v>
      </c>
      <c r="M1583">
        <v>13.43</v>
      </c>
      <c r="N1583">
        <v>81.16</v>
      </c>
      <c r="O1583">
        <v>60.05</v>
      </c>
      <c r="P1583">
        <v>50</v>
      </c>
      <c r="Q1583">
        <v>125</v>
      </c>
      <c r="R1583">
        <v>81</v>
      </c>
      <c r="S1583">
        <v>60</v>
      </c>
    </row>
    <row r="1584" spans="1:19" hidden="1" x14ac:dyDescent="0.25">
      <c r="A1584">
        <v>42000175</v>
      </c>
      <c r="B1584" t="s">
        <v>18</v>
      </c>
      <c r="C1584" t="s">
        <v>19</v>
      </c>
      <c r="D1584">
        <v>46</v>
      </c>
      <c r="E1584">
        <v>46</v>
      </c>
      <c r="F1584">
        <v>0</v>
      </c>
      <c r="G1584">
        <v>2</v>
      </c>
      <c r="H1584" s="1">
        <v>3.8425925925925928E-3</v>
      </c>
      <c r="I1584" t="s">
        <v>91</v>
      </c>
      <c r="J1584" t="s">
        <v>83</v>
      </c>
      <c r="K1584" s="2" t="str">
        <f>HYPERLINK("https://www.nba.com/stats/events?CFID=&amp;CFPARAMS=&amp;GameEventID=264&amp;GameID=0042000175&amp;Season=2020-21&amp;flag=1&amp;title=Leonard%2013'%20pullup%20Jump%20Shot%20(8%20PTS)", "13' pullup Jump Shot (8 PTS)")</f>
        <v>13' pullup Jump Shot (8 PTS)</v>
      </c>
      <c r="L1584" s="2" t="str">
        <f>HYPERLINK("https://www.nba.com/game/...-vs-...-0042000175/play-by-play?watchFullGame=true", "LAC vs DAL - Q2 05:32.00")</f>
        <v>LAC vs DAL - Q2 05:32.00</v>
      </c>
      <c r="M1584">
        <v>13.36</v>
      </c>
      <c r="N1584">
        <v>81.03</v>
      </c>
      <c r="O1584">
        <v>41</v>
      </c>
      <c r="P1584">
        <v>81</v>
      </c>
      <c r="Q1584">
        <v>41</v>
      </c>
      <c r="R1584">
        <v>81</v>
      </c>
      <c r="S1584">
        <v>41</v>
      </c>
    </row>
    <row r="1585" spans="1:19" hidden="1" x14ac:dyDescent="0.25">
      <c r="A1585">
        <v>22300264</v>
      </c>
      <c r="B1585" t="s">
        <v>18</v>
      </c>
      <c r="C1585" t="s">
        <v>19</v>
      </c>
      <c r="D1585">
        <v>125</v>
      </c>
      <c r="E1585">
        <v>109</v>
      </c>
      <c r="F1585">
        <v>16</v>
      </c>
      <c r="G1585">
        <v>4</v>
      </c>
      <c r="H1585" s="1">
        <v>2.8240740740740739E-3</v>
      </c>
      <c r="I1585">
        <v>2023</v>
      </c>
      <c r="J1585" t="s">
        <v>83</v>
      </c>
      <c r="K1585" s="2" t="str">
        <f>HYPERLINK("https://www.nba.com/stats/events?CFID=&amp;CFPARAMS=&amp;GameEventID=621&amp;GameID=0022300264&amp;Season=2023-24&amp;flag=1&amp;title=Leonard%2013'%20turnaround%20Jump%20Shot%20(32%20PTS)", "13' turnaround Jump Shot (32 PTS)")</f>
        <v>13' turnaround Jump Shot (32 PTS)</v>
      </c>
      <c r="L1585" s="2" t="str">
        <f>HYPERLINK("https://www.nba.com/game/...-vs-...-0022300264/play-by-play?watchFullGame=true", "LAC vs SAC - Q4 04:04.00")</f>
        <v>LAC vs SAC - Q4 04:04.00</v>
      </c>
      <c r="M1585">
        <v>13.34</v>
      </c>
      <c r="N1585">
        <v>81.95</v>
      </c>
      <c r="O1585">
        <v>37.25</v>
      </c>
      <c r="P1585">
        <v>-64</v>
      </c>
      <c r="Q1585">
        <v>117</v>
      </c>
      <c r="R1585">
        <v>81</v>
      </c>
      <c r="S1585">
        <v>37</v>
      </c>
    </row>
    <row r="1586" spans="1:19" hidden="1" x14ac:dyDescent="0.25">
      <c r="A1586">
        <v>22300127</v>
      </c>
      <c r="B1586" t="s">
        <v>18</v>
      </c>
      <c r="C1586" t="s">
        <v>19</v>
      </c>
      <c r="D1586">
        <v>6</v>
      </c>
      <c r="E1586">
        <v>2</v>
      </c>
      <c r="F1586">
        <v>4</v>
      </c>
      <c r="G1586">
        <v>1</v>
      </c>
      <c r="H1586" s="1">
        <v>6.851851851851852E-3</v>
      </c>
      <c r="I1586">
        <v>2023</v>
      </c>
      <c r="J1586" t="s">
        <v>83</v>
      </c>
      <c r="K1586" s="2" t="str">
        <f>HYPERLINK("https://www.nba.com/stats/events?CFID=&amp;CFPARAMS=&amp;GameEventID=25&amp;GameID=0022300127&amp;Season=2023-24&amp;flag=1&amp;title=Leonard%2013'%20pullup%20Jump%20Shot%20(4%20PTS)", "13' pullup Jump Shot (4 PTS)")</f>
        <v>13' pullup Jump Shot (4 PTS)</v>
      </c>
      <c r="L1586" s="2" t="str">
        <f>HYPERLINK("https://www.nba.com/game/...-vs-...-0022300127/play-by-play?watchFullGame=true", "LAC vs LAL - Q1 09:52.00")</f>
        <v>LAC vs LAL - Q1 09:52.00</v>
      </c>
      <c r="M1586">
        <v>13.29</v>
      </c>
      <c r="N1586">
        <v>81.13</v>
      </c>
      <c r="O1586">
        <v>59.07</v>
      </c>
      <c r="P1586">
        <v>45</v>
      </c>
      <c r="Q1586">
        <v>125</v>
      </c>
      <c r="R1586">
        <v>81</v>
      </c>
      <c r="S1586">
        <v>59</v>
      </c>
    </row>
    <row r="1587" spans="1:19" hidden="1" x14ac:dyDescent="0.25">
      <c r="A1587">
        <v>22000061</v>
      </c>
      <c r="B1587" t="s">
        <v>18</v>
      </c>
      <c r="C1587" t="s">
        <v>19</v>
      </c>
      <c r="D1587">
        <v>80</v>
      </c>
      <c r="E1587">
        <v>57</v>
      </c>
      <c r="F1587">
        <v>23</v>
      </c>
      <c r="G1587">
        <v>3</v>
      </c>
      <c r="H1587" s="1">
        <v>7.6620370370370366E-3</v>
      </c>
      <c r="I1587">
        <v>2020</v>
      </c>
      <c r="J1587" t="s">
        <v>83</v>
      </c>
      <c r="K1587" s="2" t="str">
        <f>HYPERLINK("https://www.nba.com/stats/events?CFID=&amp;CFPARAMS=&amp;GameEventID=323&amp;GameID=0022000061&amp;Season=2020-21&amp;flag=1&amp;title=Leonard%2013'%20fadeaway%20Jump%20Shot%20(16%20PTS)", "13' fadeaway Jump Shot (16 PTS)")</f>
        <v>13' fadeaway Jump Shot (16 PTS)</v>
      </c>
      <c r="L1587" s="2" t="str">
        <f>HYPERLINK("https://www.nba.com/game/...-vs-...-0022000061/play-by-play?watchFullGame=true", "LAC vs POR - Q3 11:02.00")</f>
        <v>LAC vs POR - Q3 11:02.00</v>
      </c>
      <c r="M1587">
        <v>13.21</v>
      </c>
      <c r="N1587">
        <v>81.95</v>
      </c>
      <c r="O1587">
        <v>37.81</v>
      </c>
      <c r="P1587">
        <v>-61</v>
      </c>
      <c r="Q1587">
        <v>117</v>
      </c>
      <c r="R1587">
        <v>81</v>
      </c>
      <c r="S1587">
        <v>37</v>
      </c>
    </row>
    <row r="1588" spans="1:19" hidden="1" x14ac:dyDescent="0.25">
      <c r="A1588">
        <v>22300537</v>
      </c>
      <c r="B1588" t="s">
        <v>18</v>
      </c>
      <c r="C1588" t="s">
        <v>19</v>
      </c>
      <c r="D1588">
        <v>84</v>
      </c>
      <c r="E1588">
        <v>65</v>
      </c>
      <c r="F1588">
        <v>19</v>
      </c>
      <c r="G1588">
        <v>3</v>
      </c>
      <c r="H1588" s="1">
        <v>3.7615740740740739E-3</v>
      </c>
      <c r="I1588">
        <v>2023</v>
      </c>
      <c r="J1588" t="s">
        <v>83</v>
      </c>
      <c r="K1588" s="2" t="str">
        <f>HYPERLINK("https://www.nba.com/stats/events?CFID=&amp;CFPARAMS=&amp;GameEventID=389&amp;GameID=0022300537&amp;Season=2023-24&amp;flag=1&amp;title=Leonard%2013'%20pullup%20Jump%20Shot%20(17%20PTS)", "13' pullup Jump Shot (17 PTS)")</f>
        <v>13' pullup Jump Shot (17 PTS)</v>
      </c>
      <c r="L1588" s="2" t="str">
        <f>HYPERLINK("https://www.nba.com/game/...-vs-...-0022300537/play-by-play?watchFullGame=true", "LAC vs MEM - Q3 05:25.00")</f>
        <v>LAC vs MEM - Q3 05:25.00</v>
      </c>
      <c r="M1588">
        <v>13.16</v>
      </c>
      <c r="N1588">
        <v>81.42</v>
      </c>
      <c r="O1588">
        <v>40.200000000000003</v>
      </c>
      <c r="P1588">
        <v>-49</v>
      </c>
      <c r="Q1588">
        <v>122</v>
      </c>
      <c r="R1588">
        <v>81</v>
      </c>
      <c r="S1588">
        <v>40</v>
      </c>
    </row>
    <row r="1589" spans="1:19" hidden="1" x14ac:dyDescent="0.25">
      <c r="A1589">
        <v>22400553</v>
      </c>
      <c r="B1589" t="s">
        <v>18</v>
      </c>
      <c r="C1589" t="s">
        <v>19</v>
      </c>
      <c r="D1589">
        <v>14</v>
      </c>
      <c r="E1589">
        <v>18</v>
      </c>
      <c r="F1589">
        <v>4</v>
      </c>
      <c r="G1589">
        <v>1</v>
      </c>
      <c r="H1589" s="1">
        <v>4.9421296296296297E-3</v>
      </c>
      <c r="I1589">
        <v>2024</v>
      </c>
      <c r="J1589" t="s">
        <v>83</v>
      </c>
      <c r="K1589" s="2" t="str">
        <f>HYPERLINK("https://www.nba.com/stats/events?CFID=&amp;CFPARAMS=&amp;GameEventID=53&amp;GameID=0022400553&amp;Season=2024-25&amp;flag=1&amp;title=Leonard%2013'%20pullup%20Jump%20Shot%20(2%20PTS)%20(J.%20Harden%204%20AST)", "13' pullup Jump Shot (2 PTS) (J. Harden 4 AST)")</f>
        <v>13' pullup Jump Shot (2 PTS) (J. Harden 4 AST)</v>
      </c>
      <c r="L1589" s="2" t="str">
        <f>HYPERLINK("https://www.nba.com/game/...-vs-...-0022400553/play-by-play?watchFullGame=true", "LAC vs MIA - Q1 07:07.00")</f>
        <v>LAC vs MIA - Q1 07:07.00</v>
      </c>
      <c r="M1589">
        <v>13.13</v>
      </c>
      <c r="N1589">
        <v>81.69</v>
      </c>
      <c r="O1589">
        <v>60.78</v>
      </c>
      <c r="P1589">
        <v>54</v>
      </c>
      <c r="Q1589">
        <v>120</v>
      </c>
      <c r="R1589">
        <v>81</v>
      </c>
      <c r="S1589">
        <v>60</v>
      </c>
    </row>
    <row r="1590" spans="1:19" hidden="1" x14ac:dyDescent="0.25">
      <c r="A1590">
        <v>22201096</v>
      </c>
      <c r="B1590" t="s">
        <v>18</v>
      </c>
      <c r="C1590" t="s">
        <v>19</v>
      </c>
      <c r="D1590">
        <v>5</v>
      </c>
      <c r="E1590">
        <v>2</v>
      </c>
      <c r="F1590">
        <v>3</v>
      </c>
      <c r="G1590">
        <v>1</v>
      </c>
      <c r="H1590" s="1">
        <v>6.9328703703703705E-3</v>
      </c>
      <c r="I1590">
        <v>2022</v>
      </c>
      <c r="J1590" t="s">
        <v>83</v>
      </c>
      <c r="K1590" s="2" t="str">
        <f>HYPERLINK("https://www.nba.com/stats/events?CFID=&amp;CFPARAMS=&amp;GameEventID=27&amp;GameID=0022201096&amp;Season=2022-23&amp;flag=1&amp;title=Leonard%2013'%20pullup%20Jump%20Shot%20(4%20PTS)%20(R.%20Westbrook%202%20AST)", "13' pullup Jump Shot (4 PTS) (R. Westbrook 2 AST)")</f>
        <v>13' pullup Jump Shot (4 PTS) (R. Westbrook 2 AST)</v>
      </c>
      <c r="L1590" s="2" t="str">
        <f>HYPERLINK("https://www.nba.com/game/...-vs-...-0022201096/play-by-play?watchFullGame=true", "LAC vs OKC - Q1 09:59.00")</f>
        <v>LAC vs OKC - Q1 09:59.00</v>
      </c>
      <c r="M1590">
        <v>13.09</v>
      </c>
      <c r="N1590">
        <v>81.260000000000005</v>
      </c>
      <c r="O1590">
        <v>58.58</v>
      </c>
      <c r="P1590">
        <v>43</v>
      </c>
      <c r="Q1590">
        <v>124</v>
      </c>
      <c r="R1590">
        <v>81</v>
      </c>
      <c r="S1590">
        <v>58</v>
      </c>
    </row>
    <row r="1591" spans="1:19" hidden="1" x14ac:dyDescent="0.25">
      <c r="A1591">
        <v>41900231</v>
      </c>
      <c r="B1591" t="s">
        <v>18</v>
      </c>
      <c r="C1591" t="s">
        <v>84</v>
      </c>
      <c r="D1591">
        <v>14</v>
      </c>
      <c r="E1591">
        <v>13</v>
      </c>
      <c r="F1591">
        <v>1</v>
      </c>
      <c r="G1591">
        <v>1</v>
      </c>
      <c r="H1591" s="1">
        <v>4.7337962962962967E-3</v>
      </c>
      <c r="I1591" t="s">
        <v>85</v>
      </c>
      <c r="J1591" t="s">
        <v>83</v>
      </c>
      <c r="K1591" s="2" t="str">
        <f>HYPERLINK("https://www.nba.com/stats/events?CFID=&amp;CFPARAMS=&amp;GameEventID=60&amp;GameID=0041900231&amp;Season=2019-20&amp;flag=1&amp;title=Leonard%2013'%20jumpshot%20(2%20PTS)", "13' jumpshot (2 PTS)")</f>
        <v>13' jumpshot (2 PTS)</v>
      </c>
      <c r="L1591" s="2" t="str">
        <f>HYPERLINK("https://www.nba.com/game/...-vs-...-0041900231/play-by-play?watchFullGame=true", "LAC vs DEN - Q1 06:49.00")</f>
        <v>LAC vs DEN - Q1 06:49.00</v>
      </c>
      <c r="M1591">
        <v>13.03</v>
      </c>
      <c r="N1591">
        <v>81.42</v>
      </c>
      <c r="O1591">
        <v>44.68</v>
      </c>
      <c r="P1591">
        <v>-27</v>
      </c>
      <c r="Q1591">
        <v>122</v>
      </c>
      <c r="R1591">
        <v>81</v>
      </c>
      <c r="S1591">
        <v>44</v>
      </c>
    </row>
    <row r="1592" spans="1:19" hidden="1" x14ac:dyDescent="0.25">
      <c r="A1592">
        <v>22300309</v>
      </c>
      <c r="B1592" t="s">
        <v>18</v>
      </c>
      <c r="C1592" t="s">
        <v>19</v>
      </c>
      <c r="D1592">
        <v>56</v>
      </c>
      <c r="E1592">
        <v>37</v>
      </c>
      <c r="F1592">
        <v>19</v>
      </c>
      <c r="G1592">
        <v>2</v>
      </c>
      <c r="H1592" s="1">
        <v>4.4212962962962964E-3</v>
      </c>
      <c r="I1592">
        <v>2023</v>
      </c>
      <c r="J1592" t="s">
        <v>83</v>
      </c>
      <c r="K1592" s="2" t="str">
        <f>HYPERLINK("https://www.nba.com/stats/events?CFID=&amp;CFPARAMS=&amp;GameEventID=238&amp;GameID=0022300309&amp;Season=2023-24&amp;flag=1&amp;title=Leonard%2012'%20pullup%20Jump%20Shot%20(11%20PTS)", "12' pullup Jump Shot (11 PTS)")</f>
        <v>12' pullup Jump Shot (11 PTS)</v>
      </c>
      <c r="L1592" s="2" t="str">
        <f>HYPERLINK("https://www.nba.com/game/...-vs-...-0022300309/play-by-play?watchFullGame=true", "LAC vs SAC - Q2 06:22.00")</f>
        <v>LAC vs SAC - Q2 06:22.00</v>
      </c>
      <c r="M1592">
        <v>12.83</v>
      </c>
      <c r="N1592">
        <v>81.650000000000006</v>
      </c>
      <c r="O1592">
        <v>40.93</v>
      </c>
      <c r="P1592">
        <v>-45</v>
      </c>
      <c r="Q1592">
        <v>120</v>
      </c>
      <c r="R1592">
        <v>81</v>
      </c>
      <c r="S1592">
        <v>40</v>
      </c>
    </row>
    <row r="1593" spans="1:19" hidden="1" x14ac:dyDescent="0.25">
      <c r="A1593">
        <v>22000002</v>
      </c>
      <c r="B1593" t="s">
        <v>18</v>
      </c>
      <c r="C1593" t="s">
        <v>19</v>
      </c>
      <c r="D1593">
        <v>107</v>
      </c>
      <c r="E1593">
        <v>94</v>
      </c>
      <c r="F1593">
        <v>13</v>
      </c>
      <c r="G1593">
        <v>4</v>
      </c>
      <c r="H1593" s="1">
        <v>4.2708333333333331E-3</v>
      </c>
      <c r="I1593">
        <v>2020</v>
      </c>
      <c r="J1593" t="s">
        <v>83</v>
      </c>
      <c r="K1593" s="2" t="str">
        <f>HYPERLINK("https://www.nba.com/stats/events?CFID=&amp;CFPARAMS=&amp;GameEventID=624&amp;GameID=0022000002&amp;Season=2020-21&amp;flag=1&amp;title=Leonard%2012'%20turnaround%20Jump%20Shot%20(24%20PTS)", "12' turnaround Jump Shot (24 PTS)")</f>
        <v>12' turnaround Jump Shot (24 PTS)</v>
      </c>
      <c r="L1593" s="2" t="str">
        <f>HYPERLINK("https://www.nba.com/game/...-vs-...-0022000002/play-by-play?watchFullGame=true", "LAC vs LAL - Q4 06:09.00")</f>
        <v>LAC vs LAL - Q4 06:09.00</v>
      </c>
      <c r="M1593">
        <v>12.81</v>
      </c>
      <c r="N1593">
        <v>81.95</v>
      </c>
      <c r="O1593">
        <v>60.36</v>
      </c>
      <c r="P1593">
        <v>52</v>
      </c>
      <c r="Q1593">
        <v>117</v>
      </c>
      <c r="R1593">
        <v>81</v>
      </c>
      <c r="S1593">
        <v>60</v>
      </c>
    </row>
    <row r="1594" spans="1:19" hidden="1" x14ac:dyDescent="0.25">
      <c r="A1594">
        <v>22300917</v>
      </c>
      <c r="B1594" t="s">
        <v>18</v>
      </c>
      <c r="C1594" t="s">
        <v>19</v>
      </c>
      <c r="D1594">
        <v>96</v>
      </c>
      <c r="E1594">
        <v>88</v>
      </c>
      <c r="F1594">
        <v>8</v>
      </c>
      <c r="G1594">
        <v>4</v>
      </c>
      <c r="H1594" s="1">
        <v>5.3587962962962964E-3</v>
      </c>
      <c r="I1594">
        <v>2023</v>
      </c>
      <c r="J1594" t="s">
        <v>83</v>
      </c>
      <c r="K1594" s="2" t="str">
        <f>HYPERLINK("https://www.nba.com/stats/events?CFID=&amp;CFPARAMS=&amp;GameEventID=536&amp;GameID=0022300917&amp;Season=2023-24&amp;flag=1&amp;title=Leonard%2012'%20turnaround%20Jump%20Shot%20(15%20PTS)", "12' turnaround Jump Shot (15 PTS)")</f>
        <v>12' turnaround Jump Shot (15 PTS)</v>
      </c>
      <c r="L1594" s="2" t="str">
        <f>HYPERLINK("https://www.nba.com/game/...-vs-...-0022300917/play-by-play?watchFullGame=true", "LAC vs CHI - Q4 07:43.00")</f>
        <v>LAC vs CHI - Q4 07:43.00</v>
      </c>
      <c r="M1594">
        <v>12.8</v>
      </c>
      <c r="N1594">
        <v>81.13</v>
      </c>
      <c r="O1594">
        <v>55.64</v>
      </c>
      <c r="P1594">
        <v>28</v>
      </c>
      <c r="Q1594">
        <v>125</v>
      </c>
      <c r="R1594">
        <v>81</v>
      </c>
      <c r="S1594">
        <v>55</v>
      </c>
    </row>
    <row r="1595" spans="1:19" hidden="1" x14ac:dyDescent="0.25">
      <c r="A1595">
        <v>21900292</v>
      </c>
      <c r="B1595" t="s">
        <v>18</v>
      </c>
      <c r="C1595" t="s">
        <v>84</v>
      </c>
      <c r="D1595">
        <v>13</v>
      </c>
      <c r="E1595">
        <v>8</v>
      </c>
      <c r="F1595">
        <v>5</v>
      </c>
      <c r="G1595">
        <v>1</v>
      </c>
      <c r="H1595" s="1">
        <v>5.6249999999999998E-3</v>
      </c>
      <c r="I1595">
        <v>2019</v>
      </c>
      <c r="J1595" t="s">
        <v>83</v>
      </c>
      <c r="K1595" s="2" t="str">
        <f>HYPERLINK("https://www.nba.com/stats/events?CFID=&amp;CFPARAMS=&amp;GameEventID=55&amp;GameID=0021900292&amp;Season=2019-20&amp;flag=1&amp;title=Leonard%2013'%20jumpshot%20(6%20PTS)%20(I.%20Zubac%201%20AST)", "13' jumpshot (6 PTS) (I. Zubac 1 AST)")</f>
        <v>13' jumpshot (6 PTS) (I. Zubac 1 AST)</v>
      </c>
      <c r="L1595" s="2" t="str">
        <f>HYPERLINK("https://www.nba.com/game/...-vs-...-0021900292/play-by-play?watchFullGame=true", "LAC vs WAS - Q1 08:06.00")</f>
        <v>LAC vs WAS - Q1 08:06.00</v>
      </c>
      <c r="M1595">
        <v>12.69</v>
      </c>
      <c r="N1595">
        <v>81.52</v>
      </c>
      <c r="O1595">
        <v>51.4</v>
      </c>
      <c r="P1595">
        <v>7</v>
      </c>
      <c r="Q1595">
        <v>121</v>
      </c>
      <c r="R1595">
        <v>81</v>
      </c>
      <c r="S1595">
        <v>51</v>
      </c>
    </row>
    <row r="1596" spans="1:19" hidden="1" x14ac:dyDescent="0.25">
      <c r="A1596">
        <v>22300350</v>
      </c>
      <c r="B1596" t="s">
        <v>18</v>
      </c>
      <c r="C1596" t="s">
        <v>19</v>
      </c>
      <c r="D1596">
        <v>10</v>
      </c>
      <c r="E1596">
        <v>7</v>
      </c>
      <c r="F1596">
        <v>3</v>
      </c>
      <c r="G1596">
        <v>1</v>
      </c>
      <c r="H1596" s="1">
        <v>5.7986111111111112E-3</v>
      </c>
      <c r="I1596">
        <v>2023</v>
      </c>
      <c r="J1596" t="s">
        <v>83</v>
      </c>
      <c r="K1596" s="2" t="str">
        <f>HYPERLINK("https://www.nba.com/stats/events?CFID=&amp;CFPARAMS=&amp;GameEventID=44&amp;GameID=0022300350&amp;Season=2023-24&amp;flag=1&amp;title=Leonard%2012'%20pullup%20Jump%20Shot%20(4%20PTS)", "12' pullup Jump Shot (4 PTS)")</f>
        <v>12' pullup Jump Shot (4 PTS)</v>
      </c>
      <c r="L1596" s="2" t="str">
        <f>HYPERLINK("https://www.nba.com/game/...-vs-...-0022300350/play-by-play?watchFullGame=true", "LAC vs IND - Q1 08:21.00")</f>
        <v>LAC vs IND - Q1 08:21.00</v>
      </c>
      <c r="M1596">
        <v>12.68</v>
      </c>
      <c r="N1596">
        <v>81.69</v>
      </c>
      <c r="O1596">
        <v>58.33</v>
      </c>
      <c r="P1596">
        <v>42</v>
      </c>
      <c r="Q1596">
        <v>120</v>
      </c>
      <c r="R1596">
        <v>81</v>
      </c>
      <c r="S1596">
        <v>58</v>
      </c>
    </row>
    <row r="1597" spans="1:19" hidden="1" x14ac:dyDescent="0.25">
      <c r="A1597">
        <v>21901291</v>
      </c>
      <c r="B1597" t="s">
        <v>18</v>
      </c>
      <c r="C1597" t="s">
        <v>84</v>
      </c>
      <c r="D1597">
        <v>2</v>
      </c>
      <c r="E1597">
        <v>3</v>
      </c>
      <c r="F1597">
        <v>1</v>
      </c>
      <c r="G1597">
        <v>1</v>
      </c>
      <c r="H1597" s="1">
        <v>7.3495370370370372E-3</v>
      </c>
      <c r="I1597">
        <v>2019</v>
      </c>
      <c r="J1597" t="s">
        <v>83</v>
      </c>
      <c r="K1597" s="2" t="str">
        <f>HYPERLINK("https://www.nba.com/stats/events?CFID=&amp;CFPARAMS=&amp;GameEventID=17&amp;GameID=0021901291&amp;Season=2019-20&amp;flag=1&amp;title=Leonard%2013'%20jumpshot%20(2%20PTS)", "13' jumpshot (2 PTS)")</f>
        <v>13' jumpshot (2 PTS)</v>
      </c>
      <c r="L1597" s="2" t="str">
        <f>HYPERLINK("https://www.nba.com/game/...-vs-...-0021901291/play-by-play?watchFullGame=true", "LAC vs BKN - Q1 10:35.00")</f>
        <v>LAC vs BKN - Q1 10:35.00</v>
      </c>
      <c r="M1597">
        <v>12.59</v>
      </c>
      <c r="N1597">
        <v>81.819999999999993</v>
      </c>
      <c r="O1597">
        <v>54.48</v>
      </c>
      <c r="P1597">
        <v>22</v>
      </c>
      <c r="Q1597">
        <v>118</v>
      </c>
      <c r="R1597">
        <v>81</v>
      </c>
      <c r="S1597">
        <v>54</v>
      </c>
    </row>
    <row r="1598" spans="1:19" hidden="1" x14ac:dyDescent="0.25">
      <c r="A1598">
        <v>21900157</v>
      </c>
      <c r="B1598" t="s">
        <v>18</v>
      </c>
      <c r="C1598" t="s">
        <v>84</v>
      </c>
      <c r="D1598">
        <v>13</v>
      </c>
      <c r="E1598">
        <v>23</v>
      </c>
      <c r="F1598">
        <v>10</v>
      </c>
      <c r="G1598">
        <v>1</v>
      </c>
      <c r="H1598" s="1">
        <v>2.9166666666666668E-3</v>
      </c>
      <c r="I1598">
        <v>2019</v>
      </c>
      <c r="J1598" t="s">
        <v>83</v>
      </c>
      <c r="K1598" s="2" t="str">
        <f>HYPERLINK("https://www.nba.com/stats/events?CFID=&amp;CFPARAMS=&amp;GameEventID=107&amp;GameID=0021900157&amp;Season=2019-20&amp;flag=1&amp;title=Leonard%2013'%20jumpshot%20(5%20PTS)", "13' jumpshot (5 PTS)")</f>
        <v>13' jumpshot (5 PTS)</v>
      </c>
      <c r="L1598" s="2" t="str">
        <f>HYPERLINK("https://www.nba.com/game/...-vs-...-0021900157/play-by-play?watchFullGame=true", "LAC vs HOU - Q1 04:12.00")</f>
        <v>LAC vs HOU - Q1 04:12.00</v>
      </c>
      <c r="M1598">
        <v>12.55</v>
      </c>
      <c r="N1598">
        <v>81.650000000000006</v>
      </c>
      <c r="O1598">
        <v>50.67</v>
      </c>
      <c r="P1598">
        <v>3</v>
      </c>
      <c r="Q1598">
        <v>120</v>
      </c>
      <c r="R1598">
        <v>81</v>
      </c>
      <c r="S1598">
        <v>50</v>
      </c>
    </row>
    <row r="1599" spans="1:19" hidden="1" x14ac:dyDescent="0.25">
      <c r="A1599">
        <v>41900156</v>
      </c>
      <c r="B1599" t="s">
        <v>18</v>
      </c>
      <c r="C1599" t="s">
        <v>84</v>
      </c>
      <c r="D1599">
        <v>85</v>
      </c>
      <c r="E1599">
        <v>71</v>
      </c>
      <c r="F1599">
        <v>14</v>
      </c>
      <c r="G1599">
        <v>3</v>
      </c>
      <c r="H1599" s="1">
        <v>3.3333333333333332E-4</v>
      </c>
      <c r="I1599" t="s">
        <v>86</v>
      </c>
      <c r="J1599" t="s">
        <v>83</v>
      </c>
      <c r="K1599" s="2" t="str">
        <f>HYPERLINK("https://www.nba.com/stats/events?CFID=&amp;CFPARAMS=&amp;GameEventID=478&amp;GameID=0041900156&amp;Season=2019-20&amp;flag=1&amp;title=Leonard%2013'%20jumpshot%20(25%20PTS)", "13' jumpshot (25 PTS)")</f>
        <v>13' jumpshot (25 PTS)</v>
      </c>
      <c r="L1599" s="2" t="str">
        <f>HYPERLINK("https://www.nba.com/game/...-vs-...-0041900156/play-by-play?watchFullGame=true", "LAC vs DAL - Q3 00:28.80")</f>
        <v>LAC vs DAL - Q3 00:28.80</v>
      </c>
      <c r="M1599">
        <v>12.52</v>
      </c>
      <c r="N1599">
        <v>81.69</v>
      </c>
      <c r="O1599">
        <v>49.82</v>
      </c>
      <c r="P1599">
        <v>-1</v>
      </c>
      <c r="Q1599">
        <v>120</v>
      </c>
      <c r="R1599">
        <v>81</v>
      </c>
      <c r="S1599">
        <v>49</v>
      </c>
    </row>
    <row r="1600" spans="1:19" hidden="1" x14ac:dyDescent="0.25">
      <c r="A1600">
        <v>22300273</v>
      </c>
      <c r="B1600" t="s">
        <v>18</v>
      </c>
      <c r="C1600" t="s">
        <v>19</v>
      </c>
      <c r="D1600">
        <v>36</v>
      </c>
      <c r="E1600">
        <v>51</v>
      </c>
      <c r="F1600">
        <v>15</v>
      </c>
      <c r="G1600">
        <v>2</v>
      </c>
      <c r="H1600" s="1">
        <v>4.2361111111111115E-3</v>
      </c>
      <c r="I1600">
        <v>2023</v>
      </c>
      <c r="J1600" t="s">
        <v>83</v>
      </c>
      <c r="K1600" s="2" t="str">
        <f>HYPERLINK("https://www.nba.com/stats/events?CFID=&amp;CFPARAMS=&amp;GameEventID=249&amp;GameID=0022300273&amp;Season=2023-24&amp;flag=1&amp;title=Leonard%2012'%20step%20back%20Jump%20Shot%20(8%20PTS)", "12' step back Jump Shot (8 PTS)")</f>
        <v>12' step back Jump Shot (8 PTS)</v>
      </c>
      <c r="L1600" s="2" t="str">
        <f>HYPERLINK("https://www.nba.com/game/...-vs-...-0022300273/play-by-play?watchFullGame=true", "LAC vs GSW - Q2 06:06.00")</f>
        <v>LAC vs GSW - Q2 06:06.00</v>
      </c>
      <c r="M1600">
        <v>12.51</v>
      </c>
      <c r="N1600">
        <v>81.16</v>
      </c>
      <c r="O1600">
        <v>47.79</v>
      </c>
      <c r="P1600">
        <v>-11</v>
      </c>
      <c r="Q1600">
        <v>125</v>
      </c>
      <c r="R1600">
        <v>81</v>
      </c>
      <c r="S1600">
        <v>47</v>
      </c>
    </row>
    <row r="1601" spans="1:19" hidden="1" x14ac:dyDescent="0.25">
      <c r="A1601">
        <v>22200745</v>
      </c>
      <c r="B1601" t="s">
        <v>18</v>
      </c>
      <c r="C1601" t="s">
        <v>19</v>
      </c>
      <c r="D1601">
        <v>2</v>
      </c>
      <c r="E1601">
        <v>0</v>
      </c>
      <c r="F1601">
        <v>2</v>
      </c>
      <c r="G1601">
        <v>1</v>
      </c>
      <c r="H1601" s="1">
        <v>8.0902777777777778E-3</v>
      </c>
      <c r="I1601">
        <v>2022</v>
      </c>
      <c r="J1601" t="s">
        <v>83</v>
      </c>
      <c r="K1601" s="2" t="str">
        <f>HYPERLINK("https://www.nba.com/stats/events?CFID=&amp;CFPARAMS=&amp;GameEventID=8&amp;GameID=0022200745&amp;Season=2022-23&amp;flag=1&amp;title=Leonard%2012'%20turnaround%20fadeaway%20Jump%20Shot%20(2%20PTS)", "12' turnaround fadeaway Jump Shot (2 PTS)")</f>
        <v>12' turnaround fadeaway Jump Shot (2 PTS)</v>
      </c>
      <c r="L1601" s="2" t="str">
        <f>HYPERLINK("https://www.nba.com/game/...-vs-...-0022200745/play-by-play?watchFullGame=true", "LAC vs ATL - Q1 11:39.00")</f>
        <v>LAC vs ATL - Q1 11:39.00</v>
      </c>
      <c r="M1601">
        <v>12.47</v>
      </c>
      <c r="N1601">
        <v>81.16</v>
      </c>
      <c r="O1601">
        <v>49.02</v>
      </c>
      <c r="P1601">
        <v>-5</v>
      </c>
      <c r="Q1601">
        <v>125</v>
      </c>
      <c r="R1601">
        <v>81</v>
      </c>
      <c r="S1601">
        <v>49</v>
      </c>
    </row>
    <row r="1602" spans="1:19" hidden="1" x14ac:dyDescent="0.25">
      <c r="A1602">
        <v>21900016</v>
      </c>
      <c r="B1602" t="s">
        <v>18</v>
      </c>
      <c r="C1602" t="s">
        <v>84</v>
      </c>
      <c r="D1602">
        <v>76</v>
      </c>
      <c r="E1602">
        <v>58</v>
      </c>
      <c r="F1602">
        <v>18</v>
      </c>
      <c r="G1602">
        <v>3</v>
      </c>
      <c r="H1602" s="1">
        <v>6.8865740740740745E-3</v>
      </c>
      <c r="I1602">
        <v>2019</v>
      </c>
      <c r="J1602" t="s">
        <v>83</v>
      </c>
      <c r="K1602" s="2" t="str">
        <f>HYPERLINK("https://www.nba.com/stats/events?CFID=&amp;CFPARAMS=&amp;GameEventID=410&amp;GameID=0021900016&amp;Season=2019-20&amp;flag=1&amp;title=[LAC]%20Leonard%20jumpshot:%20Made%20(13%20PTS)", "[LAC] Leonard jumpshot: Made (13 PTS)")</f>
        <v>[LAC] Leonard jumpshot: Made (13 PTS)</v>
      </c>
      <c r="L1602" s="2" t="str">
        <f>HYPERLINK("https://www.nba.com/game/...-vs-...-0021900016/play-by-play?watchFullGame=true", "LAC vs GSW - Q3 09:55.00")</f>
        <v>LAC vs GSW - Q3 09:55.00</v>
      </c>
      <c r="M1602">
        <v>12.4</v>
      </c>
      <c r="N1602">
        <v>81.95</v>
      </c>
      <c r="O1602">
        <v>46.39</v>
      </c>
      <c r="P1602">
        <v>-18</v>
      </c>
      <c r="Q1602">
        <v>117</v>
      </c>
      <c r="R1602">
        <v>81</v>
      </c>
      <c r="S1602">
        <v>46</v>
      </c>
    </row>
    <row r="1603" spans="1:19" hidden="1" x14ac:dyDescent="0.25">
      <c r="A1603">
        <v>22000188</v>
      </c>
      <c r="B1603" t="s">
        <v>18</v>
      </c>
      <c r="C1603" t="s">
        <v>19</v>
      </c>
      <c r="D1603">
        <v>60</v>
      </c>
      <c r="E1603">
        <v>55</v>
      </c>
      <c r="F1603">
        <v>5</v>
      </c>
      <c r="G1603">
        <v>2</v>
      </c>
      <c r="H1603" s="1">
        <v>1.5625000000000001E-3</v>
      </c>
      <c r="I1603">
        <v>2020</v>
      </c>
      <c r="J1603" t="s">
        <v>83</v>
      </c>
      <c r="K1603" s="2" t="str">
        <f>HYPERLINK("https://www.nba.com/stats/events?CFID=&amp;CFPARAMS=&amp;GameEventID=282&amp;GameID=0022000188&amp;Season=2020-21&amp;flag=1&amp;title=Leonard%2012'%20turnaround%20fadeaway%20Jump%20Shot%20(16%20PTS)", "12' turnaround fadeaway Jump Shot (16 PTS)")</f>
        <v>12' turnaround fadeaway Jump Shot (16 PTS)</v>
      </c>
      <c r="L1603" s="2" t="str">
        <f>HYPERLINK("https://www.nba.com/game/...-vs-...-0022000188/play-by-play?watchFullGame=true", "LAC vs SAC - Q2 02:15.00")</f>
        <v>LAC vs SAC - Q2 02:15.00</v>
      </c>
      <c r="M1603">
        <v>12.23</v>
      </c>
      <c r="N1603">
        <v>81.69</v>
      </c>
      <c r="O1603">
        <v>54.97</v>
      </c>
      <c r="P1603">
        <v>25</v>
      </c>
      <c r="Q1603">
        <v>120</v>
      </c>
      <c r="R1603">
        <v>81</v>
      </c>
      <c r="S1603">
        <v>54</v>
      </c>
    </row>
    <row r="1604" spans="1:19" hidden="1" x14ac:dyDescent="0.25">
      <c r="A1604">
        <v>22300264</v>
      </c>
      <c r="B1604" t="s">
        <v>18</v>
      </c>
      <c r="C1604" t="s">
        <v>19</v>
      </c>
      <c r="D1604">
        <v>88</v>
      </c>
      <c r="E1604">
        <v>66</v>
      </c>
      <c r="F1604">
        <v>22</v>
      </c>
      <c r="G1604">
        <v>3</v>
      </c>
      <c r="H1604" s="1">
        <v>3.9004629629629628E-3</v>
      </c>
      <c r="I1604">
        <v>2023</v>
      </c>
      <c r="J1604" t="s">
        <v>83</v>
      </c>
      <c r="K1604" s="2" t="str">
        <f>HYPERLINK("https://www.nba.com/stats/events?CFID=&amp;CFPARAMS=&amp;GameEventID=417&amp;GameID=0022300264&amp;Season=2023-24&amp;flag=1&amp;title=Leonard%2012'%20pullup%20Jump%20Shot%20(21%20PTS)", "12' pullup Jump Shot (21 PTS)")</f>
        <v>12' pullup Jump Shot (21 PTS)</v>
      </c>
      <c r="L1604" s="2" t="str">
        <f>HYPERLINK("https://www.nba.com/game/...-vs-...-0022300264/play-by-play?watchFullGame=true", "LAC vs SAC - Q3 05:37.00")</f>
        <v>LAC vs SAC - Q3 05:37.00</v>
      </c>
      <c r="M1604">
        <v>12.14</v>
      </c>
      <c r="N1604">
        <v>81.819999999999993</v>
      </c>
      <c r="O1604">
        <v>55.39</v>
      </c>
      <c r="P1604">
        <v>27</v>
      </c>
      <c r="Q1604">
        <v>118</v>
      </c>
      <c r="R1604">
        <v>81</v>
      </c>
      <c r="S1604">
        <v>55</v>
      </c>
    </row>
    <row r="1605" spans="1:19" hidden="1" x14ac:dyDescent="0.25">
      <c r="A1605">
        <v>22300880</v>
      </c>
      <c r="B1605" t="s">
        <v>18</v>
      </c>
      <c r="C1605" t="s">
        <v>19</v>
      </c>
      <c r="D1605">
        <v>78</v>
      </c>
      <c r="E1605">
        <v>66</v>
      </c>
      <c r="F1605">
        <v>12</v>
      </c>
      <c r="G1605">
        <v>3</v>
      </c>
      <c r="H1605" s="1">
        <v>1.3541666666666667E-3</v>
      </c>
      <c r="I1605">
        <v>2023</v>
      </c>
      <c r="J1605" t="s">
        <v>83</v>
      </c>
      <c r="K1605" s="2" t="str">
        <f>HYPERLINK("https://www.nba.com/stats/events?CFID=&amp;CFPARAMS=&amp;GameEventID=433&amp;GameID=0022300880&amp;Season=2023-24&amp;flag=1&amp;title=Leonard%2012'%20pullup%20Jump%20Shot%20(15%20PTS)", "12' pullup Jump Shot (15 PTS)")</f>
        <v>12' pullup Jump Shot (15 PTS)</v>
      </c>
      <c r="L1605" s="2" t="str">
        <f>HYPERLINK("https://www.nba.com/game/...-vs-...-0022300880/play-by-play?watchFullGame=true", "LAC vs MIL - Q3 01:57.00")</f>
        <v>LAC vs MIL - Q3 01:57.00</v>
      </c>
      <c r="M1605">
        <v>12.03</v>
      </c>
      <c r="N1605">
        <v>81.95</v>
      </c>
      <c r="O1605">
        <v>44.61</v>
      </c>
      <c r="P1605">
        <v>-27</v>
      </c>
      <c r="Q1605">
        <v>117</v>
      </c>
      <c r="R1605">
        <v>81</v>
      </c>
      <c r="S1605">
        <v>44</v>
      </c>
    </row>
    <row r="1606" spans="1:19" hidden="1" x14ac:dyDescent="0.25">
      <c r="A1606">
        <v>22000009</v>
      </c>
      <c r="B1606" t="s">
        <v>18</v>
      </c>
      <c r="C1606" t="s">
        <v>19</v>
      </c>
      <c r="D1606">
        <v>74</v>
      </c>
      <c r="E1606">
        <v>55</v>
      </c>
      <c r="F1606">
        <v>19</v>
      </c>
      <c r="G1606">
        <v>3</v>
      </c>
      <c r="H1606" s="1">
        <v>8.1712962962962963E-3</v>
      </c>
      <c r="I1606">
        <v>2020</v>
      </c>
      <c r="J1606" t="s">
        <v>83</v>
      </c>
      <c r="K1606" s="2" t="str">
        <f>HYPERLINK("https://www.nba.com/stats/events?CFID=&amp;CFPARAMS=&amp;GameEventID=406&amp;GameID=0022000009&amp;Season=2020-21&amp;flag=1&amp;title=Leonard%2012'%20pullup%20Jump%20Shot%20(14%20PTS)%20(P.%20George%203%20AST)", "12' pullup Jump Shot (14 PTS) (P. George 3 AST)")</f>
        <v>12' pullup Jump Shot (14 PTS) (P. George 3 AST)</v>
      </c>
      <c r="L1606" s="2" t="str">
        <f>HYPERLINK("https://www.nba.com/game/...-vs-...-0022000009/play-by-play?watchFullGame=true", "LAC vs DEN - Q3 11:46.00")</f>
        <v>LAC vs DEN - Q3 11:46.00</v>
      </c>
      <c r="M1606">
        <v>12.01</v>
      </c>
      <c r="N1606">
        <v>81.819999999999993</v>
      </c>
      <c r="O1606">
        <v>53.99</v>
      </c>
      <c r="P1606">
        <v>20</v>
      </c>
      <c r="Q1606">
        <v>118</v>
      </c>
      <c r="R1606">
        <v>81</v>
      </c>
      <c r="S1606">
        <v>53</v>
      </c>
    </row>
    <row r="1607" spans="1:19" hidden="1" x14ac:dyDescent="0.25">
      <c r="A1607">
        <v>22300873</v>
      </c>
      <c r="B1607" t="s">
        <v>18</v>
      </c>
      <c r="C1607" t="s">
        <v>19</v>
      </c>
      <c r="D1607">
        <v>79</v>
      </c>
      <c r="E1607">
        <v>78</v>
      </c>
      <c r="F1607">
        <v>1</v>
      </c>
      <c r="G1607">
        <v>4</v>
      </c>
      <c r="H1607" s="1">
        <v>4.1203703703703706E-3</v>
      </c>
      <c r="I1607">
        <v>2023</v>
      </c>
      <c r="J1607" t="s">
        <v>83</v>
      </c>
      <c r="K1607" s="2" t="str">
        <f>HYPERLINK("https://www.nba.com/stats/events?CFID=&amp;CFPARAMS=&amp;GameEventID=509&amp;GameID=0022300873&amp;Season=2023-24&amp;flag=1&amp;title=Leonard%2011'%20floating%20Jump%20Shot%20(27%20PTS)%20(D.%20Theis%201%20AST)", "11' floating Jump Shot (27 PTS) (D. Theis 1 AST)")</f>
        <v>11' floating Jump Shot (27 PTS) (D. Theis 1 AST)</v>
      </c>
      <c r="L1607" s="2" t="str">
        <f>HYPERLINK("https://www.nba.com/game/...-vs-...-0022300873/play-by-play?watchFullGame=true", "LAC vs MIN - Q4 05:56.00")</f>
        <v>LAC vs MIN - Q4 05:56.00</v>
      </c>
      <c r="M1607">
        <v>11.87</v>
      </c>
      <c r="N1607">
        <v>81.819999999999993</v>
      </c>
      <c r="O1607">
        <v>48.28</v>
      </c>
      <c r="P1607">
        <v>-9</v>
      </c>
      <c r="Q1607">
        <v>118</v>
      </c>
      <c r="R1607">
        <v>81</v>
      </c>
      <c r="S1607">
        <v>48</v>
      </c>
    </row>
    <row r="1608" spans="1:19" hidden="1" x14ac:dyDescent="0.25">
      <c r="A1608">
        <v>22000457</v>
      </c>
      <c r="B1608" t="s">
        <v>18</v>
      </c>
      <c r="C1608" t="s">
        <v>19</v>
      </c>
      <c r="D1608">
        <v>73</v>
      </c>
      <c r="E1608">
        <v>71</v>
      </c>
      <c r="F1608">
        <v>2</v>
      </c>
      <c r="G1608">
        <v>3</v>
      </c>
      <c r="H1608" s="1">
        <v>1.6319444444444445E-3</v>
      </c>
      <c r="I1608">
        <v>2020</v>
      </c>
      <c r="J1608" t="s">
        <v>83</v>
      </c>
      <c r="K1608" s="2" t="str">
        <f>HYPERLINK("https://www.nba.com/stats/events?CFID=&amp;CFPARAMS=&amp;GameEventID=420&amp;GameID=0022000457&amp;Season=2020-21&amp;flag=1&amp;title=Leonard%2011'%20turnaround%20fadeaway%20Jump%20Shot%20(20%20PTS)", "11' turnaround fadeaway Jump Shot (20 PTS)")</f>
        <v>11' turnaround fadeaway Jump Shot (20 PTS)</v>
      </c>
      <c r="L1608" s="2" t="str">
        <f>HYPERLINK("https://www.nba.com/game/...-vs-...-0022000457/play-by-play?watchFullGame=true", "LAC vs UTA - Q3 02:21.00")</f>
        <v>LAC vs UTA - Q3 02:21.00</v>
      </c>
      <c r="M1608">
        <v>11.77</v>
      </c>
      <c r="N1608">
        <v>81.95</v>
      </c>
      <c r="O1608">
        <v>47.86</v>
      </c>
      <c r="P1608">
        <v>-11</v>
      </c>
      <c r="Q1608">
        <v>117</v>
      </c>
      <c r="R1608">
        <v>81</v>
      </c>
      <c r="S1608">
        <v>47</v>
      </c>
    </row>
    <row r="1609" spans="1:19" hidden="1" x14ac:dyDescent="0.25">
      <c r="A1609">
        <v>22300716</v>
      </c>
      <c r="B1609" t="s">
        <v>18</v>
      </c>
      <c r="C1609" t="s">
        <v>19</v>
      </c>
      <c r="D1609">
        <v>28</v>
      </c>
      <c r="E1609">
        <v>16</v>
      </c>
      <c r="F1609">
        <v>12</v>
      </c>
      <c r="G1609">
        <v>1</v>
      </c>
      <c r="H1609" s="1">
        <v>2.5694444444444445E-3</v>
      </c>
      <c r="I1609">
        <v>2023</v>
      </c>
      <c r="J1609" t="s">
        <v>83</v>
      </c>
      <c r="K1609" s="2" t="str">
        <f>HYPERLINK("https://www.nba.com/stats/events?CFID=&amp;CFPARAMS=&amp;GameEventID=86&amp;GameID=0022300716&amp;Season=2023-24&amp;flag=1&amp;title=Leonard%2011'%20fadeaway%20Jump%20Shot%20(5%20PTS)%20(J.%20Harden%204%20AST)", "11' fadeaway Jump Shot (5 PTS) (J. Harden 4 AST)")</f>
        <v>11' fadeaway Jump Shot (5 PTS) (J. Harden 4 AST)</v>
      </c>
      <c r="L1609" s="2" t="str">
        <f>HYPERLINK("https://www.nba.com/game/...-vs-...-0022300716/play-by-play?watchFullGame=true", "LAC vs ATL - Q1 03:42.00")</f>
        <v>LAC vs ATL - Q1 03:42.00</v>
      </c>
      <c r="M1609">
        <v>11.77</v>
      </c>
      <c r="N1609">
        <v>81.95</v>
      </c>
      <c r="O1609">
        <v>47.79</v>
      </c>
      <c r="P1609">
        <v>-11</v>
      </c>
      <c r="Q1609">
        <v>117</v>
      </c>
      <c r="R1609">
        <v>81</v>
      </c>
      <c r="S1609">
        <v>47</v>
      </c>
    </row>
    <row r="1610" spans="1:19" hidden="1" x14ac:dyDescent="0.25">
      <c r="A1610">
        <v>21900406</v>
      </c>
      <c r="B1610" t="s">
        <v>26</v>
      </c>
      <c r="C1610" t="s">
        <v>84</v>
      </c>
      <c r="D1610">
        <v>81</v>
      </c>
      <c r="E1610">
        <v>62</v>
      </c>
      <c r="F1610">
        <v>19</v>
      </c>
      <c r="G1610">
        <v>3</v>
      </c>
      <c r="H1610" s="1">
        <v>1.5740740740740741E-3</v>
      </c>
      <c r="I1610">
        <v>2019</v>
      </c>
      <c r="J1610" t="s">
        <v>83</v>
      </c>
      <c r="K1610" s="2" t="str">
        <f>HYPERLINK("https://www.nba.com/stats/events?CFID=&amp;CFPARAMS=&amp;GameEventID=486&amp;GameID=0021900406&amp;Season=2019-20&amp;flag=1&amp;title=Leonard%2027'%203PT%20%20(19%20PTS)", "27' 3PT  (19 PTS)")</f>
        <v>27' 3PT  (19 PTS)</v>
      </c>
      <c r="L1610" s="2" t="str">
        <f>HYPERLINK("https://www.nba.com/game/...-vs-...-0021900406/play-by-play?watchFullGame=true", "LAC vs PHX - Q3 02:16.00")</f>
        <v>LAC vs PHX - Q3 02:16.00</v>
      </c>
      <c r="M1610">
        <v>27.23</v>
      </c>
      <c r="N1610">
        <v>82.57</v>
      </c>
      <c r="O1610">
        <v>99.2</v>
      </c>
      <c r="P1610">
        <v>246</v>
      </c>
      <c r="Q1610">
        <v>111</v>
      </c>
      <c r="R1610">
        <v>82</v>
      </c>
      <c r="S1610">
        <v>99</v>
      </c>
    </row>
    <row r="1611" spans="1:19" hidden="1" x14ac:dyDescent="0.25">
      <c r="A1611">
        <v>22000576</v>
      </c>
      <c r="B1611" t="s">
        <v>26</v>
      </c>
      <c r="C1611" t="s">
        <v>19</v>
      </c>
      <c r="D1611">
        <v>48</v>
      </c>
      <c r="E1611">
        <v>35</v>
      </c>
      <c r="F1611">
        <v>13</v>
      </c>
      <c r="G1611">
        <v>2</v>
      </c>
      <c r="H1611" s="1">
        <v>3.3564814814814816E-3</v>
      </c>
      <c r="I1611">
        <v>2020</v>
      </c>
      <c r="J1611" t="s">
        <v>83</v>
      </c>
      <c r="K1611" s="2" t="str">
        <f>HYPERLINK("https://www.nba.com/stats/events?CFID=&amp;CFPARAMS=&amp;GameEventID=263&amp;GameID=0022000576&amp;Season=2020-21&amp;flag=1&amp;title=Leonard%2025'%203PT%20%20(17%20PTS)%20(M.%20Morris%20Sr.%201%20AST)", "25' 3PT  (17 PTS) (M. Morris Sr. 1 AST)")</f>
        <v>25' 3PT  (17 PTS) (M. Morris Sr. 1 AST)</v>
      </c>
      <c r="L1611" s="2" t="str">
        <f>HYPERLINK("https://www.nba.com/game/...-vs-...-0022000576/play-by-play?watchFullGame=true", "LAC vs GSW - Q2 04:50.00")</f>
        <v>LAC vs GSW - Q2 04:50.00</v>
      </c>
      <c r="M1611">
        <v>25.05</v>
      </c>
      <c r="N1611">
        <v>83</v>
      </c>
      <c r="O1611">
        <v>4.7300000000000004</v>
      </c>
      <c r="P1611">
        <v>-226</v>
      </c>
      <c r="Q1611">
        <v>107</v>
      </c>
      <c r="R1611">
        <v>82</v>
      </c>
      <c r="S1611">
        <v>4</v>
      </c>
    </row>
    <row r="1612" spans="1:19" hidden="1" x14ac:dyDescent="0.25">
      <c r="A1612">
        <v>22200902</v>
      </c>
      <c r="B1612" t="s">
        <v>18</v>
      </c>
      <c r="C1612" t="s">
        <v>19</v>
      </c>
      <c r="D1612">
        <v>25</v>
      </c>
      <c r="E1612">
        <v>27</v>
      </c>
      <c r="F1612">
        <v>2</v>
      </c>
      <c r="G1612">
        <v>1</v>
      </c>
      <c r="H1612" s="1">
        <v>3.5416666666666665E-3</v>
      </c>
      <c r="I1612">
        <v>2022</v>
      </c>
      <c r="J1612" t="s">
        <v>83</v>
      </c>
      <c r="K1612" s="2" t="str">
        <f>HYPERLINK("https://www.nba.com/stats/events?CFID=&amp;CFPARAMS=&amp;GameEventID=84&amp;GameID=0022200902&amp;Season=2022-23&amp;flag=1&amp;title=Leonard%2018'%20Jump%20Shot%20(7%20PTS)", "18' Jump Shot (7 PTS)")</f>
        <v>18' Jump Shot (7 PTS)</v>
      </c>
      <c r="L1612" s="2" t="str">
        <f>HYPERLINK("https://www.nba.com/game/...-vs-...-0022200902/play-by-play?watchFullGame=true", "LAC vs SAC - Q1 05:06.00")</f>
        <v>LAC vs SAC - Q1 05:06.00</v>
      </c>
      <c r="M1612">
        <v>18.25</v>
      </c>
      <c r="N1612">
        <v>82.57</v>
      </c>
      <c r="O1612">
        <v>21.08</v>
      </c>
      <c r="P1612">
        <v>-145</v>
      </c>
      <c r="Q1612">
        <v>111</v>
      </c>
      <c r="R1612">
        <v>82</v>
      </c>
      <c r="S1612">
        <v>21</v>
      </c>
    </row>
    <row r="1613" spans="1:19" hidden="1" x14ac:dyDescent="0.25">
      <c r="A1613">
        <v>22200829</v>
      </c>
      <c r="B1613" t="s">
        <v>18</v>
      </c>
      <c r="C1613" t="s">
        <v>19</v>
      </c>
      <c r="D1613">
        <v>44</v>
      </c>
      <c r="E1613">
        <v>58</v>
      </c>
      <c r="F1613">
        <v>14</v>
      </c>
      <c r="G1613">
        <v>2</v>
      </c>
      <c r="H1613" s="1">
        <v>2.2685185185185187E-3</v>
      </c>
      <c r="I1613">
        <v>2022</v>
      </c>
      <c r="J1613" t="s">
        <v>83</v>
      </c>
      <c r="K1613" s="2" t="str">
        <f>HYPERLINK("https://www.nba.com/stats/events?CFID=&amp;CFPARAMS=&amp;GameEventID=279&amp;GameID=0022200829&amp;Season=2022-23&amp;flag=1&amp;title=Leonard%2015'%20pullup%20Jump%20Shot%20(2%20PTS)%20(P.%20George%202%20AST)", "15' pullup Jump Shot (2 PTS) (P. George 2 AST)")</f>
        <v>15' pullup Jump Shot (2 PTS) (P. George 2 AST)</v>
      </c>
      <c r="L1613" s="2" t="str">
        <f>HYPERLINK("https://www.nba.com/game/...-vs-...-0022200829/play-by-play?watchFullGame=true", "LAC vs DAL - Q2 03:16.00")</f>
        <v>LAC vs DAL - Q2 03:16.00</v>
      </c>
      <c r="M1613">
        <v>15.23</v>
      </c>
      <c r="N1613">
        <v>82.97</v>
      </c>
      <c r="O1613">
        <v>71.569999999999993</v>
      </c>
      <c r="P1613">
        <v>108</v>
      </c>
      <c r="Q1613">
        <v>108</v>
      </c>
      <c r="R1613">
        <v>82</v>
      </c>
      <c r="S1613">
        <v>71</v>
      </c>
    </row>
    <row r="1614" spans="1:19" hidden="1" x14ac:dyDescent="0.25">
      <c r="A1614">
        <v>22200701</v>
      </c>
      <c r="B1614" t="s">
        <v>18</v>
      </c>
      <c r="C1614" t="s">
        <v>19</v>
      </c>
      <c r="D1614">
        <v>9</v>
      </c>
      <c r="E1614">
        <v>16</v>
      </c>
      <c r="F1614">
        <v>7</v>
      </c>
      <c r="G1614">
        <v>1</v>
      </c>
      <c r="H1614" s="1">
        <v>3.8425925925925928E-3</v>
      </c>
      <c r="I1614">
        <v>2022</v>
      </c>
      <c r="J1614" t="s">
        <v>83</v>
      </c>
      <c r="K1614" s="2" t="str">
        <f>HYPERLINK("https://www.nba.com/stats/events?CFID=&amp;CFPARAMS=&amp;GameEventID=71&amp;GameID=0022200701&amp;Season=2022-23&amp;flag=1&amp;title=Leonard%2015'%20pullup%20Jump%20Shot%20(2%20PTS)", "15' pullup Jump Shot (2 PTS)")</f>
        <v>15' pullup Jump Shot (2 PTS)</v>
      </c>
      <c r="L1614" s="2" t="str">
        <f>HYPERLINK("https://www.nba.com/game/...-vs-...-0022200701/play-by-play?watchFullGame=true", "LAC vs DAL - Q1 05:32.00")</f>
        <v>LAC vs DAL - Q1 05:32.00</v>
      </c>
      <c r="M1614">
        <v>15.56</v>
      </c>
      <c r="N1614">
        <v>82.87</v>
      </c>
      <c r="O1614">
        <v>72.3</v>
      </c>
      <c r="P1614">
        <v>112</v>
      </c>
      <c r="Q1614">
        <v>109</v>
      </c>
      <c r="R1614">
        <v>82</v>
      </c>
      <c r="S1614">
        <v>72</v>
      </c>
    </row>
    <row r="1615" spans="1:19" hidden="1" x14ac:dyDescent="0.25">
      <c r="A1615">
        <v>21900035</v>
      </c>
      <c r="B1615" t="s">
        <v>18</v>
      </c>
      <c r="C1615" t="s">
        <v>84</v>
      </c>
      <c r="D1615">
        <v>98</v>
      </c>
      <c r="E1615">
        <v>105</v>
      </c>
      <c r="F1615">
        <v>7</v>
      </c>
      <c r="G1615">
        <v>4</v>
      </c>
      <c r="H1615" s="1">
        <v>5.1041666666666666E-3</v>
      </c>
      <c r="I1615">
        <v>2019</v>
      </c>
      <c r="J1615" t="s">
        <v>83</v>
      </c>
      <c r="K1615" s="2" t="str">
        <f>HYPERLINK("https://www.nba.com/stats/events?CFID=&amp;CFPARAMS=&amp;GameEventID=641&amp;GameID=0021900035&amp;Season=2019-20&amp;flag=1&amp;title=[LAC]%20Leonard%20jumpshot:%20Made%20(19%20PTS)", "[LAC] Leonard jumpshot: Made (19 PTS)")</f>
        <v>[LAC] Leonard jumpshot: Made (19 PTS)</v>
      </c>
      <c r="L1615" s="2" t="str">
        <f>HYPERLINK("https://www.nba.com/game/...-vs-...-0021900035/play-by-play?watchFullGame=true", "LAC vs PHX - Q4 07:21.00")</f>
        <v>LAC vs PHX - Q4 07:21.00</v>
      </c>
      <c r="M1615">
        <v>16.41</v>
      </c>
      <c r="N1615">
        <v>82.74</v>
      </c>
      <c r="O1615">
        <v>73.349999999999994</v>
      </c>
      <c r="P1615">
        <v>117</v>
      </c>
      <c r="Q1615">
        <v>110</v>
      </c>
      <c r="R1615">
        <v>82</v>
      </c>
      <c r="S1615">
        <v>73</v>
      </c>
    </row>
    <row r="1616" spans="1:19" hidden="1" x14ac:dyDescent="0.25">
      <c r="A1616">
        <v>22000701</v>
      </c>
      <c r="B1616" t="s">
        <v>18</v>
      </c>
      <c r="C1616" t="s">
        <v>19</v>
      </c>
      <c r="D1616">
        <v>113</v>
      </c>
      <c r="E1616">
        <v>97</v>
      </c>
      <c r="F1616">
        <v>16</v>
      </c>
      <c r="G1616">
        <v>4</v>
      </c>
      <c r="H1616" s="1">
        <v>4.3287037037037035E-3</v>
      </c>
      <c r="I1616">
        <v>2020</v>
      </c>
      <c r="J1616" t="s">
        <v>83</v>
      </c>
      <c r="K1616" s="2" t="str">
        <f>HYPERLINK("https://www.nba.com/stats/events?CFID=&amp;CFPARAMS=&amp;GameEventID=582&amp;GameID=0022000701&amp;Season=2020-21&amp;flag=1&amp;title=Leonard%2017'%20step%20back%20Jump%20Shot%20(26%20PTS)", "17' step back Jump Shot (26 PTS)")</f>
        <v>17' step back Jump Shot (26 PTS)</v>
      </c>
      <c r="L1616" s="2" t="str">
        <f>HYPERLINK("https://www.nba.com/game/...-vs-...-0022000701/play-by-play?watchFullGame=true", "LAC vs PHI - Q4 06:14.00")</f>
        <v>LAC vs PHI - Q4 06:14.00</v>
      </c>
      <c r="M1616">
        <v>17.170000000000002</v>
      </c>
      <c r="N1616">
        <v>82.44</v>
      </c>
      <c r="O1616">
        <v>75.91</v>
      </c>
      <c r="P1616">
        <v>130</v>
      </c>
      <c r="Q1616">
        <v>113</v>
      </c>
      <c r="R1616">
        <v>82</v>
      </c>
      <c r="S1616">
        <v>75</v>
      </c>
    </row>
    <row r="1617" spans="1:19" hidden="1" x14ac:dyDescent="0.25">
      <c r="A1617">
        <v>22300799</v>
      </c>
      <c r="B1617" t="s">
        <v>18</v>
      </c>
      <c r="C1617" t="s">
        <v>19</v>
      </c>
      <c r="D1617">
        <v>63</v>
      </c>
      <c r="E1617">
        <v>63</v>
      </c>
      <c r="F1617">
        <v>0</v>
      </c>
      <c r="G1617">
        <v>3</v>
      </c>
      <c r="H1617" s="1">
        <v>7.6041666666666671E-3</v>
      </c>
      <c r="I1617">
        <v>2023</v>
      </c>
      <c r="J1617" t="s">
        <v>83</v>
      </c>
      <c r="K1617" s="2" t="str">
        <f>HYPERLINK("https://www.nba.com/stats/events?CFID=&amp;CFPARAMS=&amp;GameEventID=327&amp;GameID=0022300799&amp;Season=2023-24&amp;flag=1&amp;title=Leonard%2017'%20Jump%20Shot%20(14%20PTS)%20(P.%20George%203%20AST)", "17' Jump Shot (14 PTS) (P. George 3 AST)")</f>
        <v>17' Jump Shot (14 PTS) (P. George 3 AST)</v>
      </c>
      <c r="L1617" s="2" t="str">
        <f>HYPERLINK("https://www.nba.com/game/...-vs-...-0022300799/play-by-play?watchFullGame=true", "LAC vs OKC - Q3 10:57.00")</f>
        <v>LAC vs OKC - Q3 10:57.00</v>
      </c>
      <c r="M1617">
        <v>17.23</v>
      </c>
      <c r="N1617">
        <v>83</v>
      </c>
      <c r="O1617">
        <v>76.959999999999994</v>
      </c>
      <c r="P1617">
        <v>135</v>
      </c>
      <c r="Q1617">
        <v>107</v>
      </c>
      <c r="R1617">
        <v>82</v>
      </c>
      <c r="S1617">
        <v>76</v>
      </c>
    </row>
    <row r="1618" spans="1:19" hidden="1" x14ac:dyDescent="0.25">
      <c r="A1618">
        <v>22300917</v>
      </c>
      <c r="B1618" t="s">
        <v>18</v>
      </c>
      <c r="C1618" t="s">
        <v>19</v>
      </c>
      <c r="D1618">
        <v>80</v>
      </c>
      <c r="E1618">
        <v>78</v>
      </c>
      <c r="F1618">
        <v>2</v>
      </c>
      <c r="G1618">
        <v>3</v>
      </c>
      <c r="H1618" s="1">
        <v>1.3310185185185185E-3</v>
      </c>
      <c r="I1618">
        <v>2023</v>
      </c>
      <c r="J1618" t="s">
        <v>83</v>
      </c>
      <c r="K1618" s="2" t="str">
        <f>HYPERLINK("https://www.nba.com/stats/events?CFID=&amp;CFPARAMS=&amp;GameEventID=449&amp;GameID=0022300917&amp;Season=2023-24&amp;flag=1&amp;title=Leonard%2020'%20pullup%20Jump%20Shot%20(13%20PTS)", "20' pullup Jump Shot (13 PTS)")</f>
        <v>20' pullup Jump Shot (13 PTS)</v>
      </c>
      <c r="L1618" s="2" t="str">
        <f>HYPERLINK("https://www.nba.com/game/...-vs-...-0022300917/play-by-play?watchFullGame=true", "LAC vs CHI - Q3 01:55.00")</f>
        <v>LAC vs CHI - Q3 01:55.00</v>
      </c>
      <c r="M1618">
        <v>20.94</v>
      </c>
      <c r="N1618">
        <v>82.84</v>
      </c>
      <c r="O1618">
        <v>85.78</v>
      </c>
      <c r="P1618">
        <v>179</v>
      </c>
      <c r="Q1618">
        <v>109</v>
      </c>
      <c r="R1618">
        <v>82</v>
      </c>
      <c r="S1618">
        <v>85</v>
      </c>
    </row>
    <row r="1619" spans="1:19" hidden="1" x14ac:dyDescent="0.25">
      <c r="A1619">
        <v>21900589</v>
      </c>
      <c r="B1619" t="s">
        <v>18</v>
      </c>
      <c r="C1619" t="s">
        <v>84</v>
      </c>
      <c r="D1619">
        <v>56</v>
      </c>
      <c r="E1619">
        <v>71</v>
      </c>
      <c r="F1619">
        <v>15</v>
      </c>
      <c r="G1619">
        <v>3</v>
      </c>
      <c r="H1619" s="1">
        <v>5.8564814814814816E-3</v>
      </c>
      <c r="I1619">
        <v>2019</v>
      </c>
      <c r="J1619" t="s">
        <v>83</v>
      </c>
      <c r="K1619" s="2" t="str">
        <f>HYPERLINK("https://www.nba.com/stats/events?CFID=&amp;CFPARAMS=&amp;GameEventID=369&amp;GameID=0021900589&amp;Season=2019-20&amp;flag=1&amp;title=Leonard%2014'%20jumpshot%20(19%20PTS)", "14' jumpshot (19 PTS)")</f>
        <v>14' jumpshot (19 PTS)</v>
      </c>
      <c r="L1619" s="2" t="str">
        <f>HYPERLINK("https://www.nba.com/game/...-vs-...-0021900589/play-by-play?watchFullGame=true", "LAC vs DEN - Q3 08:26.00")</f>
        <v>LAC vs DEN - Q3 08:26.00</v>
      </c>
      <c r="M1619">
        <v>14.24</v>
      </c>
      <c r="N1619">
        <v>82.87</v>
      </c>
      <c r="O1619">
        <v>32.909999999999997</v>
      </c>
      <c r="P1619">
        <v>-85</v>
      </c>
      <c r="Q1619">
        <v>109</v>
      </c>
      <c r="R1619">
        <v>82</v>
      </c>
      <c r="S1619">
        <v>32</v>
      </c>
    </row>
    <row r="1620" spans="1:19" hidden="1" x14ac:dyDescent="0.25">
      <c r="A1620">
        <v>22000756</v>
      </c>
      <c r="B1620" t="s">
        <v>18</v>
      </c>
      <c r="C1620" t="s">
        <v>19</v>
      </c>
      <c r="D1620">
        <v>53</v>
      </c>
      <c r="E1620">
        <v>33</v>
      </c>
      <c r="F1620">
        <v>20</v>
      </c>
      <c r="G1620">
        <v>2</v>
      </c>
      <c r="H1620" s="1">
        <v>1.0185185185185184E-3</v>
      </c>
      <c r="I1620">
        <v>2020</v>
      </c>
      <c r="J1620" t="s">
        <v>83</v>
      </c>
      <c r="K1620" s="2" t="str">
        <f>HYPERLINK("https://www.nba.com/stats/events?CFID=&amp;CFPARAMS=&amp;GameEventID=306&amp;GameID=0022000756&amp;Season=2020-21&amp;flag=1&amp;title=Leonard%2013'%20turnaround%20fadeaway%20Jump%20Shot%20(8%20PTS)", "13' turnaround fadeaway Jump Shot (8 PTS)")</f>
        <v>13' turnaround fadeaway Jump Shot (8 PTS)</v>
      </c>
      <c r="L1620" s="2" t="str">
        <f>HYPERLINK("https://www.nba.com/game/...-vs-...-0022000756/play-by-play?watchFullGame=true", "LAC vs LAL - Q2 01:28.00")</f>
        <v>LAC vs LAL - Q2 01:28.00</v>
      </c>
      <c r="M1620">
        <v>13.57</v>
      </c>
      <c r="N1620">
        <v>82.21</v>
      </c>
      <c r="O1620">
        <v>64.53</v>
      </c>
      <c r="P1620">
        <v>73</v>
      </c>
      <c r="Q1620">
        <v>115</v>
      </c>
      <c r="R1620">
        <v>82</v>
      </c>
      <c r="S1620">
        <v>64</v>
      </c>
    </row>
    <row r="1621" spans="1:19" hidden="1" x14ac:dyDescent="0.25">
      <c r="A1621">
        <v>21900068</v>
      </c>
      <c r="B1621" t="s">
        <v>18</v>
      </c>
      <c r="C1621" t="s">
        <v>84</v>
      </c>
      <c r="D1621">
        <v>97</v>
      </c>
      <c r="E1621">
        <v>87</v>
      </c>
      <c r="F1621">
        <v>10</v>
      </c>
      <c r="G1621">
        <v>4</v>
      </c>
      <c r="H1621" s="1">
        <v>2.662037037037037E-3</v>
      </c>
      <c r="I1621">
        <v>2019</v>
      </c>
      <c r="J1621" t="s">
        <v>83</v>
      </c>
      <c r="K1621" s="2" t="str">
        <f>HYPERLINK("https://www.nba.com/stats/events?CFID=&amp;CFPARAMS=&amp;GameEventID=633&amp;GameID=0021900068&amp;Season=2019-20&amp;flag=1&amp;title=[LAC]%20Leonard%20jumpshot:%20Made%20(38%20PTS)", "[LAC] Leonard jumpshot: Made (38 PTS)")</f>
        <v>[LAC] Leonard jumpshot: Made (38 PTS)</v>
      </c>
      <c r="L1621" s="2" t="str">
        <f>HYPERLINK("https://www.nba.com/game/...-vs-...-0021900068/play-by-play?watchFullGame=true", "LAC vs SAS - Q4 03:50.00")</f>
        <v>LAC vs SAS - Q4 03:50.00</v>
      </c>
      <c r="M1621">
        <v>13.14</v>
      </c>
      <c r="N1621">
        <v>82.18</v>
      </c>
      <c r="O1621">
        <v>60.47</v>
      </c>
      <c r="P1621">
        <v>52</v>
      </c>
      <c r="Q1621">
        <v>115</v>
      </c>
      <c r="R1621">
        <v>82</v>
      </c>
      <c r="S1621">
        <v>60</v>
      </c>
    </row>
    <row r="1622" spans="1:19" hidden="1" x14ac:dyDescent="0.25">
      <c r="A1622">
        <v>21900653</v>
      </c>
      <c r="B1622" t="s">
        <v>18</v>
      </c>
      <c r="C1622" t="s">
        <v>84</v>
      </c>
      <c r="D1622">
        <v>67</v>
      </c>
      <c r="E1622">
        <v>56</v>
      </c>
      <c r="F1622">
        <v>11</v>
      </c>
      <c r="G1622">
        <v>3</v>
      </c>
      <c r="H1622" s="1">
        <v>6.3541666666666668E-3</v>
      </c>
      <c r="I1622">
        <v>2019</v>
      </c>
      <c r="J1622" t="s">
        <v>83</v>
      </c>
      <c r="K1622" s="2" t="str">
        <f>HYPERLINK("https://www.nba.com/stats/events?CFID=&amp;CFPARAMS=&amp;GameEventID=419&amp;GameID=0021900653&amp;Season=2019-20&amp;flag=1&amp;title=Leonard%2013'%20jumpshot%20(21%20PTS)", "13' jumpshot (21 PTS)")</f>
        <v>13' jumpshot (21 PTS)</v>
      </c>
      <c r="L1622" s="2" t="str">
        <f>HYPERLINK("https://www.nba.com/game/...-vs-...-0021900653/play-by-play?watchFullGame=true", "LAC vs DAL - Q3 09:09.00")</f>
        <v>LAC vs DAL - Q3 09:09.00</v>
      </c>
      <c r="M1622">
        <v>13.11</v>
      </c>
      <c r="N1622">
        <v>82.21</v>
      </c>
      <c r="O1622">
        <v>39.53</v>
      </c>
      <c r="P1622">
        <v>-52</v>
      </c>
      <c r="Q1622">
        <v>115</v>
      </c>
      <c r="R1622">
        <v>82</v>
      </c>
      <c r="S1622">
        <v>39</v>
      </c>
    </row>
    <row r="1623" spans="1:19" hidden="1" x14ac:dyDescent="0.25">
      <c r="A1623">
        <v>22200784</v>
      </c>
      <c r="B1623" t="s">
        <v>18</v>
      </c>
      <c r="C1623" t="s">
        <v>19</v>
      </c>
      <c r="D1623">
        <v>105</v>
      </c>
      <c r="E1623">
        <v>99</v>
      </c>
      <c r="F1623">
        <v>6</v>
      </c>
      <c r="G1623">
        <v>4</v>
      </c>
      <c r="H1623" s="1">
        <v>2.685185185185185E-3</v>
      </c>
      <c r="I1623">
        <v>2022</v>
      </c>
      <c r="J1623" t="s">
        <v>83</v>
      </c>
      <c r="K1623" s="2" t="str">
        <f>HYPERLINK("https://www.nba.com/stats/events?CFID=&amp;CFPARAMS=&amp;GameEventID=596&amp;GameID=0022200784&amp;Season=2022-23&amp;flag=1&amp;title=Leonard%2013'%20floating%20Jump%20Shot%20(17%20PTS)", "13' floating Jump Shot (17 PTS)")</f>
        <v>13' floating Jump Shot (17 PTS)</v>
      </c>
      <c r="L1623" s="2" t="str">
        <f>HYPERLINK("https://www.nba.com/game/...-vs-...-0022200784/play-by-play?watchFullGame=true", "LAC vs MIL - Q4 03:52.00")</f>
        <v>LAC vs MIL - Q4 03:52.00</v>
      </c>
      <c r="M1623">
        <v>13.08</v>
      </c>
      <c r="N1623">
        <v>82.34</v>
      </c>
      <c r="O1623">
        <v>37.01</v>
      </c>
      <c r="P1623">
        <v>-65</v>
      </c>
      <c r="Q1623">
        <v>113</v>
      </c>
      <c r="R1623">
        <v>82</v>
      </c>
      <c r="S1623">
        <v>37</v>
      </c>
    </row>
    <row r="1624" spans="1:19" hidden="1" x14ac:dyDescent="0.25">
      <c r="A1624">
        <v>42000173</v>
      </c>
      <c r="B1624" t="s">
        <v>18</v>
      </c>
      <c r="C1624" t="s">
        <v>19</v>
      </c>
      <c r="D1624">
        <v>38</v>
      </c>
      <c r="E1624">
        <v>40</v>
      </c>
      <c r="F1624">
        <v>2</v>
      </c>
      <c r="G1624">
        <v>2</v>
      </c>
      <c r="H1624" s="1">
        <v>7.3032407407407404E-3</v>
      </c>
      <c r="I1624" t="s">
        <v>91</v>
      </c>
      <c r="J1624" t="s">
        <v>83</v>
      </c>
      <c r="K1624" s="2" t="str">
        <f>HYPERLINK("https://www.nba.com/stats/events?CFID=&amp;CFPARAMS=&amp;GameEventID=161&amp;GameID=0042000173&amp;Season=2020-21&amp;flag=1&amp;title=Leonard%2013'%20pullup%20Jump%20Shot%20(14%20PTS)%20(R.%20Rondo%203%20AST)", "13' pullup Jump Shot (14 PTS) (R. Rondo 3 AST)")</f>
        <v>13' pullup Jump Shot (14 PTS) (R. Rondo 3 AST)</v>
      </c>
      <c r="L1624" s="2" t="str">
        <f>HYPERLINK("https://www.nba.com/game/...-vs-...-0042000173/play-by-play?watchFullGame=true", "LAC vs DAL - Q2 10:31.00")</f>
        <v>LAC vs DAL - Q2 10:31.00</v>
      </c>
      <c r="M1624">
        <v>13.04</v>
      </c>
      <c r="N1624">
        <v>82.47</v>
      </c>
      <c r="O1624">
        <v>63.3</v>
      </c>
      <c r="P1624">
        <v>82</v>
      </c>
      <c r="Q1624">
        <v>63</v>
      </c>
      <c r="R1624">
        <v>82</v>
      </c>
      <c r="S1624">
        <v>63</v>
      </c>
    </row>
    <row r="1625" spans="1:19" hidden="1" x14ac:dyDescent="0.25">
      <c r="A1625">
        <v>22301017</v>
      </c>
      <c r="B1625" t="s">
        <v>18</v>
      </c>
      <c r="C1625" t="s">
        <v>19</v>
      </c>
      <c r="D1625">
        <v>22</v>
      </c>
      <c r="E1625">
        <v>11</v>
      </c>
      <c r="F1625">
        <v>11</v>
      </c>
      <c r="G1625">
        <v>1</v>
      </c>
      <c r="H1625" s="1">
        <v>3.7962962962962963E-3</v>
      </c>
      <c r="I1625">
        <v>2023</v>
      </c>
      <c r="J1625" t="s">
        <v>83</v>
      </c>
      <c r="K1625" s="2" t="str">
        <f>HYPERLINK("https://www.nba.com/stats/events?CFID=&amp;CFPARAMS=&amp;GameEventID=86&amp;GameID=0022301017&amp;Season=2023-24&amp;flag=1&amp;title=Leonard%2013'%20pullup%20Jump%20Shot%20(8%20PTS)", "13' pullup Jump Shot (8 PTS)")</f>
        <v>13' pullup Jump Shot (8 PTS)</v>
      </c>
      <c r="L1625" s="2" t="str">
        <f>HYPERLINK("https://www.nba.com/game/...-vs-...-0022301017/play-by-play?watchFullGame=true", "LAC vs POR - Q1 05:28.00")</f>
        <v>LAC vs POR - Q1 05:28.00</v>
      </c>
      <c r="M1625">
        <v>13.01</v>
      </c>
      <c r="N1625">
        <v>83</v>
      </c>
      <c r="O1625">
        <v>35.29</v>
      </c>
      <c r="P1625">
        <v>-74</v>
      </c>
      <c r="Q1625">
        <v>107</v>
      </c>
      <c r="R1625">
        <v>82</v>
      </c>
      <c r="S1625">
        <v>35</v>
      </c>
    </row>
    <row r="1626" spans="1:19" hidden="1" x14ac:dyDescent="0.25">
      <c r="A1626">
        <v>22300014</v>
      </c>
      <c r="B1626" t="s">
        <v>18</v>
      </c>
      <c r="C1626" t="s">
        <v>19</v>
      </c>
      <c r="D1626">
        <v>16</v>
      </c>
      <c r="E1626">
        <v>15</v>
      </c>
      <c r="F1626">
        <v>1</v>
      </c>
      <c r="G1626">
        <v>1</v>
      </c>
      <c r="H1626" s="1">
        <v>3.7499999999999999E-3</v>
      </c>
      <c r="I1626">
        <v>2023</v>
      </c>
      <c r="J1626" t="s">
        <v>83</v>
      </c>
      <c r="K1626" s="2" t="str">
        <f>HYPERLINK("https://www.nba.com/stats/events?CFID=&amp;CFPARAMS=&amp;GameEventID=79&amp;GameID=0022300014&amp;Season=2023-24&amp;flag=1&amp;title=Leonard%2012'%20pullup%20Jump%20Shot%20(9%20PTS)", "12' pullup Jump Shot (9 PTS)")</f>
        <v>12' pullup Jump Shot (9 PTS)</v>
      </c>
      <c r="L1626" s="2" t="str">
        <f>HYPERLINK("https://www.nba.com/game/...-vs-...-0022300014/play-by-play?watchFullGame=true", "LAC vs DAL - Q1 05:24.00")</f>
        <v>LAC vs DAL - Q1 05:24.00</v>
      </c>
      <c r="M1626">
        <v>12.78</v>
      </c>
      <c r="N1626">
        <v>82.34</v>
      </c>
      <c r="O1626">
        <v>61.76</v>
      </c>
      <c r="P1626">
        <v>59</v>
      </c>
      <c r="Q1626">
        <v>113</v>
      </c>
      <c r="R1626">
        <v>82</v>
      </c>
      <c r="S1626">
        <v>61</v>
      </c>
    </row>
    <row r="1627" spans="1:19" hidden="1" x14ac:dyDescent="0.25">
      <c r="A1627">
        <v>21901258</v>
      </c>
      <c r="B1627" t="s">
        <v>18</v>
      </c>
      <c r="C1627" t="s">
        <v>84</v>
      </c>
      <c r="D1627">
        <v>113</v>
      </c>
      <c r="E1627">
        <v>113</v>
      </c>
      <c r="F1627">
        <v>0</v>
      </c>
      <c r="G1627">
        <v>4</v>
      </c>
      <c r="H1627" s="1">
        <v>9.7222222222222219E-4</v>
      </c>
      <c r="I1627">
        <v>2019</v>
      </c>
      <c r="J1627" t="s">
        <v>83</v>
      </c>
      <c r="K1627" s="2" t="str">
        <f>HYPERLINK("https://www.nba.com/stats/events?CFID=&amp;CFPARAMS=&amp;GameEventID=586&amp;GameID=0021901258&amp;Season=2019-20&amp;flag=1&amp;title=Leonard%2013'%20jumpshot%20(25%20PTS)", "13' jumpshot (25 PTS)")</f>
        <v>13' jumpshot (25 PTS)</v>
      </c>
      <c r="L1627" s="2" t="str">
        <f>HYPERLINK("https://www.nba.com/game/...-vs-...-0021901258/play-by-play?watchFullGame=true", "LAC vs PHX - Q4 01:24.00")</f>
        <v>LAC vs PHX - Q4 01:24.00</v>
      </c>
      <c r="M1627">
        <v>12.58</v>
      </c>
      <c r="N1627">
        <v>82.08</v>
      </c>
      <c r="O1627">
        <v>43.45</v>
      </c>
      <c r="P1627">
        <v>-33</v>
      </c>
      <c r="Q1627">
        <v>116</v>
      </c>
      <c r="R1627">
        <v>82</v>
      </c>
      <c r="S1627">
        <v>43</v>
      </c>
    </row>
    <row r="1628" spans="1:19" hidden="1" x14ac:dyDescent="0.25">
      <c r="A1628">
        <v>22000472</v>
      </c>
      <c r="B1628" t="s">
        <v>18</v>
      </c>
      <c r="C1628" t="s">
        <v>19</v>
      </c>
      <c r="D1628">
        <v>48</v>
      </c>
      <c r="E1628">
        <v>52</v>
      </c>
      <c r="F1628">
        <v>4</v>
      </c>
      <c r="G1628">
        <v>2</v>
      </c>
      <c r="H1628" s="1">
        <v>1.6550925925925926E-3</v>
      </c>
      <c r="I1628">
        <v>2020</v>
      </c>
      <c r="J1628" t="s">
        <v>83</v>
      </c>
      <c r="K1628" s="2" t="str">
        <f>HYPERLINK("https://www.nba.com/stats/events?CFID=&amp;CFPARAMS=&amp;GameEventID=280&amp;GameID=0022000472&amp;Season=2020-21&amp;flag=1&amp;title=Leonard%2012'%20pullup%20Jump%20Shot%20(18%20PTS)", "12' pullup Jump Shot (18 PTS)")</f>
        <v>12' pullup Jump Shot (18 PTS)</v>
      </c>
      <c r="L1628" s="2" t="str">
        <f>HYPERLINK("https://www.nba.com/game/...-vs-...-0022000472/play-by-play?watchFullGame=true", "LAC vs BKN - Q2 02:23.00")</f>
        <v>LAC vs BKN - Q2 02:23.00</v>
      </c>
      <c r="M1628">
        <v>12.58</v>
      </c>
      <c r="N1628">
        <v>82.61</v>
      </c>
      <c r="O1628">
        <v>61.83</v>
      </c>
      <c r="P1628">
        <v>59</v>
      </c>
      <c r="Q1628">
        <v>111</v>
      </c>
      <c r="R1628">
        <v>82</v>
      </c>
      <c r="S1628">
        <v>61</v>
      </c>
    </row>
    <row r="1629" spans="1:19" hidden="1" x14ac:dyDescent="0.25">
      <c r="A1629">
        <v>22301215</v>
      </c>
      <c r="B1629" t="s">
        <v>18</v>
      </c>
      <c r="C1629" t="s">
        <v>19</v>
      </c>
      <c r="D1629">
        <v>19</v>
      </c>
      <c r="E1629">
        <v>31</v>
      </c>
      <c r="F1629">
        <v>12</v>
      </c>
      <c r="G1629">
        <v>1</v>
      </c>
      <c r="H1629" s="1">
        <v>1.7939814814814815E-3</v>
      </c>
      <c r="I1629">
        <v>2023</v>
      </c>
      <c r="J1629" t="s">
        <v>83</v>
      </c>
      <c r="K1629" s="2" t="str">
        <f>HYPERLINK("https://www.nba.com/stats/events?CFID=&amp;CFPARAMS=&amp;GameEventID=112&amp;GameID=0022301215&amp;Season=2023-24&amp;flag=1&amp;title=Leonard%2012'%20pullup%20Jump%20Shot%20(6%20PTS)%20(N.%20Powell%201%20AST)", "12' pullup Jump Shot (6 PTS) (N. Powell 1 AST)")</f>
        <v>12' pullup Jump Shot (6 PTS) (N. Powell 1 AST)</v>
      </c>
      <c r="L1629" s="2" t="str">
        <f>HYPERLINK("https://www.nba.com/game/...-vs-...-0022301215/play-by-play?watchFullGame=true", "LAC vs DEN - Q1 02:35.00")</f>
        <v>LAC vs DEN - Q1 02:35.00</v>
      </c>
      <c r="M1629">
        <v>12.48</v>
      </c>
      <c r="N1629">
        <v>82.05</v>
      </c>
      <c r="O1629">
        <v>40.93</v>
      </c>
      <c r="P1629">
        <v>-45</v>
      </c>
      <c r="Q1629">
        <v>116</v>
      </c>
      <c r="R1629">
        <v>82</v>
      </c>
      <c r="S1629">
        <v>40</v>
      </c>
    </row>
    <row r="1630" spans="1:19" hidden="1" x14ac:dyDescent="0.25">
      <c r="A1630">
        <v>22300827</v>
      </c>
      <c r="B1630" t="s">
        <v>18</v>
      </c>
      <c r="C1630" t="s">
        <v>19</v>
      </c>
      <c r="D1630">
        <v>24</v>
      </c>
      <c r="E1630">
        <v>22</v>
      </c>
      <c r="F1630">
        <v>2</v>
      </c>
      <c r="G1630">
        <v>1</v>
      </c>
      <c r="H1630" s="1">
        <v>1.5046296296296296E-3</v>
      </c>
      <c r="I1630">
        <v>2023</v>
      </c>
      <c r="J1630" t="s">
        <v>83</v>
      </c>
      <c r="K1630" s="2" t="str">
        <f>HYPERLINK("https://www.nba.com/stats/events?CFID=&amp;CFPARAMS=&amp;GameEventID=126&amp;GameID=0022300827&amp;Season=2023-24&amp;flag=1&amp;title=Leonard%2012'%20turnaround%20fadeaway%20Jump%20Shot%20(6%20PTS)", "12' turnaround fadeaway Jump Shot (6 PTS)")</f>
        <v>12' turnaround fadeaway Jump Shot (6 PTS)</v>
      </c>
      <c r="L1630" s="2" t="str">
        <f>HYPERLINK("https://www.nba.com/game/...-vs-...-0022300827/play-by-play?watchFullGame=true", "LAC vs SAC - Q1 02:10.00")</f>
        <v>LAC vs SAC - Q1 02:10.00</v>
      </c>
      <c r="M1630">
        <v>12.4</v>
      </c>
      <c r="N1630">
        <v>82.05</v>
      </c>
      <c r="O1630">
        <v>41.42</v>
      </c>
      <c r="P1630">
        <v>-43</v>
      </c>
      <c r="Q1630">
        <v>116</v>
      </c>
      <c r="R1630">
        <v>82</v>
      </c>
      <c r="S1630">
        <v>41</v>
      </c>
    </row>
    <row r="1631" spans="1:19" hidden="1" x14ac:dyDescent="0.25">
      <c r="A1631">
        <v>22300982</v>
      </c>
      <c r="B1631" t="s">
        <v>18</v>
      </c>
      <c r="C1631" t="s">
        <v>19</v>
      </c>
      <c r="D1631">
        <v>22</v>
      </c>
      <c r="E1631">
        <v>24</v>
      </c>
      <c r="F1631">
        <v>2</v>
      </c>
      <c r="G1631">
        <v>1</v>
      </c>
      <c r="H1631" s="1">
        <v>2.1180555555555558E-3</v>
      </c>
      <c r="I1631">
        <v>2023</v>
      </c>
      <c r="J1631" t="s">
        <v>83</v>
      </c>
      <c r="K1631" s="2" t="str">
        <f>HYPERLINK("https://www.nba.com/stats/events?CFID=&amp;CFPARAMS=&amp;GameEventID=116&amp;GameID=0022300982&amp;Season=2023-24&amp;flag=1&amp;title=Leonard%2012'%20pullup%20Jump%20Shot%20(13%20PTS)", "12' pullup Jump Shot (13 PTS)")</f>
        <v>12' pullup Jump Shot (13 PTS)</v>
      </c>
      <c r="L1631" s="2" t="str">
        <f>HYPERLINK("https://www.nba.com/game/...-vs-...-0022300982/play-by-play?watchFullGame=true", "LAC vs ATL - Q1 03:03.00")</f>
        <v>LAC vs ATL - Q1 03:03.00</v>
      </c>
      <c r="M1631">
        <v>12.31</v>
      </c>
      <c r="N1631">
        <v>82.57</v>
      </c>
      <c r="O1631">
        <v>60.54</v>
      </c>
      <c r="P1631">
        <v>53</v>
      </c>
      <c r="Q1631">
        <v>111</v>
      </c>
      <c r="R1631">
        <v>82</v>
      </c>
      <c r="S1631">
        <v>60</v>
      </c>
    </row>
    <row r="1632" spans="1:19" hidden="1" x14ac:dyDescent="0.25">
      <c r="A1632">
        <v>22300350</v>
      </c>
      <c r="B1632" t="s">
        <v>18</v>
      </c>
      <c r="C1632" t="s">
        <v>19</v>
      </c>
      <c r="D1632">
        <v>16</v>
      </c>
      <c r="E1632">
        <v>14</v>
      </c>
      <c r="F1632">
        <v>2</v>
      </c>
      <c r="G1632">
        <v>1</v>
      </c>
      <c r="H1632" s="1">
        <v>4.6990740740740743E-3</v>
      </c>
      <c r="I1632">
        <v>2023</v>
      </c>
      <c r="J1632" t="s">
        <v>83</v>
      </c>
      <c r="K1632" s="2" t="str">
        <f>HYPERLINK("https://www.nba.com/stats/events?CFID=&amp;CFPARAMS=&amp;GameEventID=66&amp;GameID=0022300350&amp;Season=2023-24&amp;flag=1&amp;title=Leonard%2012'%20fadeaway%20Jump%20Shot%20(6%20PTS)%20(P.%20George%202%20AST)", "12' fadeaway Jump Shot (6 PTS) (P. George 2 AST)")</f>
        <v>12' fadeaway Jump Shot (6 PTS) (P. George 2 AST)</v>
      </c>
      <c r="L1632" s="2" t="str">
        <f>HYPERLINK("https://www.nba.com/game/...-vs-...-0022300350/play-by-play?watchFullGame=true", "LAC vs IND - Q1 06:46.00")</f>
        <v>LAC vs IND - Q1 06:46.00</v>
      </c>
      <c r="M1632">
        <v>12.16</v>
      </c>
      <c r="N1632">
        <v>82.21</v>
      </c>
      <c r="O1632">
        <v>41.91</v>
      </c>
      <c r="P1632">
        <v>-40</v>
      </c>
      <c r="Q1632">
        <v>115</v>
      </c>
      <c r="R1632">
        <v>82</v>
      </c>
      <c r="S1632">
        <v>41</v>
      </c>
    </row>
    <row r="1633" spans="1:19" hidden="1" x14ac:dyDescent="0.25">
      <c r="A1633">
        <v>22200649</v>
      </c>
      <c r="B1633" t="s">
        <v>18</v>
      </c>
      <c r="C1633" t="s">
        <v>19</v>
      </c>
      <c r="D1633">
        <v>11</v>
      </c>
      <c r="E1633">
        <v>14</v>
      </c>
      <c r="F1633">
        <v>3</v>
      </c>
      <c r="G1633">
        <v>1</v>
      </c>
      <c r="H1633" s="1">
        <v>4.8148148148148152E-3</v>
      </c>
      <c r="I1633">
        <v>2022</v>
      </c>
      <c r="J1633" t="s">
        <v>83</v>
      </c>
      <c r="K1633" s="2" t="str">
        <f>HYPERLINK("https://www.nba.com/stats/events?CFID=&amp;CFPARAMS=&amp;GameEventID=53&amp;GameID=0022200649&amp;Season=2022-23&amp;flag=1&amp;title=Leonard%2011'%20pullup%20Jump%20Shot%20(4%20PTS)%20(T.%20Mann%201%20AST)", "11' pullup Jump Shot (4 PTS) (T. Mann 1 AST)")</f>
        <v>11' pullup Jump Shot (4 PTS) (T. Mann 1 AST)</v>
      </c>
      <c r="L1633" s="2" t="str">
        <f>HYPERLINK("https://www.nba.com/game/...-vs-...-0022200649/play-by-play?watchFullGame=true", "LAC vs HOU - Q1 06:56.00")</f>
        <v>LAC vs HOU - Q1 06:56.00</v>
      </c>
      <c r="M1633">
        <v>11.96</v>
      </c>
      <c r="N1633">
        <v>82.31</v>
      </c>
      <c r="O1633">
        <v>57.35</v>
      </c>
      <c r="P1633">
        <v>37</v>
      </c>
      <c r="Q1633">
        <v>114</v>
      </c>
      <c r="R1633">
        <v>82</v>
      </c>
      <c r="S1633">
        <v>57</v>
      </c>
    </row>
    <row r="1634" spans="1:19" hidden="1" x14ac:dyDescent="0.25">
      <c r="A1634">
        <v>21900626</v>
      </c>
      <c r="B1634" t="s">
        <v>18</v>
      </c>
      <c r="C1634" t="s">
        <v>84</v>
      </c>
      <c r="D1634">
        <v>78</v>
      </c>
      <c r="E1634">
        <v>88</v>
      </c>
      <c r="F1634">
        <v>10</v>
      </c>
      <c r="G1634">
        <v>3</v>
      </c>
      <c r="H1634" s="1">
        <v>6.099537037037037E-3</v>
      </c>
      <c r="I1634">
        <v>2019</v>
      </c>
      <c r="J1634" t="s">
        <v>83</v>
      </c>
      <c r="K1634" s="2" t="str">
        <f>HYPERLINK("https://www.nba.com/stats/events?CFID=&amp;CFPARAMS=&amp;GameEventID=428&amp;GameID=0021900626&amp;Season=2019-20&amp;flag=1&amp;title=Leonard%2012'%20jumpshot%20(25%20PTS)", "12' jumpshot (25 PTS)")</f>
        <v>12' jumpshot (25 PTS)</v>
      </c>
      <c r="L1634" s="2" t="str">
        <f>HYPERLINK("https://www.nba.com/game/...-vs-...-0021900626/play-by-play?watchFullGame=true", "LAC vs NOP - Q3 08:47.00")</f>
        <v>LAC vs NOP - Q3 08:47.00</v>
      </c>
      <c r="M1634">
        <v>11.94</v>
      </c>
      <c r="N1634">
        <v>82.34</v>
      </c>
      <c r="O1634">
        <v>48.11</v>
      </c>
      <c r="P1634">
        <v>-9</v>
      </c>
      <c r="Q1634">
        <v>113</v>
      </c>
      <c r="R1634">
        <v>82</v>
      </c>
      <c r="S1634">
        <v>48</v>
      </c>
    </row>
    <row r="1635" spans="1:19" hidden="1" x14ac:dyDescent="0.25">
      <c r="A1635">
        <v>22000002</v>
      </c>
      <c r="B1635" t="s">
        <v>18</v>
      </c>
      <c r="C1635" t="s">
        <v>19</v>
      </c>
      <c r="D1635">
        <v>63</v>
      </c>
      <c r="E1635">
        <v>56</v>
      </c>
      <c r="F1635">
        <v>7</v>
      </c>
      <c r="G1635">
        <v>3</v>
      </c>
      <c r="H1635" s="1">
        <v>7.3263888888888892E-3</v>
      </c>
      <c r="I1635">
        <v>2020</v>
      </c>
      <c r="J1635" t="s">
        <v>83</v>
      </c>
      <c r="K1635" s="2" t="str">
        <f>HYPERLINK("https://www.nba.com/stats/events?CFID=&amp;CFPARAMS=&amp;GameEventID=391&amp;GameID=0022000002&amp;Season=2020-21&amp;flag=1&amp;title=Leonard%2011'%20turnaround%20Jump%20Shot%20(15%20PTS)%20(N.%20Batum%203%20AST)", "11' turnaround Jump Shot (15 PTS) (N. Batum 3 AST)")</f>
        <v>11' turnaround Jump Shot (15 PTS) (N. Batum 3 AST)</v>
      </c>
      <c r="L1635" s="2" t="str">
        <f>HYPERLINK("https://www.nba.com/game/...-vs-...-0022000002/play-by-play?watchFullGame=true", "LAC vs LAL - Q3 10:33.00")</f>
        <v>LAC vs LAL - Q3 10:33.00</v>
      </c>
      <c r="M1635">
        <v>11.94</v>
      </c>
      <c r="N1635">
        <v>82.08</v>
      </c>
      <c r="O1635">
        <v>55.71</v>
      </c>
      <c r="P1635">
        <v>29</v>
      </c>
      <c r="Q1635">
        <v>116</v>
      </c>
      <c r="R1635">
        <v>82</v>
      </c>
      <c r="S1635">
        <v>55</v>
      </c>
    </row>
    <row r="1636" spans="1:19" hidden="1" x14ac:dyDescent="0.25">
      <c r="A1636">
        <v>22300658</v>
      </c>
      <c r="B1636" t="s">
        <v>18</v>
      </c>
      <c r="C1636" t="s">
        <v>19</v>
      </c>
      <c r="D1636">
        <v>12</v>
      </c>
      <c r="E1636">
        <v>13</v>
      </c>
      <c r="F1636">
        <v>1</v>
      </c>
      <c r="G1636">
        <v>1</v>
      </c>
      <c r="H1636" s="1">
        <v>3.9236111111111112E-3</v>
      </c>
      <c r="I1636">
        <v>2023</v>
      </c>
      <c r="J1636" t="s">
        <v>83</v>
      </c>
      <c r="K1636" s="2" t="str">
        <f>HYPERLINK("https://www.nba.com/stats/events?CFID=&amp;CFPARAMS=&amp;GameEventID=80&amp;GameID=0022300658&amp;Season=2023-24&amp;flag=1&amp;title=Leonard%2011'%20turnaround%20fadeaway%20Jump%20Shot%20(6%20PTS)%20(R.%20Westbrook%201%20AST)", "11' turnaround fadeaway Jump Shot (6 PTS) (R. Westbrook 1 AST)")</f>
        <v>11' turnaround fadeaway Jump Shot (6 PTS) (R. Westbrook 1 AST)</v>
      </c>
      <c r="L1636" s="2" t="str">
        <f>HYPERLINK("https://www.nba.com/game/...-vs-...-0022300658/play-by-play?watchFullGame=true", "LAC vs CLE - Q1 05:39.00")</f>
        <v>LAC vs CLE - Q1 05:39.00</v>
      </c>
      <c r="M1636">
        <v>11.88</v>
      </c>
      <c r="N1636">
        <v>82.74</v>
      </c>
      <c r="O1636">
        <v>59.07</v>
      </c>
      <c r="P1636">
        <v>45</v>
      </c>
      <c r="Q1636">
        <v>110</v>
      </c>
      <c r="R1636">
        <v>82</v>
      </c>
      <c r="S1636">
        <v>59</v>
      </c>
    </row>
    <row r="1637" spans="1:19" hidden="1" x14ac:dyDescent="0.25">
      <c r="A1637">
        <v>22300372</v>
      </c>
      <c r="B1637" t="s">
        <v>18</v>
      </c>
      <c r="C1637" t="s">
        <v>19</v>
      </c>
      <c r="D1637">
        <v>20</v>
      </c>
      <c r="E1637">
        <v>12</v>
      </c>
      <c r="F1637">
        <v>8</v>
      </c>
      <c r="G1637">
        <v>1</v>
      </c>
      <c r="H1637" s="1">
        <v>3.3217592592592591E-3</v>
      </c>
      <c r="I1637">
        <v>2023</v>
      </c>
      <c r="J1637" t="s">
        <v>83</v>
      </c>
      <c r="K1637" s="2" t="str">
        <f>HYPERLINK("https://www.nba.com/stats/events?CFID=&amp;CFPARAMS=&amp;GameEventID=90&amp;GameID=0022300372&amp;Season=2023-24&amp;flag=1&amp;title=Leonard%2011'%20fadeaway%20Jump%20Shot%20(7%20PTS)", "11' fadeaway Jump Shot (7 PTS)")</f>
        <v>11' fadeaway Jump Shot (7 PTS)</v>
      </c>
      <c r="L1637" s="2" t="str">
        <f>HYPERLINK("https://www.nba.com/game/...-vs-...-0022300372/play-by-play?watchFullGame=true", "LAC vs DAL - Q1 04:47.00")</f>
        <v>LAC vs DAL - Q1 04:47.00</v>
      </c>
      <c r="M1637">
        <v>11.87</v>
      </c>
      <c r="N1637">
        <v>82.21</v>
      </c>
      <c r="O1637">
        <v>43.87</v>
      </c>
      <c r="P1637">
        <v>-31</v>
      </c>
      <c r="Q1637">
        <v>115</v>
      </c>
      <c r="R1637">
        <v>82</v>
      </c>
      <c r="S1637">
        <v>43</v>
      </c>
    </row>
    <row r="1638" spans="1:19" hidden="1" x14ac:dyDescent="0.25">
      <c r="A1638">
        <v>22300770</v>
      </c>
      <c r="B1638" t="s">
        <v>18</v>
      </c>
      <c r="C1638" t="s">
        <v>19</v>
      </c>
      <c r="D1638">
        <v>66</v>
      </c>
      <c r="E1638">
        <v>68</v>
      </c>
      <c r="F1638">
        <v>2</v>
      </c>
      <c r="G1638">
        <v>3</v>
      </c>
      <c r="H1638" s="1">
        <v>3.8888888888888888E-3</v>
      </c>
      <c r="I1638">
        <v>2023</v>
      </c>
      <c r="J1638" t="s">
        <v>83</v>
      </c>
      <c r="K1638" s="2" t="str">
        <f>HYPERLINK("https://www.nba.com/stats/events?CFID=&amp;CFPARAMS=&amp;GameEventID=390&amp;GameID=0022300770&amp;Season=2023-24&amp;flag=1&amp;title=Leonard%2011'%20fadeaway%20Jump%20Shot%20(18%20PTS)%20(P.%20George%203%20AST)", "11' fadeaway Jump Shot (18 PTS) (P. George 3 AST)")</f>
        <v>11' fadeaway Jump Shot (18 PTS) (P. George 3 AST)</v>
      </c>
      <c r="L1638" s="2" t="str">
        <f>HYPERLINK("https://www.nba.com/game/...-vs-...-0022300770/play-by-play?watchFullGame=true", "LAC vs MIN - Q3 05:36.00")</f>
        <v>LAC vs MIN - Q3 05:36.00</v>
      </c>
      <c r="M1638">
        <v>11.84</v>
      </c>
      <c r="N1638">
        <v>82.57</v>
      </c>
      <c r="O1638">
        <v>58.09</v>
      </c>
      <c r="P1638">
        <v>40</v>
      </c>
      <c r="Q1638">
        <v>111</v>
      </c>
      <c r="R1638">
        <v>82</v>
      </c>
      <c r="S1638">
        <v>58</v>
      </c>
    </row>
    <row r="1639" spans="1:19" hidden="1" x14ac:dyDescent="0.25">
      <c r="A1639">
        <v>22200480</v>
      </c>
      <c r="B1639" t="s">
        <v>18</v>
      </c>
      <c r="C1639" t="s">
        <v>19</v>
      </c>
      <c r="D1639">
        <v>15</v>
      </c>
      <c r="E1639">
        <v>11</v>
      </c>
      <c r="F1639">
        <v>4</v>
      </c>
      <c r="G1639">
        <v>1</v>
      </c>
      <c r="H1639" s="1">
        <v>4.8148148148148152E-3</v>
      </c>
      <c r="I1639">
        <v>2022</v>
      </c>
      <c r="J1639" t="s">
        <v>83</v>
      </c>
      <c r="K1639" s="2" t="str">
        <f>HYPERLINK("https://www.nba.com/stats/events?CFID=&amp;CFPARAMS=&amp;GameEventID=45&amp;GameID=0022200480&amp;Season=2022-23&amp;flag=1&amp;title=Leonard%2011'%20fadeaway%20Jump%20Shot%20(6%20PTS)%20(P.%20George%201%20AST)", "11' fadeaway Jump Shot (6 PTS) (P. George 1 AST)")</f>
        <v>11' fadeaway Jump Shot (6 PTS) (P. George 1 AST)</v>
      </c>
      <c r="L1639" s="2" t="str">
        <f>HYPERLINK("https://www.nba.com/game/...-vs-...-0022200480/play-by-play?watchFullGame=true", "LAC vs PHI - Q1 06:56.00")</f>
        <v>LAC vs PHI - Q1 06:56.00</v>
      </c>
      <c r="M1639">
        <v>11.81</v>
      </c>
      <c r="N1639">
        <v>82.18</v>
      </c>
      <c r="O1639">
        <v>55.39</v>
      </c>
      <c r="P1639">
        <v>27</v>
      </c>
      <c r="Q1639">
        <v>115</v>
      </c>
      <c r="R1639">
        <v>82</v>
      </c>
      <c r="S1639">
        <v>55</v>
      </c>
    </row>
    <row r="1640" spans="1:19" hidden="1" x14ac:dyDescent="0.25">
      <c r="A1640">
        <v>21900251</v>
      </c>
      <c r="B1640" t="s">
        <v>18</v>
      </c>
      <c r="C1640" t="s">
        <v>84</v>
      </c>
      <c r="D1640">
        <v>108</v>
      </c>
      <c r="E1640">
        <v>88</v>
      </c>
      <c r="F1640">
        <v>20</v>
      </c>
      <c r="G1640">
        <v>4</v>
      </c>
      <c r="H1640" s="1">
        <v>2.8240740740740739E-3</v>
      </c>
      <c r="I1640">
        <v>2019</v>
      </c>
      <c r="J1640" t="s">
        <v>83</v>
      </c>
      <c r="K1640" s="2" t="str">
        <f>HYPERLINK("https://www.nba.com/stats/events?CFID=&amp;CFPARAMS=&amp;GameEventID=653&amp;GameID=0021900251&amp;Season=2019-20&amp;flag=1&amp;title=Leonard%2012'%20jumpshot%20(28%20PTS)", "12' jumpshot (28 PTS)")</f>
        <v>12' jumpshot (28 PTS)</v>
      </c>
      <c r="L1640" s="2" t="str">
        <f>HYPERLINK("https://www.nba.com/game/...-vs-...-0021900251/play-by-play?watchFullGame=true", "LAC vs DAL - Q4 04:04.00")</f>
        <v>LAC vs DAL - Q4 04:04.00</v>
      </c>
      <c r="M1640">
        <v>11.78</v>
      </c>
      <c r="N1640">
        <v>82.61</v>
      </c>
      <c r="O1640">
        <v>53.5</v>
      </c>
      <c r="P1640">
        <v>18</v>
      </c>
      <c r="Q1640">
        <v>111</v>
      </c>
      <c r="R1640">
        <v>82</v>
      </c>
      <c r="S1640">
        <v>53</v>
      </c>
    </row>
    <row r="1641" spans="1:19" hidden="1" x14ac:dyDescent="0.25">
      <c r="A1641">
        <v>21900239</v>
      </c>
      <c r="B1641" t="s">
        <v>18</v>
      </c>
      <c r="C1641" t="s">
        <v>84</v>
      </c>
      <c r="D1641">
        <v>57</v>
      </c>
      <c r="E1641">
        <v>35</v>
      </c>
      <c r="F1641">
        <v>22</v>
      </c>
      <c r="G1641">
        <v>2</v>
      </c>
      <c r="H1641" s="1">
        <v>4.8032407407407407E-3</v>
      </c>
      <c r="I1641">
        <v>2019</v>
      </c>
      <c r="J1641" t="s">
        <v>83</v>
      </c>
      <c r="K1641" s="2" t="str">
        <f>HYPERLINK("https://www.nba.com/stats/events?CFID=&amp;CFPARAMS=&amp;GameEventID=244&amp;GameID=0021900239&amp;Season=2019-20&amp;flag=1&amp;title=Leonard%2012'%20jumpshot%20(16%20PTS)", "12' jumpshot (16 PTS)")</f>
        <v>12' jumpshot (16 PTS)</v>
      </c>
      <c r="L1641" s="2" t="str">
        <f>HYPERLINK("https://www.nba.com/game/...-vs-...-0021900239/play-by-play?watchFullGame=true", "LAC vs NOP - Q2 06:55.00")</f>
        <v>LAC vs NOP - Q2 06:55.00</v>
      </c>
      <c r="M1641">
        <v>11.7</v>
      </c>
      <c r="N1641">
        <v>82.7</v>
      </c>
      <c r="O1641">
        <v>53.61</v>
      </c>
      <c r="P1641">
        <v>18</v>
      </c>
      <c r="Q1641">
        <v>110</v>
      </c>
      <c r="R1641">
        <v>82</v>
      </c>
      <c r="S1641">
        <v>53</v>
      </c>
    </row>
    <row r="1642" spans="1:19" hidden="1" x14ac:dyDescent="0.25">
      <c r="A1642">
        <v>21900305</v>
      </c>
      <c r="B1642" t="s">
        <v>18</v>
      </c>
      <c r="C1642" t="s">
        <v>84</v>
      </c>
      <c r="D1642">
        <v>57</v>
      </c>
      <c r="E1642">
        <v>51</v>
      </c>
      <c r="F1642">
        <v>6</v>
      </c>
      <c r="G1642">
        <v>2</v>
      </c>
      <c r="H1642" s="1">
        <v>2.1759259259259258E-3</v>
      </c>
      <c r="I1642">
        <v>2019</v>
      </c>
      <c r="J1642" t="s">
        <v>83</v>
      </c>
      <c r="K1642" s="2" t="str">
        <f>HYPERLINK("https://www.nba.com/stats/events?CFID=&amp;CFPARAMS=&amp;GameEventID=271&amp;GameID=0021900305&amp;Season=2019-20&amp;flag=1&amp;title=Leonard%2012'%20jumpshot%20(7%20PTS)", "12' jumpshot (7 PTS)")</f>
        <v>12' jumpshot (7 PTS)</v>
      </c>
      <c r="L1642" s="2" t="str">
        <f>HYPERLINK("https://www.nba.com/game/...-vs-...-0021900305/play-by-play?watchFullGame=true", "LAC vs POR - Q2 03:08.00")</f>
        <v>LAC vs POR - Q2 03:08.00</v>
      </c>
      <c r="M1642">
        <v>11.69</v>
      </c>
      <c r="N1642">
        <v>82.57</v>
      </c>
      <c r="O1642">
        <v>50.91</v>
      </c>
      <c r="P1642">
        <v>5</v>
      </c>
      <c r="Q1642">
        <v>111</v>
      </c>
      <c r="R1642">
        <v>82</v>
      </c>
      <c r="S1642">
        <v>50</v>
      </c>
    </row>
    <row r="1643" spans="1:19" hidden="1" x14ac:dyDescent="0.25">
      <c r="A1643">
        <v>21900653</v>
      </c>
      <c r="B1643" t="s">
        <v>18</v>
      </c>
      <c r="C1643" t="s">
        <v>84</v>
      </c>
      <c r="D1643">
        <v>96</v>
      </c>
      <c r="E1643">
        <v>96</v>
      </c>
      <c r="F1643">
        <v>0</v>
      </c>
      <c r="G1643">
        <v>4</v>
      </c>
      <c r="H1643" s="1">
        <v>2.673611111111111E-3</v>
      </c>
      <c r="I1643">
        <v>2019</v>
      </c>
      <c r="J1643" t="s">
        <v>83</v>
      </c>
      <c r="K1643" s="2" t="str">
        <f>HYPERLINK("https://www.nba.com/stats/events?CFID=&amp;CFPARAMS=&amp;GameEventID=650&amp;GameID=0021900653&amp;Season=2019-20&amp;flag=1&amp;title=Leonard%2012'%20jumpshot%20(31%20PTS)", "12' jumpshot (31 PTS)")</f>
        <v>12' jumpshot (31 PTS)</v>
      </c>
      <c r="L1643" s="2" t="str">
        <f>HYPERLINK("https://www.nba.com/game/...-vs-...-0021900653/play-by-play?watchFullGame=true", "LAC vs DAL - Q4 03:51.00")</f>
        <v>LAC vs DAL - Q4 03:51.00</v>
      </c>
      <c r="M1643">
        <v>11.65</v>
      </c>
      <c r="N1643">
        <v>82.74</v>
      </c>
      <c r="O1643">
        <v>46.64</v>
      </c>
      <c r="P1643">
        <v>-17</v>
      </c>
      <c r="Q1643">
        <v>110</v>
      </c>
      <c r="R1643">
        <v>82</v>
      </c>
      <c r="S1643">
        <v>46</v>
      </c>
    </row>
    <row r="1644" spans="1:19" hidden="1" x14ac:dyDescent="0.25">
      <c r="A1644">
        <v>21900292</v>
      </c>
      <c r="B1644" t="s">
        <v>18</v>
      </c>
      <c r="C1644" t="s">
        <v>84</v>
      </c>
      <c r="D1644">
        <v>11</v>
      </c>
      <c r="E1644">
        <v>6</v>
      </c>
      <c r="F1644">
        <v>5</v>
      </c>
      <c r="G1644">
        <v>1</v>
      </c>
      <c r="H1644" s="1">
        <v>6.4699074074074077E-3</v>
      </c>
      <c r="I1644">
        <v>2019</v>
      </c>
      <c r="J1644" t="s">
        <v>83</v>
      </c>
      <c r="K1644" s="2" t="str">
        <f>HYPERLINK("https://www.nba.com/stats/events?CFID=&amp;CFPARAMS=&amp;GameEventID=42&amp;GameID=0021900292&amp;Season=2019-20&amp;flag=1&amp;title=Leonard%2012'%20jumpshot%20(4%20PTS)", "12' jumpshot (4 PTS)")</f>
        <v>12' jumpshot (4 PTS)</v>
      </c>
      <c r="L1644" s="2" t="str">
        <f>HYPERLINK("https://www.nba.com/game/...-vs-...-0021900292/play-by-play?watchFullGame=true", "LAC vs WAS - Q1 09:19.00")</f>
        <v>LAC vs WAS - Q1 09:19.00</v>
      </c>
      <c r="M1644">
        <v>11.56</v>
      </c>
      <c r="N1644">
        <v>82.7</v>
      </c>
      <c r="O1644">
        <v>49.93</v>
      </c>
      <c r="P1644">
        <v>82</v>
      </c>
      <c r="Q1644">
        <v>110</v>
      </c>
      <c r="R1644">
        <v>82</v>
      </c>
      <c r="S1644">
        <v>49</v>
      </c>
    </row>
    <row r="1645" spans="1:19" hidden="1" x14ac:dyDescent="0.25">
      <c r="A1645">
        <v>22000239</v>
      </c>
      <c r="B1645" t="s">
        <v>18</v>
      </c>
      <c r="C1645" t="s">
        <v>19</v>
      </c>
      <c r="D1645">
        <v>61</v>
      </c>
      <c r="E1645">
        <v>39</v>
      </c>
      <c r="F1645">
        <v>22</v>
      </c>
      <c r="G1645">
        <v>2</v>
      </c>
      <c r="H1645" s="1">
        <v>2.5925925925925925E-3</v>
      </c>
      <c r="I1645">
        <v>2020</v>
      </c>
      <c r="J1645" t="s">
        <v>83</v>
      </c>
      <c r="K1645" s="2" t="str">
        <f>HYPERLINK("https://www.nba.com/stats/events?CFID=&amp;CFPARAMS=&amp;GameEventID=268&amp;GameID=0022000239&amp;Season=2020-21&amp;flag=1&amp;title=Leonard%2011'%20turnaround%20Jump%20Shot%20(13%20PTS)", "11' turnaround Jump Shot (13 PTS)")</f>
        <v>11' turnaround Jump Shot (13 PTS)</v>
      </c>
      <c r="L1645" s="2" t="str">
        <f>HYPERLINK("https://www.nba.com/game/...-vs-...-0022000239/play-by-play?watchFullGame=true", "LAC vs OKC - Q2 03:44.00")</f>
        <v>LAC vs OKC - Q2 03:44.00</v>
      </c>
      <c r="M1645">
        <v>11.53</v>
      </c>
      <c r="N1645">
        <v>82.47</v>
      </c>
      <c r="O1645">
        <v>44.68</v>
      </c>
      <c r="P1645">
        <v>-27</v>
      </c>
      <c r="Q1645">
        <v>112</v>
      </c>
      <c r="R1645">
        <v>82</v>
      </c>
      <c r="S1645">
        <v>44</v>
      </c>
    </row>
    <row r="1646" spans="1:19" hidden="1" x14ac:dyDescent="0.25">
      <c r="A1646">
        <v>22200639</v>
      </c>
      <c r="B1646" t="s">
        <v>18</v>
      </c>
      <c r="C1646" t="s">
        <v>19</v>
      </c>
      <c r="D1646">
        <v>10</v>
      </c>
      <c r="E1646">
        <v>9</v>
      </c>
      <c r="F1646">
        <v>1</v>
      </c>
      <c r="G1646">
        <v>1</v>
      </c>
      <c r="H1646" s="1">
        <v>6.1574074074074074E-3</v>
      </c>
      <c r="I1646">
        <v>2022</v>
      </c>
      <c r="J1646" t="s">
        <v>83</v>
      </c>
      <c r="K1646" s="2" t="str">
        <f>HYPERLINK("https://www.nba.com/stats/events?CFID=&amp;CFPARAMS=&amp;GameEventID=34&amp;GameID=0022200639&amp;Season=2022-23&amp;flag=1&amp;title=Leonard%2011'%20fadeaway%20Jump%20Shot%20(4%20PTS)%20(T.%20Mann%202%20AST)", "11' fadeaway Jump Shot (4 PTS) (T. Mann 2 AST)")</f>
        <v>11' fadeaway Jump Shot (4 PTS) (T. Mann 2 AST)</v>
      </c>
      <c r="L1646" s="2" t="str">
        <f>HYPERLINK("https://www.nba.com/game/...-vs-...-0022200639/play-by-play?watchFullGame=true", "LAC vs DEN - Q1 08:52.00")</f>
        <v>LAC vs DEN - Q1 08:52.00</v>
      </c>
      <c r="M1646">
        <v>11.53</v>
      </c>
      <c r="N1646">
        <v>82.18</v>
      </c>
      <c r="O1646">
        <v>51.72</v>
      </c>
      <c r="P1646">
        <v>9</v>
      </c>
      <c r="Q1646">
        <v>115</v>
      </c>
      <c r="R1646">
        <v>82</v>
      </c>
      <c r="S1646">
        <v>51</v>
      </c>
    </row>
    <row r="1647" spans="1:19" hidden="1" x14ac:dyDescent="0.25">
      <c r="A1647">
        <v>22400751</v>
      </c>
      <c r="B1647" t="s">
        <v>18</v>
      </c>
      <c r="C1647" t="s">
        <v>19</v>
      </c>
      <c r="D1647">
        <v>101</v>
      </c>
      <c r="E1647">
        <v>93</v>
      </c>
      <c r="F1647">
        <v>8</v>
      </c>
      <c r="G1647">
        <v>4</v>
      </c>
      <c r="H1647" s="1">
        <v>6.2268518518518515E-3</v>
      </c>
      <c r="I1647">
        <v>2024</v>
      </c>
      <c r="J1647" t="s">
        <v>83</v>
      </c>
      <c r="K1647" s="2" t="str">
        <f>HYPERLINK("https://www.nba.com/stats/events?CFID=&amp;CFPARAMS=&amp;GameEventID=547&amp;GameID=0022400751&amp;Season=2024-25&amp;flag=1&amp;title=Leonard%2011'%20fadeaway%20Jump%20Shot%20(10%20PTS)", "11' fadeaway Jump Shot (10 PTS)")</f>
        <v>11' fadeaway Jump Shot (10 PTS)</v>
      </c>
      <c r="L1647" s="2" t="str">
        <f>HYPERLINK("https://www.nba.com/game/...-vs-...-0022400751/play-by-play?watchFullGame=true", "LAC vs UTA - Q4 08:58.00")</f>
        <v>LAC vs UTA - Q4 08:58.00</v>
      </c>
      <c r="M1647">
        <v>11.34</v>
      </c>
      <c r="N1647">
        <v>82.74</v>
      </c>
      <c r="O1647">
        <v>44.36</v>
      </c>
      <c r="P1647">
        <v>-28</v>
      </c>
      <c r="Q1647">
        <v>110</v>
      </c>
      <c r="R1647">
        <v>82</v>
      </c>
      <c r="S1647">
        <v>44</v>
      </c>
    </row>
    <row r="1648" spans="1:19" hidden="1" x14ac:dyDescent="0.25">
      <c r="A1648">
        <v>21900239</v>
      </c>
      <c r="B1648" t="s">
        <v>18</v>
      </c>
      <c r="C1648" t="s">
        <v>84</v>
      </c>
      <c r="D1648">
        <v>6</v>
      </c>
      <c r="E1648">
        <v>2</v>
      </c>
      <c r="F1648">
        <v>4</v>
      </c>
      <c r="G1648">
        <v>1</v>
      </c>
      <c r="H1648" s="1">
        <v>7.0254629629629634E-3</v>
      </c>
      <c r="I1648">
        <v>2019</v>
      </c>
      <c r="J1648" t="s">
        <v>83</v>
      </c>
      <c r="K1648" s="2" t="str">
        <f>HYPERLINK("https://www.nba.com/stats/events?CFID=&amp;CFPARAMS=&amp;GameEventID=24&amp;GameID=0021900239&amp;Season=2019-20&amp;flag=1&amp;title=Leonard%2011'%20jumpshot%20(2%20PTS)", "11' jumpshot (2 PTS)")</f>
        <v>11' jumpshot (2 PTS)</v>
      </c>
      <c r="L1648" s="2" t="str">
        <f>HYPERLINK("https://www.nba.com/game/...-vs-...-0021900239/play-by-play?watchFullGame=true", "LAC vs NOP - Q1 10:07.00")</f>
        <v>LAC vs NOP - Q1 10:07.00</v>
      </c>
      <c r="M1648">
        <v>11.32</v>
      </c>
      <c r="N1648">
        <v>82.97</v>
      </c>
      <c r="O1648">
        <v>49.2</v>
      </c>
      <c r="P1648">
        <v>-4</v>
      </c>
      <c r="Q1648">
        <v>108</v>
      </c>
      <c r="R1648">
        <v>82</v>
      </c>
      <c r="S1648">
        <v>49</v>
      </c>
    </row>
    <row r="1649" spans="1:19" hidden="1" x14ac:dyDescent="0.25">
      <c r="A1649">
        <v>22400889</v>
      </c>
      <c r="B1649" t="s">
        <v>18</v>
      </c>
      <c r="C1649" t="s">
        <v>19</v>
      </c>
      <c r="D1649">
        <v>13</v>
      </c>
      <c r="E1649">
        <v>7</v>
      </c>
      <c r="F1649">
        <v>6</v>
      </c>
      <c r="G1649">
        <v>1</v>
      </c>
      <c r="H1649" s="1">
        <v>4.5949074074074078E-3</v>
      </c>
      <c r="I1649">
        <v>2024</v>
      </c>
      <c r="J1649" t="s">
        <v>83</v>
      </c>
      <c r="K1649" s="2" t="str">
        <f>HYPERLINK("https://www.nba.com/stats/events?CFID=&amp;CFPARAMS=&amp;GameEventID=61&amp;GameID=0022400889&amp;Season=2024-25&amp;flag=1&amp;title=Leonard%2011'%20pullup%20Jump%20Shot%20(2%20PTS)", "11' pullup Jump Shot (2 PTS)")</f>
        <v>11' pullup Jump Shot (2 PTS)</v>
      </c>
      <c r="L1649" s="2" t="str">
        <f>HYPERLINK("https://www.nba.com/game/...-vs-...-0022400889/play-by-play?watchFullGame=true", "LAC vs PHX - Q1 06:37.00")</f>
        <v>LAC vs PHX - Q1 06:37.00</v>
      </c>
      <c r="M1649">
        <v>11.23</v>
      </c>
      <c r="N1649">
        <v>82.52</v>
      </c>
      <c r="O1649">
        <v>52.06</v>
      </c>
      <c r="P1649">
        <v>10</v>
      </c>
      <c r="Q1649">
        <v>112</v>
      </c>
      <c r="R1649">
        <v>82</v>
      </c>
      <c r="S1649">
        <v>52</v>
      </c>
    </row>
    <row r="1650" spans="1:19" hidden="1" x14ac:dyDescent="0.25">
      <c r="A1650">
        <v>42000171</v>
      </c>
      <c r="B1650" t="s">
        <v>18</v>
      </c>
      <c r="C1650" t="s">
        <v>19</v>
      </c>
      <c r="D1650">
        <v>8</v>
      </c>
      <c r="E1650">
        <v>17</v>
      </c>
      <c r="F1650">
        <v>9</v>
      </c>
      <c r="G1650">
        <v>1</v>
      </c>
      <c r="H1650" s="1">
        <v>4.2939814814814811E-3</v>
      </c>
      <c r="I1650" t="s">
        <v>91</v>
      </c>
      <c r="J1650" t="s">
        <v>83</v>
      </c>
      <c r="K1650" s="2" t="str">
        <f>HYPERLINK("https://www.nba.com/stats/events?CFID=&amp;CFPARAMS=&amp;GameEventID=79&amp;GameID=0042000171&amp;Season=2020-21&amp;flag=1&amp;title=Leonard%2011'%20turnaround%20Jump%20Shot%20(2%20PTS)", "11' turnaround Jump Shot (2 PTS)")</f>
        <v>11' turnaround Jump Shot (2 PTS)</v>
      </c>
      <c r="L1650" s="2" t="str">
        <f>HYPERLINK("https://www.nba.com/game/...-vs-...-0042000171/play-by-play?watchFullGame=true", "LAC vs DAL - Q1 06:11.00")</f>
        <v>LAC vs DAL - Q1 06:11.00</v>
      </c>
      <c r="M1650">
        <v>11.02</v>
      </c>
      <c r="N1650">
        <v>82.74</v>
      </c>
      <c r="O1650">
        <v>48.11</v>
      </c>
      <c r="P1650">
        <v>82</v>
      </c>
      <c r="Q1650">
        <v>48</v>
      </c>
      <c r="R1650">
        <v>82</v>
      </c>
      <c r="S1650">
        <v>48</v>
      </c>
    </row>
    <row r="1651" spans="1:19" hidden="1" x14ac:dyDescent="0.25">
      <c r="A1651">
        <v>22000251</v>
      </c>
      <c r="B1651" t="s">
        <v>18</v>
      </c>
      <c r="C1651" t="s">
        <v>19</v>
      </c>
      <c r="D1651">
        <v>27</v>
      </c>
      <c r="E1651">
        <v>15</v>
      </c>
      <c r="F1651">
        <v>12</v>
      </c>
      <c r="G1651">
        <v>1</v>
      </c>
      <c r="H1651" s="1">
        <v>2.0601851851851853E-3</v>
      </c>
      <c r="I1651">
        <v>2020</v>
      </c>
      <c r="J1651" t="s">
        <v>83</v>
      </c>
      <c r="K1651" s="2" t="str">
        <f>HYPERLINK("https://www.nba.com/stats/events?CFID=&amp;CFPARAMS=&amp;GameEventID=110&amp;GameID=0022000251&amp;Season=2020-21&amp;flag=1&amp;title=Leonard%2010'%20turnaround%20Jump%20Shot%20(10%20PTS)", "10' turnaround Jump Shot (10 PTS)")</f>
        <v>10' turnaround Jump Shot (10 PTS)</v>
      </c>
      <c r="L1651" s="2" t="str">
        <f>HYPERLINK("https://www.nba.com/game/...-vs-...-0022000251/play-by-play?watchFullGame=true", "LAC vs OKC - Q1 02:58.00")</f>
        <v>LAC vs OKC - Q1 02:58.00</v>
      </c>
      <c r="M1651">
        <v>10.73</v>
      </c>
      <c r="N1651">
        <v>83</v>
      </c>
      <c r="O1651">
        <v>50.56</v>
      </c>
      <c r="P1651">
        <v>3</v>
      </c>
      <c r="Q1651">
        <v>107</v>
      </c>
      <c r="R1651">
        <v>82</v>
      </c>
      <c r="S1651">
        <v>50</v>
      </c>
    </row>
    <row r="1652" spans="1:19" hidden="1" x14ac:dyDescent="0.25">
      <c r="A1652">
        <v>41900151</v>
      </c>
      <c r="B1652" t="s">
        <v>26</v>
      </c>
      <c r="C1652" t="s">
        <v>84</v>
      </c>
      <c r="D1652">
        <v>10</v>
      </c>
      <c r="E1652">
        <v>0</v>
      </c>
      <c r="F1652">
        <v>10</v>
      </c>
      <c r="G1652">
        <v>1</v>
      </c>
      <c r="H1652" s="1">
        <v>7.083333333333333E-3</v>
      </c>
      <c r="I1652" t="s">
        <v>86</v>
      </c>
      <c r="J1652" t="s">
        <v>83</v>
      </c>
      <c r="K1652" s="2" t="str">
        <f>HYPERLINK("https://www.nba.com/stats/events?CFID=&amp;CFPARAMS=&amp;GameEventID=32&amp;GameID=0041900151&amp;Season=2019-20&amp;flag=1&amp;title=Leonard%2025'%203PT%20%20(5%20PTS)%20(P.%20George%201%20AST)", "25' 3PT  (5 PTS) (P. George 1 AST)")</f>
        <v>25' 3PT  (5 PTS) (P. George 1 AST)</v>
      </c>
      <c r="L1652" s="2" t="str">
        <f>HYPERLINK("https://www.nba.com/game/...-vs-...-0041900151/play-by-play?watchFullGame=true", "LAC vs DAL - Q1 10:12.00")</f>
        <v>LAC vs DAL - Q1 10:12.00</v>
      </c>
      <c r="M1652">
        <v>25.3</v>
      </c>
      <c r="N1652">
        <v>83.52</v>
      </c>
      <c r="O1652">
        <v>4.24</v>
      </c>
      <c r="P1652">
        <v>-229</v>
      </c>
      <c r="Q1652">
        <v>102</v>
      </c>
      <c r="R1652">
        <v>83</v>
      </c>
      <c r="S1652">
        <v>4</v>
      </c>
    </row>
    <row r="1653" spans="1:19" hidden="1" x14ac:dyDescent="0.25">
      <c r="A1653">
        <v>41900151</v>
      </c>
      <c r="B1653" t="s">
        <v>18</v>
      </c>
      <c r="C1653" t="s">
        <v>84</v>
      </c>
      <c r="D1653">
        <v>2</v>
      </c>
      <c r="E1653">
        <v>0</v>
      </c>
      <c r="F1653">
        <v>2</v>
      </c>
      <c r="G1653">
        <v>1</v>
      </c>
      <c r="H1653" s="1">
        <v>7.8935185185185185E-3</v>
      </c>
      <c r="I1653" t="s">
        <v>86</v>
      </c>
      <c r="J1653" t="s">
        <v>83</v>
      </c>
      <c r="K1653" s="2" t="str">
        <f>HYPERLINK("https://www.nba.com/stats/events?CFID=&amp;CFPARAMS=&amp;GameEventID=12&amp;GameID=0041900151&amp;Season=2019-20&amp;flag=1&amp;title=Leonard%2021'%20jumpshot%20(2%20PTS)", "21' jumpshot (2 PTS)")</f>
        <v>21' jumpshot (2 PTS)</v>
      </c>
      <c r="L1653" s="2" t="str">
        <f>HYPERLINK("https://www.nba.com/game/...-vs-...-0041900151/play-by-play?watchFullGame=true", "LAC vs DAL - Q1 11:22.00")</f>
        <v>LAC vs DAL - Q1 11:22.00</v>
      </c>
      <c r="M1653">
        <v>20.87</v>
      </c>
      <c r="N1653">
        <v>83.52</v>
      </c>
      <c r="O1653">
        <v>14.28</v>
      </c>
      <c r="P1653">
        <v>-179</v>
      </c>
      <c r="Q1653">
        <v>102</v>
      </c>
      <c r="R1653">
        <v>83</v>
      </c>
      <c r="S1653">
        <v>14</v>
      </c>
    </row>
    <row r="1654" spans="1:19" hidden="1" x14ac:dyDescent="0.25">
      <c r="A1654">
        <v>22200389</v>
      </c>
      <c r="B1654" t="s">
        <v>18</v>
      </c>
      <c r="C1654" t="s">
        <v>19</v>
      </c>
      <c r="D1654">
        <v>2</v>
      </c>
      <c r="E1654">
        <v>10</v>
      </c>
      <c r="F1654">
        <v>8</v>
      </c>
      <c r="G1654">
        <v>1</v>
      </c>
      <c r="H1654" s="1">
        <v>6.6319444444444446E-3</v>
      </c>
      <c r="I1654">
        <v>2022</v>
      </c>
      <c r="J1654" t="s">
        <v>83</v>
      </c>
      <c r="K1654" s="2" t="str">
        <f>HYPERLINK("https://www.nba.com/stats/events?CFID=&amp;CFPARAMS=&amp;GameEventID=24&amp;GameID=0022200389&amp;Season=2022-23&amp;flag=1&amp;title=Leonard%2016'%20Jump%20Shot%20(2%20PTS)", "16' Jump Shot (2 PTS)")</f>
        <v>16' Jump Shot (2 PTS)</v>
      </c>
      <c r="L1654" s="2" t="str">
        <f>HYPERLINK("https://www.nba.com/game/...-vs-...-0022200389/play-by-play?watchFullGame=true", "LAC vs WAS - Q1 09:33.00")</f>
        <v>LAC vs WAS - Q1 09:33.00</v>
      </c>
      <c r="M1654">
        <v>16.07</v>
      </c>
      <c r="N1654">
        <v>83.52</v>
      </c>
      <c r="O1654">
        <v>25.25</v>
      </c>
      <c r="P1654">
        <v>-124</v>
      </c>
      <c r="Q1654">
        <v>102</v>
      </c>
      <c r="R1654">
        <v>83</v>
      </c>
      <c r="S1654">
        <v>25</v>
      </c>
    </row>
    <row r="1655" spans="1:19" hidden="1" x14ac:dyDescent="0.25">
      <c r="A1655">
        <v>22400842</v>
      </c>
      <c r="B1655" t="s">
        <v>18</v>
      </c>
      <c r="C1655" t="s">
        <v>19</v>
      </c>
      <c r="D1655">
        <v>75</v>
      </c>
      <c r="E1655">
        <v>73</v>
      </c>
      <c r="F1655">
        <v>2</v>
      </c>
      <c r="G1655">
        <v>3</v>
      </c>
      <c r="H1655" s="1">
        <v>5.2893518518518515E-3</v>
      </c>
      <c r="I1655">
        <v>2024</v>
      </c>
      <c r="J1655" t="s">
        <v>83</v>
      </c>
      <c r="K1655" s="2" t="str">
        <f>HYPERLINK("https://www.nba.com/stats/events?CFID=&amp;CFPARAMS=&amp;GameEventID=375&amp;GameID=0022400842&amp;Season=2024-25&amp;flag=1&amp;title=Leonard%2016'%20pullup%20Jump%20Shot%20(14%20PTS)", "16' pullup Jump Shot (14 PTS)")</f>
        <v>16' pullup Jump Shot (14 PTS)</v>
      </c>
      <c r="L1655" s="2" t="str">
        <f>HYPERLINK("https://www.nba.com/game/...-vs-...-0022400842/play-by-play?watchFullGame=true", "LAC vs CHI - Q3 07:37.00")</f>
        <v>LAC vs CHI - Q3 07:37.00</v>
      </c>
      <c r="M1655">
        <v>16.59</v>
      </c>
      <c r="N1655">
        <v>83.13</v>
      </c>
      <c r="O1655">
        <v>75.489999999999995</v>
      </c>
      <c r="P1655">
        <v>127</v>
      </c>
      <c r="Q1655">
        <v>106</v>
      </c>
      <c r="R1655">
        <v>83</v>
      </c>
      <c r="S1655">
        <v>75</v>
      </c>
    </row>
    <row r="1656" spans="1:19" hidden="1" x14ac:dyDescent="0.25">
      <c r="A1656">
        <v>22200480</v>
      </c>
      <c r="B1656" t="s">
        <v>18</v>
      </c>
      <c r="C1656" t="s">
        <v>19</v>
      </c>
      <c r="D1656">
        <v>2</v>
      </c>
      <c r="E1656">
        <v>2</v>
      </c>
      <c r="F1656">
        <v>0</v>
      </c>
      <c r="G1656">
        <v>1</v>
      </c>
      <c r="H1656" s="1">
        <v>7.8819444444444449E-3</v>
      </c>
      <c r="I1656">
        <v>2022</v>
      </c>
      <c r="J1656" t="s">
        <v>83</v>
      </c>
      <c r="K1656" s="2" t="str">
        <f>HYPERLINK("https://www.nba.com/stats/events?CFID=&amp;CFPARAMS=&amp;GameEventID=8&amp;GameID=0022200480&amp;Season=2022-23&amp;flag=1&amp;title=Leonard%2017'%20pullup%20Jump%20Shot%20(2%20PTS)", "17' pullup Jump Shot (2 PTS)")</f>
        <v>17' pullup Jump Shot (2 PTS)</v>
      </c>
      <c r="L1656" s="2" t="str">
        <f>HYPERLINK("https://www.nba.com/game/...-vs-...-0022200480/play-by-play?watchFullGame=true", "LAC vs PHI - Q1 11:21.00")</f>
        <v>LAC vs PHI - Q1 11:21.00</v>
      </c>
      <c r="M1656">
        <v>17.11</v>
      </c>
      <c r="N1656">
        <v>83.36</v>
      </c>
      <c r="O1656">
        <v>77.209999999999994</v>
      </c>
      <c r="P1656">
        <v>136</v>
      </c>
      <c r="Q1656">
        <v>104</v>
      </c>
      <c r="R1656">
        <v>83</v>
      </c>
      <c r="S1656">
        <v>77</v>
      </c>
    </row>
    <row r="1657" spans="1:19" hidden="1" x14ac:dyDescent="0.25">
      <c r="A1657">
        <v>21900090</v>
      </c>
      <c r="B1657" t="s">
        <v>18</v>
      </c>
      <c r="C1657" t="s">
        <v>84</v>
      </c>
      <c r="D1657">
        <v>51</v>
      </c>
      <c r="E1657">
        <v>56</v>
      </c>
      <c r="F1657">
        <v>5</v>
      </c>
      <c r="G1657">
        <v>3</v>
      </c>
      <c r="H1657" s="1">
        <v>3.7384259259259259E-3</v>
      </c>
      <c r="I1657">
        <v>2019</v>
      </c>
      <c r="J1657" t="s">
        <v>83</v>
      </c>
      <c r="K1657" s="2" t="str">
        <f>HYPERLINK("https://www.nba.com/stats/events?CFID=&amp;CFPARAMS=&amp;GameEventID=426&amp;GameID=0021900090&amp;Season=2019-20&amp;flag=1&amp;title=[LAC]%20Leonard%20jumpshot:%20Made%20(12%20PTS)", "[LAC] Leonard jumpshot: Made (12 PTS)")</f>
        <v>[LAC] Leonard jumpshot: Made (12 PTS)</v>
      </c>
      <c r="L1657" s="2" t="str">
        <f>HYPERLINK("https://www.nba.com/game/...-vs-...-0021900090/play-by-play?watchFullGame=true", "LAC vs UTA - Q3 05:23.00")</f>
        <v>LAC vs UTA - Q3 05:23.00</v>
      </c>
      <c r="M1657">
        <v>14.78</v>
      </c>
      <c r="N1657">
        <v>83.1</v>
      </c>
      <c r="O1657">
        <v>69.290000000000006</v>
      </c>
      <c r="P1657">
        <v>96</v>
      </c>
      <c r="Q1657">
        <v>106</v>
      </c>
      <c r="R1657">
        <v>83</v>
      </c>
      <c r="S1657">
        <v>69</v>
      </c>
    </row>
    <row r="1658" spans="1:19" hidden="1" x14ac:dyDescent="0.25">
      <c r="A1658">
        <v>22400596</v>
      </c>
      <c r="B1658" t="s">
        <v>18</v>
      </c>
      <c r="C1658" t="s">
        <v>19</v>
      </c>
      <c r="D1658">
        <v>22</v>
      </c>
      <c r="E1658">
        <v>17</v>
      </c>
      <c r="F1658">
        <v>5</v>
      </c>
      <c r="G1658">
        <v>1</v>
      </c>
      <c r="H1658" s="1">
        <v>3.3796296296296296E-3</v>
      </c>
      <c r="I1658">
        <v>2024</v>
      </c>
      <c r="J1658" t="s">
        <v>83</v>
      </c>
      <c r="K1658" s="2" t="str">
        <f>HYPERLINK("https://www.nba.com/stats/events?CFID=&amp;CFPARAMS=&amp;GameEventID=72&amp;GameID=0022400596&amp;Season=2024-25&amp;flag=1&amp;title=Leonard%2013'%20fadeaway%20Jump%20Shot%20(5%20PTS)", "13' fadeaway Jump Shot (5 PTS)")</f>
        <v>13' fadeaway Jump Shot (5 PTS)</v>
      </c>
      <c r="L1658" s="2" t="str">
        <f>HYPERLINK("https://www.nba.com/game/...-vs-...-0022400596/play-by-play?watchFullGame=true", "LAC vs LAL - Q1 04:52.00")</f>
        <v>LAC vs LAL - Q1 04:52.00</v>
      </c>
      <c r="M1658">
        <v>13.87</v>
      </c>
      <c r="N1658">
        <v>83.97</v>
      </c>
      <c r="O1658">
        <v>30.43</v>
      </c>
      <c r="P1658">
        <v>-98</v>
      </c>
      <c r="Q1658">
        <v>98</v>
      </c>
      <c r="R1658">
        <v>83</v>
      </c>
      <c r="S1658">
        <v>30</v>
      </c>
    </row>
    <row r="1659" spans="1:19" hidden="1" x14ac:dyDescent="0.25">
      <c r="A1659">
        <v>22200970</v>
      </c>
      <c r="B1659" t="s">
        <v>18</v>
      </c>
      <c r="C1659" t="s">
        <v>19</v>
      </c>
      <c r="D1659">
        <v>117</v>
      </c>
      <c r="E1659">
        <v>121</v>
      </c>
      <c r="F1659">
        <v>4</v>
      </c>
      <c r="G1659">
        <v>4</v>
      </c>
      <c r="H1659" s="1">
        <v>4.0046296296296297E-3</v>
      </c>
      <c r="I1659">
        <v>2022</v>
      </c>
      <c r="J1659" t="s">
        <v>83</v>
      </c>
      <c r="K1659" s="2" t="str">
        <f>HYPERLINK("https://www.nba.com/stats/events?CFID=&amp;CFPARAMS=&amp;GameEventID=572&amp;GameID=0022200970&amp;Season=2022-23&amp;flag=1&amp;title=Leonard%2013'%20pullup%20Jump%20Shot%20(21%20PTS)", "13' pullup Jump Shot (21 PTS)")</f>
        <v>13' pullup Jump Shot (21 PTS)</v>
      </c>
      <c r="L1659" s="2" t="str">
        <f>HYPERLINK("https://www.nba.com/game/...-vs-...-0022200970/play-by-play?watchFullGame=true", "LAC vs MEM - Q4 05:46.00")</f>
        <v>LAC vs MEM - Q4 05:46.00</v>
      </c>
      <c r="M1659">
        <v>13.63</v>
      </c>
      <c r="N1659">
        <v>83.36</v>
      </c>
      <c r="O1659">
        <v>67.650000000000006</v>
      </c>
      <c r="P1659">
        <v>88</v>
      </c>
      <c r="Q1659">
        <v>104</v>
      </c>
      <c r="R1659">
        <v>83</v>
      </c>
      <c r="S1659">
        <v>67</v>
      </c>
    </row>
    <row r="1660" spans="1:19" hidden="1" x14ac:dyDescent="0.25">
      <c r="A1660">
        <v>21900090</v>
      </c>
      <c r="B1660" t="s">
        <v>18</v>
      </c>
      <c r="C1660" t="s">
        <v>84</v>
      </c>
      <c r="D1660">
        <v>70</v>
      </c>
      <c r="E1660">
        <v>72</v>
      </c>
      <c r="F1660">
        <v>2</v>
      </c>
      <c r="G1660">
        <v>4</v>
      </c>
      <c r="H1660" s="1">
        <v>7.3148148148148148E-3</v>
      </c>
      <c r="I1660">
        <v>2019</v>
      </c>
      <c r="J1660" t="s">
        <v>83</v>
      </c>
      <c r="K1660" s="2" t="str">
        <f>HYPERLINK("https://www.nba.com/stats/events?CFID=&amp;CFPARAMS=&amp;GameEventID=539&amp;GameID=0021900090&amp;Season=2019-20&amp;flag=1&amp;title=[LAC]%20Leonard%20jumpshot:%20Made%20(14%20PTS)", "[LAC] Leonard jumpshot: Made (14 PTS)")</f>
        <v>[LAC] Leonard jumpshot: Made (14 PTS)</v>
      </c>
      <c r="L1660" s="2" t="str">
        <f>HYPERLINK("https://www.nba.com/game/...-vs-...-0021900090/play-by-play?watchFullGame=true", "LAC vs UTA - Q4 10:32.00")</f>
        <v>LAC vs UTA - Q4 10:32.00</v>
      </c>
      <c r="M1660">
        <v>12.62</v>
      </c>
      <c r="N1660">
        <v>83.89</v>
      </c>
      <c r="O1660">
        <v>64.150000000000006</v>
      </c>
      <c r="P1660">
        <v>71</v>
      </c>
      <c r="Q1660">
        <v>99</v>
      </c>
      <c r="R1660">
        <v>83</v>
      </c>
      <c r="S1660">
        <v>64</v>
      </c>
    </row>
    <row r="1661" spans="1:19" hidden="1" x14ac:dyDescent="0.25">
      <c r="A1661">
        <v>41900231</v>
      </c>
      <c r="B1661" t="s">
        <v>18</v>
      </c>
      <c r="C1661" t="s">
        <v>84</v>
      </c>
      <c r="D1661">
        <v>18</v>
      </c>
      <c r="E1661">
        <v>20</v>
      </c>
      <c r="F1661">
        <v>2</v>
      </c>
      <c r="G1661">
        <v>1</v>
      </c>
      <c r="H1661" s="1">
        <v>3.5069444444444445E-3</v>
      </c>
      <c r="I1661" t="s">
        <v>85</v>
      </c>
      <c r="J1661" t="s">
        <v>83</v>
      </c>
      <c r="K1661" s="2" t="str">
        <f>HYPERLINK("https://www.nba.com/stats/events?CFID=&amp;CFPARAMS=&amp;GameEventID=73&amp;GameID=0041900231&amp;Season=2019-20&amp;flag=1&amp;title=Leonard%2012'%20jumpshot%20(4%20PTS)", "12' jumpshot (4 PTS)")</f>
        <v>12' jumpshot (4 PTS)</v>
      </c>
      <c r="L1661" s="2" t="str">
        <f>HYPERLINK("https://www.nba.com/game/...-vs-...-0041900231/play-by-play?watchFullGame=true", "LAC vs DEN - Q1 05:03.00")</f>
        <v>LAC vs DEN - Q1 05:03.00</v>
      </c>
      <c r="M1661">
        <v>12.46</v>
      </c>
      <c r="N1661">
        <v>83.92</v>
      </c>
      <c r="O1661">
        <v>36.340000000000003</v>
      </c>
      <c r="P1661">
        <v>-68</v>
      </c>
      <c r="Q1661">
        <v>99</v>
      </c>
      <c r="R1661">
        <v>83</v>
      </c>
      <c r="S1661">
        <v>36</v>
      </c>
    </row>
    <row r="1662" spans="1:19" hidden="1" x14ac:dyDescent="0.25">
      <c r="A1662">
        <v>22200438</v>
      </c>
      <c r="B1662" t="s">
        <v>18</v>
      </c>
      <c r="C1662" t="s">
        <v>19</v>
      </c>
      <c r="D1662">
        <v>96</v>
      </c>
      <c r="E1662">
        <v>89</v>
      </c>
      <c r="F1662">
        <v>7</v>
      </c>
      <c r="G1662">
        <v>4</v>
      </c>
      <c r="H1662" s="1">
        <v>1.5740740740740741E-3</v>
      </c>
      <c r="I1662">
        <v>2022</v>
      </c>
      <c r="J1662" t="s">
        <v>83</v>
      </c>
      <c r="K1662" s="2" t="str">
        <f>HYPERLINK("https://www.nba.com/stats/events?CFID=&amp;CFPARAMS=&amp;GameEventID=590&amp;GameID=0022200438&amp;Season=2022-23&amp;flag=1&amp;title=Leonard%2012'%20pullup%20Jump%20Shot%20(29%20PTS)", "12' pullup Jump Shot (29 PTS)")</f>
        <v>12' pullup Jump Shot (29 PTS)</v>
      </c>
      <c r="L1662" s="2" t="str">
        <f>HYPERLINK("https://www.nba.com/game/...-vs-...-0022200438/play-by-play?watchFullGame=true", "LAC vs WAS - Q4 02:16.00")</f>
        <v>LAC vs WAS - Q4 02:16.00</v>
      </c>
      <c r="M1662">
        <v>12.45</v>
      </c>
      <c r="N1662">
        <v>83.36</v>
      </c>
      <c r="O1662">
        <v>36.270000000000003</v>
      </c>
      <c r="P1662">
        <v>-69</v>
      </c>
      <c r="Q1662">
        <v>104</v>
      </c>
      <c r="R1662">
        <v>83</v>
      </c>
      <c r="S1662">
        <v>36</v>
      </c>
    </row>
    <row r="1663" spans="1:19" hidden="1" x14ac:dyDescent="0.25">
      <c r="A1663">
        <v>22300897</v>
      </c>
      <c r="B1663" t="s">
        <v>18</v>
      </c>
      <c r="C1663" t="s">
        <v>19</v>
      </c>
      <c r="D1663">
        <v>28</v>
      </c>
      <c r="E1663">
        <v>40</v>
      </c>
      <c r="F1663">
        <v>12</v>
      </c>
      <c r="G1663">
        <v>2</v>
      </c>
      <c r="H1663" s="1">
        <v>4.8148148148148152E-3</v>
      </c>
      <c r="I1663">
        <v>2023</v>
      </c>
      <c r="J1663" t="s">
        <v>83</v>
      </c>
      <c r="K1663" s="2" t="str">
        <f>HYPERLINK("https://www.nba.com/stats/events?CFID=&amp;CFPARAMS=&amp;GameEventID=221&amp;GameID=0022300897&amp;Season=2023-24&amp;flag=1&amp;title=Leonard%2012'%20pullup%20Jump%20Shot%20(4%20PTS)", "12' pullup Jump Shot (4 PTS)")</f>
        <v>12' pullup Jump Shot (4 PTS)</v>
      </c>
      <c r="L1663" s="2" t="str">
        <f>HYPERLINK("https://www.nba.com/game/...-vs-...-0022300897/play-by-play?watchFullGame=true", "LAC vs HOU - Q2 06:56.00")</f>
        <v>LAC vs HOU - Q2 06:56.00</v>
      </c>
      <c r="M1663">
        <v>12.16</v>
      </c>
      <c r="N1663">
        <v>83.39</v>
      </c>
      <c r="O1663">
        <v>37.25</v>
      </c>
      <c r="P1663">
        <v>-64</v>
      </c>
      <c r="Q1663">
        <v>104</v>
      </c>
      <c r="R1663">
        <v>83</v>
      </c>
      <c r="S1663">
        <v>37</v>
      </c>
    </row>
    <row r="1664" spans="1:19" hidden="1" x14ac:dyDescent="0.25">
      <c r="A1664">
        <v>22300618</v>
      </c>
      <c r="B1664" t="s">
        <v>18</v>
      </c>
      <c r="C1664" t="s">
        <v>19</v>
      </c>
      <c r="D1664">
        <v>27</v>
      </c>
      <c r="E1664">
        <v>23</v>
      </c>
      <c r="F1664">
        <v>4</v>
      </c>
      <c r="G1664">
        <v>1</v>
      </c>
      <c r="H1664" s="1">
        <v>1.5162037037037036E-3</v>
      </c>
      <c r="I1664">
        <v>2023</v>
      </c>
      <c r="J1664" t="s">
        <v>83</v>
      </c>
      <c r="K1664" s="2" t="str">
        <f>HYPERLINK("https://www.nba.com/stats/events?CFID=&amp;CFPARAMS=&amp;GameEventID=116&amp;GameID=0022300618&amp;Season=2023-24&amp;flag=1&amp;title=Leonard%2011'%20fadeaway%20Jump%20Shot%20(6%20PTS)%20(R.%20Westbrook%202%20AST)", "11' fadeaway Jump Shot (6 PTS) (R. Westbrook 2 AST)")</f>
        <v>11' fadeaway Jump Shot (6 PTS) (R. Westbrook 2 AST)</v>
      </c>
      <c r="L1664" s="2" t="str">
        <f>HYPERLINK("https://www.nba.com/game/...-vs-...-0022300618/play-by-play?watchFullGame=true", "LAC vs LAL - Q1 02:11.00")</f>
        <v>LAC vs LAL - Q1 02:11.00</v>
      </c>
      <c r="M1664">
        <v>11.76</v>
      </c>
      <c r="N1664">
        <v>83.23</v>
      </c>
      <c r="O1664">
        <v>60.54</v>
      </c>
      <c r="P1664">
        <v>53</v>
      </c>
      <c r="Q1664">
        <v>105</v>
      </c>
      <c r="R1664">
        <v>83</v>
      </c>
      <c r="S1664">
        <v>60</v>
      </c>
    </row>
    <row r="1665" spans="1:19" hidden="1" x14ac:dyDescent="0.25">
      <c r="A1665">
        <v>22200617</v>
      </c>
      <c r="B1665" t="s">
        <v>18</v>
      </c>
      <c r="C1665" t="s">
        <v>19</v>
      </c>
      <c r="D1665">
        <v>10</v>
      </c>
      <c r="E1665">
        <v>4</v>
      </c>
      <c r="F1665">
        <v>6</v>
      </c>
      <c r="G1665">
        <v>1</v>
      </c>
      <c r="H1665" s="1">
        <v>5.6597222222222222E-3</v>
      </c>
      <c r="I1665">
        <v>2022</v>
      </c>
      <c r="J1665" t="s">
        <v>83</v>
      </c>
      <c r="K1665" s="2" t="str">
        <f>HYPERLINK("https://www.nba.com/stats/events?CFID=&amp;CFPARAMS=&amp;GameEventID=47&amp;GameID=0022200617&amp;Season=2022-23&amp;flag=1&amp;title=Leonard%2011'%20running%20pullup%20Jump%20Shot%20(2%20PTS)", "11' running pullup Jump Shot (2 PTS)")</f>
        <v>11' running pullup Jump Shot (2 PTS)</v>
      </c>
      <c r="L1665" s="2" t="str">
        <f>HYPERLINK("https://www.nba.com/game/...-vs-...-0022200617/play-by-play?watchFullGame=true", "LAC vs DAL - Q1 08:09.00")</f>
        <v>LAC vs DAL - Q1 08:09.00</v>
      </c>
      <c r="M1665">
        <v>11.76</v>
      </c>
      <c r="N1665">
        <v>83.23</v>
      </c>
      <c r="O1665">
        <v>39.46</v>
      </c>
      <c r="P1665">
        <v>-53</v>
      </c>
      <c r="Q1665">
        <v>105</v>
      </c>
      <c r="R1665">
        <v>83</v>
      </c>
      <c r="S1665">
        <v>39</v>
      </c>
    </row>
    <row r="1666" spans="1:19" hidden="1" x14ac:dyDescent="0.25">
      <c r="A1666">
        <v>22300658</v>
      </c>
      <c r="B1666" t="s">
        <v>18</v>
      </c>
      <c r="C1666" t="s">
        <v>19</v>
      </c>
      <c r="D1666">
        <v>23</v>
      </c>
      <c r="E1666">
        <v>28</v>
      </c>
      <c r="F1666">
        <v>5</v>
      </c>
      <c r="G1666">
        <v>1</v>
      </c>
      <c r="H1666" s="1">
        <v>8.564814814814815E-4</v>
      </c>
      <c r="I1666">
        <v>2023</v>
      </c>
      <c r="J1666" t="s">
        <v>83</v>
      </c>
      <c r="K1666" s="2" t="str">
        <f>HYPERLINK("https://www.nba.com/stats/events?CFID=&amp;CFPARAMS=&amp;GameEventID=142&amp;GameID=0022300658&amp;Season=2023-24&amp;flag=1&amp;title=Leonard%2011'%20fadeaway%20Jump%20Shot%20(8%20PTS)", "11' fadeaway Jump Shot (8 PTS)")</f>
        <v>11' fadeaway Jump Shot (8 PTS)</v>
      </c>
      <c r="L1666" s="2" t="str">
        <f>HYPERLINK("https://www.nba.com/game/...-vs-...-0022300658/play-by-play?watchFullGame=true", "LAC vs CLE - Q1 01:14.00")</f>
        <v>LAC vs CLE - Q1 01:14.00</v>
      </c>
      <c r="M1666">
        <v>11.69</v>
      </c>
      <c r="N1666">
        <v>83.13</v>
      </c>
      <c r="O1666">
        <v>59.8</v>
      </c>
      <c r="P1666">
        <v>49</v>
      </c>
      <c r="Q1666">
        <v>106</v>
      </c>
      <c r="R1666">
        <v>83</v>
      </c>
      <c r="S1666">
        <v>59</v>
      </c>
    </row>
    <row r="1667" spans="1:19" hidden="1" x14ac:dyDescent="0.25">
      <c r="A1667">
        <v>22300304</v>
      </c>
      <c r="B1667" t="s">
        <v>18</v>
      </c>
      <c r="C1667" t="s">
        <v>19</v>
      </c>
      <c r="D1667">
        <v>40</v>
      </c>
      <c r="E1667">
        <v>27</v>
      </c>
      <c r="F1667">
        <v>13</v>
      </c>
      <c r="G1667">
        <v>1</v>
      </c>
      <c r="H1667" s="1">
        <v>6.6435185185185184E-4</v>
      </c>
      <c r="I1667">
        <v>2023</v>
      </c>
      <c r="J1667" t="s">
        <v>83</v>
      </c>
      <c r="K1667" s="2" t="str">
        <f>HYPERLINK("https://www.nba.com/stats/events?CFID=&amp;CFPARAMS=&amp;GameEventID=129&amp;GameID=0022300304&amp;Season=2023-24&amp;flag=1&amp;title=Leonard%2011'%20fadeaway%20Jump%20Shot%20(9%20PTS)%20(R.%20Westbrook%204%20AST)", "11' fadeaway Jump Shot (9 PTS) (R. Westbrook 4 AST)")</f>
        <v>11' fadeaway Jump Shot (9 PTS) (R. Westbrook 4 AST)</v>
      </c>
      <c r="L1667" s="2" t="str">
        <f>HYPERLINK("https://www.nba.com/game/...-vs-...-0022300304/play-by-play?watchFullGame=true", "LAC vs POR - Q1 00:57.40")</f>
        <v>LAC vs POR - Q1 00:57.40</v>
      </c>
      <c r="M1667">
        <v>11.65</v>
      </c>
      <c r="N1667">
        <v>83.36</v>
      </c>
      <c r="O1667">
        <v>39.46</v>
      </c>
      <c r="P1667">
        <v>-53</v>
      </c>
      <c r="Q1667">
        <v>104</v>
      </c>
      <c r="R1667">
        <v>83</v>
      </c>
      <c r="S1667">
        <v>39</v>
      </c>
    </row>
    <row r="1668" spans="1:19" hidden="1" x14ac:dyDescent="0.25">
      <c r="A1668">
        <v>22000202</v>
      </c>
      <c r="B1668" t="s">
        <v>18</v>
      </c>
      <c r="C1668" t="s">
        <v>19</v>
      </c>
      <c r="D1668">
        <v>34</v>
      </c>
      <c r="E1668">
        <v>26</v>
      </c>
      <c r="F1668">
        <v>8</v>
      </c>
      <c r="G1668">
        <v>1</v>
      </c>
      <c r="H1668" s="1">
        <v>4.2476851851851855E-4</v>
      </c>
      <c r="I1668">
        <v>2020</v>
      </c>
      <c r="J1668" t="s">
        <v>83</v>
      </c>
      <c r="K1668" s="2" t="str">
        <f>HYPERLINK("https://www.nba.com/stats/events?CFID=&amp;CFPARAMS=&amp;GameEventID=146&amp;GameID=0022000202&amp;Season=2020-21&amp;flag=1&amp;title=Leonard%2011'%20fadeaway%20Jump%20Shot%20(6%20PTS)%20(P.%20Patterson%201%20AST)", "11' fadeaway Jump Shot (6 PTS) (P. Patterson 1 AST)")</f>
        <v>11' fadeaway Jump Shot (6 PTS) (P. Patterson 1 AST)</v>
      </c>
      <c r="L1668" s="2" t="str">
        <f>HYPERLINK("https://www.nba.com/game/...-vs-...-0022000202/play-by-play?watchFullGame=true", "LAC vs IND - Q1 00:36.70")</f>
        <v>LAC vs IND - Q1 00:36.70</v>
      </c>
      <c r="M1668">
        <v>11.48</v>
      </c>
      <c r="N1668">
        <v>83.13</v>
      </c>
      <c r="O1668">
        <v>41.25</v>
      </c>
      <c r="P1668">
        <v>-44</v>
      </c>
      <c r="Q1668">
        <v>106</v>
      </c>
      <c r="R1668">
        <v>83</v>
      </c>
      <c r="S1668">
        <v>41</v>
      </c>
    </row>
    <row r="1669" spans="1:19" hidden="1" x14ac:dyDescent="0.25">
      <c r="A1669">
        <v>22301225</v>
      </c>
      <c r="B1669" t="s">
        <v>18</v>
      </c>
      <c r="C1669" t="s">
        <v>19</v>
      </c>
      <c r="D1669">
        <v>7</v>
      </c>
      <c r="E1669">
        <v>6</v>
      </c>
      <c r="F1669">
        <v>1</v>
      </c>
      <c r="G1669">
        <v>1</v>
      </c>
      <c r="H1669" s="1">
        <v>6.8055555555555551E-3</v>
      </c>
      <c r="I1669">
        <v>2023</v>
      </c>
      <c r="J1669" t="s">
        <v>83</v>
      </c>
      <c r="K1669" s="2" t="str">
        <f>HYPERLINK("https://www.nba.com/stats/events?CFID=&amp;CFPARAMS=&amp;GameEventID=26&amp;GameID=0022301225&amp;Season=2023-24&amp;flag=1&amp;title=Leonard%2011'%20driving%20floating%20Jump%20Shot%20(5%20PTS)%20(P.%20George%201%20AST)", "11' driving floating Jump Shot (5 PTS) (P. George 1 AST)")</f>
        <v>11' driving floating Jump Shot (5 PTS) (P. George 1 AST)</v>
      </c>
      <c r="L1669" s="2" t="str">
        <f>HYPERLINK("https://www.nba.com/game/...-vs-...-0022301225/play-by-play?watchFullGame=true", "LAC vs UTA - Q1 09:48.00")</f>
        <v>LAC vs UTA - Q1 09:48.00</v>
      </c>
      <c r="M1669">
        <v>11.42</v>
      </c>
      <c r="N1669">
        <v>83.26</v>
      </c>
      <c r="O1669">
        <v>40.93</v>
      </c>
      <c r="P1669">
        <v>-45</v>
      </c>
      <c r="Q1669">
        <v>105</v>
      </c>
      <c r="R1669">
        <v>83</v>
      </c>
      <c r="S1669">
        <v>40</v>
      </c>
    </row>
    <row r="1670" spans="1:19" hidden="1" x14ac:dyDescent="0.25">
      <c r="A1670">
        <v>22200668</v>
      </c>
      <c r="B1670" t="s">
        <v>18</v>
      </c>
      <c r="C1670" t="s">
        <v>19</v>
      </c>
      <c r="D1670">
        <v>13</v>
      </c>
      <c r="E1670">
        <v>14</v>
      </c>
      <c r="F1670">
        <v>1</v>
      </c>
      <c r="G1670">
        <v>1</v>
      </c>
      <c r="H1670" s="1">
        <v>4.9884259259259257E-3</v>
      </c>
      <c r="I1670">
        <v>2022</v>
      </c>
      <c r="J1670" t="s">
        <v>83</v>
      </c>
      <c r="K1670" s="2" t="str">
        <f>HYPERLINK("https://www.nba.com/stats/events?CFID=&amp;CFPARAMS=&amp;GameEventID=52&amp;GameID=0022200668&amp;Season=2022-23&amp;flag=1&amp;title=Leonard%2011'%20step%20back%20Jump%20Shot%20(2%20PTS)", "11' step back Jump Shot (2 PTS)")</f>
        <v>11' step back Jump Shot (2 PTS)</v>
      </c>
      <c r="L1670" s="2" t="str">
        <f>HYPERLINK("https://www.nba.com/game/...-vs-...-0022200668/play-by-play?watchFullGame=true", "LAC vs PHI - Q1 07:11.00")</f>
        <v>LAC vs PHI - Q1 07:11.00</v>
      </c>
      <c r="M1670">
        <v>11.38</v>
      </c>
      <c r="N1670">
        <v>83.75</v>
      </c>
      <c r="O1670">
        <v>60.78</v>
      </c>
      <c r="P1670">
        <v>54</v>
      </c>
      <c r="Q1670">
        <v>100</v>
      </c>
      <c r="R1670">
        <v>83</v>
      </c>
      <c r="S1670">
        <v>60</v>
      </c>
    </row>
    <row r="1671" spans="1:19" hidden="1" x14ac:dyDescent="0.25">
      <c r="A1671">
        <v>22000387</v>
      </c>
      <c r="B1671" t="s">
        <v>18</v>
      </c>
      <c r="C1671" t="s">
        <v>19</v>
      </c>
      <c r="D1671">
        <v>11</v>
      </c>
      <c r="E1671">
        <v>18</v>
      </c>
      <c r="F1671">
        <v>7</v>
      </c>
      <c r="G1671">
        <v>1</v>
      </c>
      <c r="H1671" s="1">
        <v>5.115740740740741E-3</v>
      </c>
      <c r="I1671">
        <v>2020</v>
      </c>
      <c r="J1671" t="s">
        <v>83</v>
      </c>
      <c r="K1671" s="2" t="str">
        <f>HYPERLINK("https://www.nba.com/stats/events?CFID=&amp;CFPARAMS=&amp;GameEventID=48&amp;GameID=0022000387&amp;Season=2020-21&amp;flag=1&amp;title=Leonard%2011'%20pullup%20Jump%20Shot%20(4%20PTS)%20(R.%20Jackson%201%20AST)", "11' pullup Jump Shot (4 PTS) (R. Jackson 1 AST)")</f>
        <v>11' pullup Jump Shot (4 PTS) (R. Jackson 1 AST)</v>
      </c>
      <c r="L1671" s="2" t="str">
        <f>HYPERLINK("https://www.nba.com/game/...-vs-...-0022000387/play-by-play?watchFullGame=true", "LAC vs MIN - Q1 07:22.00")</f>
        <v>LAC vs MIN - Q1 07:22.00</v>
      </c>
      <c r="M1671">
        <v>11.36</v>
      </c>
      <c r="N1671">
        <v>83.66</v>
      </c>
      <c r="O1671">
        <v>60.36</v>
      </c>
      <c r="P1671">
        <v>52</v>
      </c>
      <c r="Q1671">
        <v>101</v>
      </c>
      <c r="R1671">
        <v>83</v>
      </c>
      <c r="S1671">
        <v>60</v>
      </c>
    </row>
    <row r="1672" spans="1:19" hidden="1" x14ac:dyDescent="0.25">
      <c r="A1672">
        <v>41900154</v>
      </c>
      <c r="B1672" t="s">
        <v>18</v>
      </c>
      <c r="C1672" t="s">
        <v>84</v>
      </c>
      <c r="D1672">
        <v>119</v>
      </c>
      <c r="E1672">
        <v>121</v>
      </c>
      <c r="F1672">
        <v>2</v>
      </c>
      <c r="G1672">
        <v>4</v>
      </c>
      <c r="H1672" s="1">
        <v>9.9537037037037042E-4</v>
      </c>
      <c r="I1672" t="s">
        <v>86</v>
      </c>
      <c r="J1672" t="s">
        <v>83</v>
      </c>
      <c r="K1672" s="2" t="str">
        <f>HYPERLINK("https://www.nba.com/stats/events?CFID=&amp;CFPARAMS=&amp;GameEventID=664&amp;GameID=0041900154&amp;Season=2019-20&amp;flag=1&amp;title=Leonard%2011'%20jumpshot%20(28%20PTS)", "11' jumpshot (28 PTS)")</f>
        <v>11' jumpshot (28 PTS)</v>
      </c>
      <c r="L1672" s="2" t="str">
        <f>HYPERLINK("https://www.nba.com/game/...-vs-...-0041900154/play-by-play?watchFullGame=true", "LAC vs DAL - Q4 01:26.00")</f>
        <v>LAC vs DAL - Q4 01:26.00</v>
      </c>
      <c r="M1672">
        <v>11.32</v>
      </c>
      <c r="N1672">
        <v>83.26</v>
      </c>
      <c r="O1672">
        <v>44.92</v>
      </c>
      <c r="P1672">
        <v>-25</v>
      </c>
      <c r="Q1672">
        <v>105</v>
      </c>
      <c r="R1672">
        <v>83</v>
      </c>
      <c r="S1672">
        <v>44</v>
      </c>
    </row>
    <row r="1673" spans="1:19" hidden="1" x14ac:dyDescent="0.25">
      <c r="A1673">
        <v>21900292</v>
      </c>
      <c r="B1673" t="s">
        <v>18</v>
      </c>
      <c r="C1673" t="s">
        <v>84</v>
      </c>
      <c r="D1673">
        <v>60</v>
      </c>
      <c r="E1673">
        <v>45</v>
      </c>
      <c r="F1673">
        <v>15</v>
      </c>
      <c r="G1673">
        <v>2</v>
      </c>
      <c r="H1673" s="1">
        <v>4.5486111111111109E-3</v>
      </c>
      <c r="I1673">
        <v>2019</v>
      </c>
      <c r="J1673" t="s">
        <v>83</v>
      </c>
      <c r="K1673" s="2" t="str">
        <f>HYPERLINK("https://www.nba.com/stats/events?CFID=&amp;CFPARAMS=&amp;GameEventID=277&amp;GameID=0021900292&amp;Season=2019-20&amp;flag=1&amp;title=Leonard%2011'%20jumpshot%20(10%20PTS)", "11' jumpshot (10 PTS)")</f>
        <v>11' jumpshot (10 PTS)</v>
      </c>
      <c r="L1673" s="2" t="str">
        <f>HYPERLINK("https://www.nba.com/game/...-vs-...-0021900292/play-by-play?watchFullGame=true", "LAC vs WAS - Q2 06:33.00")</f>
        <v>LAC vs WAS - Q2 06:33.00</v>
      </c>
      <c r="M1673">
        <v>11.27</v>
      </c>
      <c r="N1673">
        <v>83.49</v>
      </c>
      <c r="O1673">
        <v>56.3</v>
      </c>
      <c r="P1673">
        <v>32</v>
      </c>
      <c r="Q1673">
        <v>103</v>
      </c>
      <c r="R1673">
        <v>83</v>
      </c>
      <c r="S1673">
        <v>56</v>
      </c>
    </row>
    <row r="1674" spans="1:19" hidden="1" x14ac:dyDescent="0.25">
      <c r="A1674">
        <v>22301079</v>
      </c>
      <c r="B1674" t="s">
        <v>18</v>
      </c>
      <c r="C1674" t="s">
        <v>19</v>
      </c>
      <c r="D1674">
        <v>13</v>
      </c>
      <c r="E1674">
        <v>10</v>
      </c>
      <c r="F1674">
        <v>3</v>
      </c>
      <c r="G1674">
        <v>1</v>
      </c>
      <c r="H1674" s="1">
        <v>4.3287037037037035E-3</v>
      </c>
      <c r="I1674">
        <v>2023</v>
      </c>
      <c r="J1674" t="s">
        <v>83</v>
      </c>
      <c r="K1674" s="2" t="str">
        <f>HYPERLINK("https://www.nba.com/stats/events?CFID=&amp;CFPARAMS=&amp;GameEventID=57&amp;GameID=0022301079&amp;Season=2023-24&amp;flag=1&amp;title=Leonard%2011'%20pullup%20Jump%20Shot%20(4%20PTS)", "11' pullup Jump Shot (4 PTS)")</f>
        <v>11' pullup Jump Shot (4 PTS)</v>
      </c>
      <c r="L1674" s="2" t="str">
        <f>HYPERLINK("https://www.nba.com/game/...-vs-...-0022301079/play-by-play?watchFullGame=true", "LAC vs CHA - Q1 06:14.00")</f>
        <v>LAC vs CHA - Q1 06:14.00</v>
      </c>
      <c r="M1674">
        <v>11.19</v>
      </c>
      <c r="N1674">
        <v>83.13</v>
      </c>
      <c r="O1674">
        <v>57.11</v>
      </c>
      <c r="P1674">
        <v>36</v>
      </c>
      <c r="Q1674">
        <v>106</v>
      </c>
      <c r="R1674">
        <v>83</v>
      </c>
      <c r="S1674">
        <v>57</v>
      </c>
    </row>
    <row r="1675" spans="1:19" hidden="1" x14ac:dyDescent="0.25">
      <c r="A1675">
        <v>22201082</v>
      </c>
      <c r="B1675" t="s">
        <v>18</v>
      </c>
      <c r="C1675" t="s">
        <v>19</v>
      </c>
      <c r="D1675">
        <v>45</v>
      </c>
      <c r="E1675">
        <v>41</v>
      </c>
      <c r="F1675">
        <v>4</v>
      </c>
      <c r="G1675">
        <v>2</v>
      </c>
      <c r="H1675" s="1">
        <v>2.5694444444444445E-3</v>
      </c>
      <c r="I1675">
        <v>2022</v>
      </c>
      <c r="J1675" t="s">
        <v>83</v>
      </c>
      <c r="K1675" s="2" t="str">
        <f>HYPERLINK("https://www.nba.com/stats/events?CFID=&amp;CFPARAMS=&amp;GameEventID=287&amp;GameID=0022201082&amp;Season=2022-23&amp;flag=1&amp;title=Leonard%2010'%20fadeaway%20Jump%20Shot%20(8%20PTS)", "10' fadeaway Jump Shot (8 PTS)")</f>
        <v>10' fadeaway Jump Shot (8 PTS)</v>
      </c>
      <c r="L1675" s="2" t="str">
        <f>HYPERLINK("https://www.nba.com/game/...-vs-...-0022201082/play-by-play?watchFullGame=true", "LAC vs OKC - Q2 03:42.00")</f>
        <v>LAC vs OKC - Q2 03:42.00</v>
      </c>
      <c r="M1675">
        <v>10.99</v>
      </c>
      <c r="N1675">
        <v>83.49</v>
      </c>
      <c r="O1675">
        <v>57.84</v>
      </c>
      <c r="P1675">
        <v>39</v>
      </c>
      <c r="Q1675">
        <v>103</v>
      </c>
      <c r="R1675">
        <v>83</v>
      </c>
      <c r="S1675">
        <v>57</v>
      </c>
    </row>
    <row r="1676" spans="1:19" hidden="1" x14ac:dyDescent="0.25">
      <c r="A1676">
        <v>21900090</v>
      </c>
      <c r="B1676" t="s">
        <v>18</v>
      </c>
      <c r="C1676" t="s">
        <v>84</v>
      </c>
      <c r="D1676">
        <v>86</v>
      </c>
      <c r="E1676">
        <v>84</v>
      </c>
      <c r="F1676">
        <v>2</v>
      </c>
      <c r="G1676">
        <v>4</v>
      </c>
      <c r="H1676" s="1">
        <v>3.0902777777777777E-3</v>
      </c>
      <c r="I1676">
        <v>2019</v>
      </c>
      <c r="J1676" t="s">
        <v>83</v>
      </c>
      <c r="K1676" s="2" t="str">
        <f>HYPERLINK("https://www.nba.com/stats/events?CFID=&amp;CFPARAMS=&amp;GameEventID=614&amp;GameID=0021900090&amp;Season=2019-20&amp;flag=1&amp;title=[LAC]%20Leonard%20jumpshot:%20Made%20(24%20PTS)", "[LAC] Leonard jumpshot: Made (24 PTS)")</f>
        <v>[LAC] Leonard jumpshot: Made (24 PTS)</v>
      </c>
      <c r="L1676" s="2" t="str">
        <f>HYPERLINK("https://www.nba.com/game/...-vs-...-0021900090/play-by-play?watchFullGame=true", "LAC vs UTA - Q4 04:27.00")</f>
        <v>LAC vs UTA - Q4 04:27.00</v>
      </c>
      <c r="M1676">
        <v>10.82</v>
      </c>
      <c r="N1676">
        <v>83.49</v>
      </c>
      <c r="O1676">
        <v>49.69</v>
      </c>
      <c r="P1676">
        <v>-2</v>
      </c>
      <c r="Q1676">
        <v>103</v>
      </c>
      <c r="R1676">
        <v>83</v>
      </c>
      <c r="S1676">
        <v>49</v>
      </c>
    </row>
    <row r="1677" spans="1:19" hidden="1" x14ac:dyDescent="0.25">
      <c r="A1677">
        <v>22000520</v>
      </c>
      <c r="B1677" t="s">
        <v>18</v>
      </c>
      <c r="C1677" t="s">
        <v>19</v>
      </c>
      <c r="D1677">
        <v>48</v>
      </c>
      <c r="E1677">
        <v>53</v>
      </c>
      <c r="F1677">
        <v>5</v>
      </c>
      <c r="G1677">
        <v>2</v>
      </c>
      <c r="H1677" s="1">
        <v>1.3194444444444446E-4</v>
      </c>
      <c r="I1677">
        <v>2020</v>
      </c>
      <c r="J1677" t="s">
        <v>83</v>
      </c>
      <c r="K1677" s="2" t="str">
        <f>HYPERLINK("https://www.nba.com/stats/events?CFID=&amp;CFPARAMS=&amp;GameEventID=305&amp;GameID=0022000520&amp;Season=2020-21&amp;flag=1&amp;title=Leonard%2010'%20turnaround%20fadeaway%20Jump%20Shot%20(16%20PTS)", "10' turnaround fadeaway Jump Shot (16 PTS)")</f>
        <v>10' turnaround fadeaway Jump Shot (16 PTS)</v>
      </c>
      <c r="L1677" s="2" t="str">
        <f>HYPERLINK("https://www.nba.com/game/...-vs-...-0022000520/play-by-play?watchFullGame=true", "LAC vs MIL - Q2 00:11.40")</f>
        <v>LAC vs MIL - Q2 00:11.40</v>
      </c>
      <c r="M1677">
        <v>10.81</v>
      </c>
      <c r="N1677">
        <v>83.79</v>
      </c>
      <c r="O1677">
        <v>41.74</v>
      </c>
      <c r="P1677">
        <v>-41</v>
      </c>
      <c r="Q1677">
        <v>100</v>
      </c>
      <c r="R1677">
        <v>83</v>
      </c>
      <c r="S1677">
        <v>41</v>
      </c>
    </row>
    <row r="1678" spans="1:19" hidden="1" x14ac:dyDescent="0.25">
      <c r="A1678">
        <v>22300676</v>
      </c>
      <c r="B1678" t="s">
        <v>18</v>
      </c>
      <c r="C1678" t="s">
        <v>19</v>
      </c>
      <c r="D1678">
        <v>16</v>
      </c>
      <c r="E1678">
        <v>12</v>
      </c>
      <c r="F1678">
        <v>4</v>
      </c>
      <c r="G1678">
        <v>1</v>
      </c>
      <c r="H1678" s="1">
        <v>5.347222222222222E-3</v>
      </c>
      <c r="I1678">
        <v>2023</v>
      </c>
      <c r="J1678" t="s">
        <v>83</v>
      </c>
      <c r="K1678" s="2" t="str">
        <f>HYPERLINK("https://www.nba.com/stats/events?CFID=&amp;CFPARAMS=&amp;GameEventID=43&amp;GameID=0022300676&amp;Season=2023-24&amp;flag=1&amp;title=Leonard%2010'%20pullup%20Jump%20Shot%20(5%20PTS)", "10' pullup Jump Shot (5 PTS)")</f>
        <v>10' pullup Jump Shot (5 PTS)</v>
      </c>
      <c r="L1678" s="2" t="str">
        <f>HYPERLINK("https://www.nba.com/game/...-vs-...-0022300676/play-by-play?watchFullGame=true", "LAC vs WAS - Q1 07:42.00")</f>
        <v>LAC vs WAS - Q1 07:42.00</v>
      </c>
      <c r="M1678">
        <v>10.81</v>
      </c>
      <c r="N1678">
        <v>83.92</v>
      </c>
      <c r="O1678">
        <v>58.82</v>
      </c>
      <c r="P1678">
        <v>44</v>
      </c>
      <c r="Q1678">
        <v>99</v>
      </c>
      <c r="R1678">
        <v>83</v>
      </c>
      <c r="S1678">
        <v>58</v>
      </c>
    </row>
    <row r="1679" spans="1:19" hidden="1" x14ac:dyDescent="0.25">
      <c r="A1679">
        <v>21900603</v>
      </c>
      <c r="B1679" t="s">
        <v>18</v>
      </c>
      <c r="C1679" t="s">
        <v>84</v>
      </c>
      <c r="D1679">
        <v>68</v>
      </c>
      <c r="E1679">
        <v>53</v>
      </c>
      <c r="F1679">
        <v>15</v>
      </c>
      <c r="G1679">
        <v>3</v>
      </c>
      <c r="H1679" s="1">
        <v>7.789351851851852E-3</v>
      </c>
      <c r="I1679">
        <v>2019</v>
      </c>
      <c r="J1679" t="s">
        <v>83</v>
      </c>
      <c r="K1679" s="2" t="str">
        <f>HYPERLINK("https://www.nba.com/stats/events?CFID=&amp;CFPARAMS=&amp;GameEventID=319&amp;GameID=0021900603&amp;Season=2019-20&amp;flag=1&amp;title=Leonard%2011'%20jumpshot%20(28%20PTS)", "11' jumpshot (28 PTS)")</f>
        <v>11' jumpshot (28 PTS)</v>
      </c>
      <c r="L1679" s="2" t="str">
        <f>HYPERLINK("https://www.nba.com/game/...-vs-...-0021900603/play-by-play?watchFullGame=true", "LAC vs CLE - Q3 11:13.00")</f>
        <v>LAC vs CLE - Q3 11:13.00</v>
      </c>
      <c r="M1679">
        <v>10.73</v>
      </c>
      <c r="N1679">
        <v>83.75</v>
      </c>
      <c r="O1679">
        <v>46.25</v>
      </c>
      <c r="P1679">
        <v>-19</v>
      </c>
      <c r="Q1679">
        <v>100</v>
      </c>
      <c r="R1679">
        <v>83</v>
      </c>
      <c r="S1679">
        <v>46</v>
      </c>
    </row>
    <row r="1680" spans="1:19" hidden="1" x14ac:dyDescent="0.25">
      <c r="A1680">
        <v>22000387</v>
      </c>
      <c r="B1680" t="s">
        <v>18</v>
      </c>
      <c r="C1680" t="s">
        <v>19</v>
      </c>
      <c r="D1680">
        <v>41</v>
      </c>
      <c r="E1680">
        <v>48</v>
      </c>
      <c r="F1680">
        <v>7</v>
      </c>
      <c r="G1680">
        <v>2</v>
      </c>
      <c r="H1680" s="1">
        <v>2.5694444444444445E-3</v>
      </c>
      <c r="I1680">
        <v>2020</v>
      </c>
      <c r="J1680" t="s">
        <v>83</v>
      </c>
      <c r="K1680" s="2" t="str">
        <f>HYPERLINK("https://www.nba.com/stats/events?CFID=&amp;CFPARAMS=&amp;GameEventID=277&amp;GameID=0022000387&amp;Season=2020-21&amp;flag=1&amp;title=Leonard%2010'%20turnaround%20fadeaway%20Jump%20Shot%20(14%20PTS)", "10' turnaround fadeaway Jump Shot (14 PTS)")</f>
        <v>10' turnaround fadeaway Jump Shot (14 PTS)</v>
      </c>
      <c r="L1680" s="2" t="str">
        <f>HYPERLINK("https://www.nba.com/game/...-vs-...-0022000387/play-by-play?watchFullGame=true", "LAC vs MIN - Q2 03:42.00")</f>
        <v>LAC vs MIN - Q2 03:42.00</v>
      </c>
      <c r="M1680">
        <v>10.61</v>
      </c>
      <c r="N1680">
        <v>83.13</v>
      </c>
      <c r="O1680">
        <v>50.31</v>
      </c>
      <c r="P1680">
        <v>2</v>
      </c>
      <c r="Q1680">
        <v>106</v>
      </c>
      <c r="R1680">
        <v>83</v>
      </c>
      <c r="S1680">
        <v>50</v>
      </c>
    </row>
    <row r="1681" spans="1:19" hidden="1" x14ac:dyDescent="0.25">
      <c r="A1681">
        <v>22400571</v>
      </c>
      <c r="B1681" t="s">
        <v>18</v>
      </c>
      <c r="C1681" t="s">
        <v>19</v>
      </c>
      <c r="D1681">
        <v>39</v>
      </c>
      <c r="E1681">
        <v>28</v>
      </c>
      <c r="F1681">
        <v>11</v>
      </c>
      <c r="G1681">
        <v>2</v>
      </c>
      <c r="H1681" s="1">
        <v>4.5833333333333334E-3</v>
      </c>
      <c r="I1681">
        <v>2024</v>
      </c>
      <c r="J1681" t="s">
        <v>83</v>
      </c>
      <c r="K1681" s="2" t="str">
        <f>HYPERLINK("https://www.nba.com/stats/events?CFID=&amp;CFPARAMS=&amp;GameEventID=224&amp;GameID=0022400571&amp;Season=2024-25&amp;flag=1&amp;title=Leonard%2010'%20fadeaway%20Jump%20Shot%20(12%20PTS)", "10' fadeaway Jump Shot (12 PTS)")</f>
        <v>10' fadeaway Jump Shot (12 PTS)</v>
      </c>
      <c r="L1681" s="2" t="str">
        <f>HYPERLINK("https://www.nba.com/game/...-vs-...-0022400571/play-by-play?watchFullGame=true", "LAC vs BKN - Q2 06:36.00")</f>
        <v>LAC vs BKN - Q2 06:36.00</v>
      </c>
      <c r="M1681">
        <v>10.61</v>
      </c>
      <c r="N1681">
        <v>83.13</v>
      </c>
      <c r="O1681">
        <v>50.49</v>
      </c>
      <c r="P1681">
        <v>2</v>
      </c>
      <c r="Q1681">
        <v>106</v>
      </c>
      <c r="R1681">
        <v>83</v>
      </c>
      <c r="S1681">
        <v>50</v>
      </c>
    </row>
    <row r="1682" spans="1:19" hidden="1" x14ac:dyDescent="0.25">
      <c r="A1682">
        <v>22000457</v>
      </c>
      <c r="B1682" t="s">
        <v>18</v>
      </c>
      <c r="C1682" t="s">
        <v>19</v>
      </c>
      <c r="D1682">
        <v>67</v>
      </c>
      <c r="E1682">
        <v>67</v>
      </c>
      <c r="F1682">
        <v>0</v>
      </c>
      <c r="G1682">
        <v>3</v>
      </c>
      <c r="H1682" s="1">
        <v>3.3101851851851851E-3</v>
      </c>
      <c r="I1682">
        <v>2020</v>
      </c>
      <c r="J1682" t="s">
        <v>83</v>
      </c>
      <c r="K1682" s="2" t="str">
        <f>HYPERLINK("https://www.nba.com/stats/events?CFID=&amp;CFPARAMS=&amp;GameEventID=387&amp;GameID=0022000457&amp;Season=2020-21&amp;flag=1&amp;title=Leonard%2010'%20pullup%20Jump%20Shot%20(16%20PTS)", "10' pullup Jump Shot (16 PTS)")</f>
        <v>10' pullup Jump Shot (16 PTS)</v>
      </c>
      <c r="L1682" s="2" t="str">
        <f>HYPERLINK("https://www.nba.com/game/...-vs-...-0022000457/play-by-play?watchFullGame=true", "LAC vs UTA - Q3 04:46.00")</f>
        <v>LAC vs UTA - Q3 04:46.00</v>
      </c>
      <c r="M1682">
        <v>10.55</v>
      </c>
      <c r="N1682">
        <v>83.26</v>
      </c>
      <c r="O1682">
        <v>47.62</v>
      </c>
      <c r="P1682">
        <v>-12</v>
      </c>
      <c r="Q1682">
        <v>105</v>
      </c>
      <c r="R1682">
        <v>83</v>
      </c>
      <c r="S1682">
        <v>47</v>
      </c>
    </row>
    <row r="1683" spans="1:19" hidden="1" x14ac:dyDescent="0.25">
      <c r="A1683">
        <v>22000172</v>
      </c>
      <c r="B1683" t="s">
        <v>18</v>
      </c>
      <c r="C1683" t="s">
        <v>19</v>
      </c>
      <c r="D1683">
        <v>102</v>
      </c>
      <c r="E1683">
        <v>91</v>
      </c>
      <c r="F1683">
        <v>11</v>
      </c>
      <c r="G1683">
        <v>4</v>
      </c>
      <c r="H1683" s="1">
        <v>2.8703703703703703E-3</v>
      </c>
      <c r="I1683">
        <v>2020</v>
      </c>
      <c r="J1683" t="s">
        <v>83</v>
      </c>
      <c r="K1683" s="2" t="str">
        <f>HYPERLINK("https://www.nba.com/stats/events?CFID=&amp;CFPARAMS=&amp;GameEventID=520&amp;GameID=0022000172&amp;Season=2020-21&amp;flag=1&amp;title=Leonard%2010'%20floating%20Jump%20Shot%20(25%20PTS)", "10' floating Jump Shot (25 PTS)")</f>
        <v>10' floating Jump Shot (25 PTS)</v>
      </c>
      <c r="L1683" s="2" t="str">
        <f>HYPERLINK("https://www.nba.com/game/...-vs-...-0022000172/play-by-play?watchFullGame=true", "LAC vs NOP - Q4 04:08.00")</f>
        <v>LAC vs NOP - Q4 04:08.00</v>
      </c>
      <c r="M1683">
        <v>10.35</v>
      </c>
      <c r="N1683">
        <v>83.49</v>
      </c>
      <c r="O1683">
        <v>52.63</v>
      </c>
      <c r="P1683">
        <v>13</v>
      </c>
      <c r="Q1683">
        <v>103</v>
      </c>
      <c r="R1683">
        <v>83</v>
      </c>
      <c r="S1683">
        <v>52</v>
      </c>
    </row>
    <row r="1684" spans="1:19" hidden="1" x14ac:dyDescent="0.25">
      <c r="A1684">
        <v>22300716</v>
      </c>
      <c r="B1684" t="s">
        <v>18</v>
      </c>
      <c r="C1684" t="s">
        <v>19</v>
      </c>
      <c r="D1684">
        <v>64</v>
      </c>
      <c r="E1684">
        <v>58</v>
      </c>
      <c r="F1684">
        <v>6</v>
      </c>
      <c r="G1684">
        <v>2</v>
      </c>
      <c r="H1684" s="1">
        <v>1.0532407407407407E-3</v>
      </c>
      <c r="I1684">
        <v>2023</v>
      </c>
      <c r="J1684" t="s">
        <v>83</v>
      </c>
      <c r="K1684" s="2" t="str">
        <f>HYPERLINK("https://www.nba.com/stats/events?CFID=&amp;CFPARAMS=&amp;GameEventID=282&amp;GameID=0022300716&amp;Season=2023-24&amp;flag=1&amp;title=Leonard%2010'%20turnaround%20fadeaway%20Jump%20Shot%20(12%20PTS)", "10' turnaround fadeaway Jump Shot (12 PTS)")</f>
        <v>10' turnaround fadeaway Jump Shot (12 PTS)</v>
      </c>
      <c r="L1684" s="2" t="str">
        <f>HYPERLINK("https://www.nba.com/game/...-vs-...-0022300716/play-by-play?watchFullGame=true", "LAC vs ATL - Q2 01:31.00")</f>
        <v>LAC vs ATL - Q2 01:31.00</v>
      </c>
      <c r="M1684">
        <v>10.199999999999999</v>
      </c>
      <c r="N1684">
        <v>83.79</v>
      </c>
      <c r="O1684">
        <v>54.17</v>
      </c>
      <c r="P1684">
        <v>21</v>
      </c>
      <c r="Q1684">
        <v>100</v>
      </c>
      <c r="R1684">
        <v>83</v>
      </c>
      <c r="S1684">
        <v>54</v>
      </c>
    </row>
    <row r="1685" spans="1:19" hidden="1" x14ac:dyDescent="0.25">
      <c r="A1685">
        <v>22200991</v>
      </c>
      <c r="B1685" t="s">
        <v>18</v>
      </c>
      <c r="C1685" t="s">
        <v>19</v>
      </c>
      <c r="D1685">
        <v>6</v>
      </c>
      <c r="E1685">
        <v>11</v>
      </c>
      <c r="F1685">
        <v>5</v>
      </c>
      <c r="G1685">
        <v>1</v>
      </c>
      <c r="H1685" s="1">
        <v>4.5370370370370373E-3</v>
      </c>
      <c r="I1685">
        <v>2022</v>
      </c>
      <c r="J1685" t="s">
        <v>83</v>
      </c>
      <c r="K1685" s="2" t="str">
        <f>HYPERLINK("https://www.nba.com/stats/events?CFID=&amp;CFPARAMS=&amp;GameEventID=51&amp;GameID=0022200991&amp;Season=2022-23&amp;flag=1&amp;title=Leonard%2010'%20pullup%20Jump%20Shot%20(4%20PTS)", "10' pullup Jump Shot (4 PTS)")</f>
        <v>10' pullup Jump Shot (4 PTS)</v>
      </c>
      <c r="L1685" s="2" t="str">
        <f>HYPERLINK("https://www.nba.com/game/...-vs-...-0022200991/play-by-play?watchFullGame=true", "LAC vs TOR - Q1 06:32.00")</f>
        <v>LAC vs TOR - Q1 06:32.00</v>
      </c>
      <c r="M1685">
        <v>10.19</v>
      </c>
      <c r="N1685">
        <v>83.62</v>
      </c>
      <c r="O1685">
        <v>48.04</v>
      </c>
      <c r="P1685">
        <v>-10</v>
      </c>
      <c r="Q1685">
        <v>101</v>
      </c>
      <c r="R1685">
        <v>83</v>
      </c>
      <c r="S1685">
        <v>48</v>
      </c>
    </row>
    <row r="1686" spans="1:19" hidden="1" x14ac:dyDescent="0.25">
      <c r="A1686">
        <v>22400983</v>
      </c>
      <c r="B1686" t="s">
        <v>18</v>
      </c>
      <c r="C1686" t="s">
        <v>19</v>
      </c>
      <c r="D1686">
        <v>46</v>
      </c>
      <c r="E1686">
        <v>22</v>
      </c>
      <c r="F1686">
        <v>24</v>
      </c>
      <c r="G1686">
        <v>2</v>
      </c>
      <c r="H1686" s="1">
        <v>5.4050925925925924E-3</v>
      </c>
      <c r="I1686">
        <v>2024</v>
      </c>
      <c r="J1686" t="s">
        <v>83</v>
      </c>
      <c r="K1686" s="2" t="str">
        <f>HYPERLINK("https://www.nba.com/stats/events?CFID=&amp;CFPARAMS=&amp;GameEventID=212&amp;GameID=0022400983&amp;Season=2024-25&amp;flag=1&amp;title=Leonard%2010'%20pullup%20Jump%20Shot%20(4%20PTS)%20(T.%20Mann%203%20AST)", "10' pullup Jump Shot (4 PTS) (T. Mann 3 AST)")</f>
        <v>10' pullup Jump Shot (4 PTS) (T. Mann 3 AST)</v>
      </c>
      <c r="L1686" s="2" t="str">
        <f>HYPERLINK("https://www.nba.com/game/...-vs-...-0022400983/play-by-play?watchFullGame=true", "LAC vs WAS - Q2 07:47.00")</f>
        <v>LAC vs WAS - Q2 07:47.00</v>
      </c>
      <c r="M1686">
        <v>10.1</v>
      </c>
      <c r="N1686">
        <v>83.79</v>
      </c>
      <c r="O1686">
        <v>52.94</v>
      </c>
      <c r="P1686">
        <v>15</v>
      </c>
      <c r="Q1686">
        <v>100</v>
      </c>
      <c r="R1686">
        <v>83</v>
      </c>
      <c r="S1686">
        <v>52</v>
      </c>
    </row>
    <row r="1687" spans="1:19" hidden="1" x14ac:dyDescent="0.25">
      <c r="A1687">
        <v>22200902</v>
      </c>
      <c r="B1687" t="s">
        <v>18</v>
      </c>
      <c r="C1687" t="s">
        <v>19</v>
      </c>
      <c r="D1687">
        <v>27</v>
      </c>
      <c r="E1687">
        <v>27</v>
      </c>
      <c r="F1687">
        <v>0</v>
      </c>
      <c r="G1687">
        <v>1</v>
      </c>
      <c r="H1687" s="1">
        <v>2.9513888888888888E-3</v>
      </c>
      <c r="I1687">
        <v>2022</v>
      </c>
      <c r="J1687" t="s">
        <v>83</v>
      </c>
      <c r="K1687" s="2" t="str">
        <f>HYPERLINK("https://www.nba.com/stats/events?CFID=&amp;CFPARAMS=&amp;GameEventID=100&amp;GameID=0022200902&amp;Season=2022-23&amp;flag=1&amp;title=Leonard%2015'%20turnaround%20fadeaway%20Jump%20Shot%20(9%20PTS)", "15' turnaround fadeaway Jump Shot (9 PTS)")</f>
        <v>15' turnaround fadeaway Jump Shot (9 PTS)</v>
      </c>
      <c r="L1687" s="2" t="str">
        <f>HYPERLINK("https://www.nba.com/game/...-vs-...-0022200902/play-by-play?watchFullGame=true", "LAC vs SAC - Q1 04:15.00")</f>
        <v>LAC vs SAC - Q1 04:15.00</v>
      </c>
      <c r="M1687">
        <v>15.35</v>
      </c>
      <c r="N1687">
        <v>84.94</v>
      </c>
      <c r="O1687">
        <v>25</v>
      </c>
      <c r="P1687">
        <v>-125</v>
      </c>
      <c r="Q1687">
        <v>89</v>
      </c>
      <c r="R1687">
        <v>84</v>
      </c>
      <c r="S1687">
        <v>25</v>
      </c>
    </row>
    <row r="1688" spans="1:19" hidden="1" x14ac:dyDescent="0.25">
      <c r="A1688">
        <v>22200480</v>
      </c>
      <c r="B1688" t="s">
        <v>18</v>
      </c>
      <c r="C1688" t="s">
        <v>19</v>
      </c>
      <c r="D1688">
        <v>7</v>
      </c>
      <c r="E1688">
        <v>4</v>
      </c>
      <c r="F1688">
        <v>3</v>
      </c>
      <c r="G1688">
        <v>1</v>
      </c>
      <c r="H1688" s="1">
        <v>7.1064814814814819E-3</v>
      </c>
      <c r="I1688">
        <v>2022</v>
      </c>
      <c r="J1688" t="s">
        <v>83</v>
      </c>
      <c r="K1688" s="2" t="str">
        <f>HYPERLINK("https://www.nba.com/stats/events?CFID=&amp;CFPARAMS=&amp;GameEventID=14&amp;GameID=0022200480&amp;Season=2022-23&amp;flag=1&amp;title=Leonard%2015'%20turnaround%20fadeaway%20Jump%20Shot%20(4%20PTS)", "15' turnaround fadeaway Jump Shot (4 PTS)")</f>
        <v>15' turnaround fadeaway Jump Shot (4 PTS)</v>
      </c>
      <c r="L1688" s="2" t="str">
        <f>HYPERLINK("https://www.nba.com/game/...-vs-...-0022200480/play-by-play?watchFullGame=true", "LAC vs PHI - Q1 10:14.00")</f>
        <v>LAC vs PHI - Q1 10:14.00</v>
      </c>
      <c r="M1688">
        <v>15.62</v>
      </c>
      <c r="N1688">
        <v>84.28</v>
      </c>
      <c r="O1688">
        <v>74.75</v>
      </c>
      <c r="P1688">
        <v>124</v>
      </c>
      <c r="Q1688">
        <v>95</v>
      </c>
      <c r="R1688">
        <v>84</v>
      </c>
      <c r="S1688">
        <v>74</v>
      </c>
    </row>
    <row r="1689" spans="1:19" hidden="1" x14ac:dyDescent="0.25">
      <c r="A1689">
        <v>41900234</v>
      </c>
      <c r="B1689" t="s">
        <v>18</v>
      </c>
      <c r="C1689" t="s">
        <v>84</v>
      </c>
      <c r="D1689">
        <v>92</v>
      </c>
      <c r="E1689">
        <v>74</v>
      </c>
      <c r="F1689">
        <v>18</v>
      </c>
      <c r="G1689">
        <v>4</v>
      </c>
      <c r="H1689" s="1">
        <v>3.0902777777777777E-3</v>
      </c>
      <c r="I1689" t="s">
        <v>85</v>
      </c>
      <c r="J1689" t="s">
        <v>83</v>
      </c>
      <c r="K1689" s="2" t="str">
        <f>HYPERLINK("https://www.nba.com/stats/events?CFID=&amp;CFPARAMS=&amp;GameEventID=605&amp;GameID=0041900234&amp;Season=2019-20&amp;flag=1&amp;title=Leonard%2017'%20jumpshot%20(30%20PTS)", "17' jumpshot (30 PTS)")</f>
        <v>17' jumpshot (30 PTS)</v>
      </c>
      <c r="L1689" s="2" t="str">
        <f>HYPERLINK("https://www.nba.com/game/...-vs-...-0041900234/play-by-play?watchFullGame=true", "LAC vs DEN - Q4 04:27.00")</f>
        <v>LAC vs DEN - Q4 04:27.00</v>
      </c>
      <c r="M1689">
        <v>16.89</v>
      </c>
      <c r="N1689">
        <v>84.05</v>
      </c>
      <c r="O1689">
        <v>76.78</v>
      </c>
      <c r="P1689">
        <v>134</v>
      </c>
      <c r="Q1689">
        <v>97</v>
      </c>
      <c r="R1689">
        <v>84</v>
      </c>
      <c r="S1689">
        <v>76</v>
      </c>
    </row>
    <row r="1690" spans="1:19" hidden="1" x14ac:dyDescent="0.25">
      <c r="A1690">
        <v>22300618</v>
      </c>
      <c r="B1690" t="s">
        <v>18</v>
      </c>
      <c r="C1690" t="s">
        <v>19</v>
      </c>
      <c r="D1690">
        <v>60</v>
      </c>
      <c r="E1690">
        <v>51</v>
      </c>
      <c r="F1690">
        <v>9</v>
      </c>
      <c r="G1690">
        <v>2</v>
      </c>
      <c r="H1690" s="1">
        <v>3.7384259259259259E-3</v>
      </c>
      <c r="I1690">
        <v>2023</v>
      </c>
      <c r="J1690" t="s">
        <v>83</v>
      </c>
      <c r="K1690" s="2" t="str">
        <f>HYPERLINK("https://www.nba.com/stats/events?CFID=&amp;CFPARAMS=&amp;GameEventID=243&amp;GameID=0022300618&amp;Season=2023-24&amp;flag=1&amp;title=Leonard%2017'%20pullup%20Jump%20Shot%20(10%20PTS)", "17' pullup Jump Shot (10 PTS)")</f>
        <v>17' pullup Jump Shot (10 PTS)</v>
      </c>
      <c r="L1690" s="2" t="str">
        <f>HYPERLINK("https://www.nba.com/game/...-vs-...-0022300618/play-by-play?watchFullGame=true", "LAC vs LAL - Q2 05:23.00")</f>
        <v>LAC vs LAL - Q2 05:23.00</v>
      </c>
      <c r="M1690">
        <v>17.829999999999998</v>
      </c>
      <c r="N1690">
        <v>84.28</v>
      </c>
      <c r="O1690">
        <v>80.150000000000006</v>
      </c>
      <c r="P1690">
        <v>151</v>
      </c>
      <c r="Q1690">
        <v>95</v>
      </c>
      <c r="R1690">
        <v>84</v>
      </c>
      <c r="S1690">
        <v>80</v>
      </c>
    </row>
    <row r="1691" spans="1:19" hidden="1" x14ac:dyDescent="0.25">
      <c r="A1691">
        <v>22000457</v>
      </c>
      <c r="B1691" t="s">
        <v>18</v>
      </c>
      <c r="C1691" t="s">
        <v>19</v>
      </c>
      <c r="D1691">
        <v>61</v>
      </c>
      <c r="E1691">
        <v>56</v>
      </c>
      <c r="F1691">
        <v>5</v>
      </c>
      <c r="G1691">
        <v>3</v>
      </c>
      <c r="H1691" s="1">
        <v>6.076388888888889E-3</v>
      </c>
      <c r="I1691">
        <v>2020</v>
      </c>
      <c r="J1691" t="s">
        <v>83</v>
      </c>
      <c r="K1691" s="2" t="str">
        <f>HYPERLINK("https://www.nba.com/stats/events?CFID=&amp;CFPARAMS=&amp;GameEventID=331&amp;GameID=0022000457&amp;Season=2020-21&amp;flag=1&amp;title=Leonard%2017'%20step%20back%20Jump%20Shot%20(14%20PTS)%20(P.%20George%202%20AST)", "17' step back Jump Shot (14 PTS) (P. George 2 AST)")</f>
        <v>17' step back Jump Shot (14 PTS) (P. George 2 AST)</v>
      </c>
      <c r="L1691" s="2" t="str">
        <f>HYPERLINK("https://www.nba.com/game/...-vs-...-0022000457/play-by-play?watchFullGame=true", "LAC vs UTA - Q3 08:45.00")</f>
        <v>LAC vs UTA - Q3 08:45.00</v>
      </c>
      <c r="M1691">
        <v>17.75</v>
      </c>
      <c r="N1691">
        <v>84.71</v>
      </c>
      <c r="O1691">
        <v>80.459999999999994</v>
      </c>
      <c r="P1691">
        <v>152</v>
      </c>
      <c r="Q1691">
        <v>91</v>
      </c>
      <c r="R1691">
        <v>84</v>
      </c>
      <c r="S1691">
        <v>80</v>
      </c>
    </row>
    <row r="1692" spans="1:19" hidden="1" x14ac:dyDescent="0.25">
      <c r="A1692">
        <v>22000400</v>
      </c>
      <c r="B1692" t="s">
        <v>18</v>
      </c>
      <c r="C1692" t="s">
        <v>19</v>
      </c>
      <c r="D1692">
        <v>26</v>
      </c>
      <c r="E1692">
        <v>18</v>
      </c>
      <c r="F1692">
        <v>8</v>
      </c>
      <c r="G1692">
        <v>1</v>
      </c>
      <c r="H1692" s="1">
        <v>7.407407407407407E-4</v>
      </c>
      <c r="I1692">
        <v>2020</v>
      </c>
      <c r="J1692" t="s">
        <v>83</v>
      </c>
      <c r="K1692" s="2" t="str">
        <f>HYPERLINK("https://www.nba.com/stats/events?CFID=&amp;CFPARAMS=&amp;GameEventID=140&amp;GameID=0022000400&amp;Season=2020-21&amp;flag=1&amp;title=Leonard%2018'%20Jump%20Shot%20(6%20PTS)", "18' Jump Shot (6 PTS)")</f>
        <v>18' Jump Shot (6 PTS)</v>
      </c>
      <c r="L1692" s="2" t="str">
        <f>HYPERLINK("https://www.nba.com/game/...-vs-...-0022000400/play-by-play?watchFullGame=true", "LAC vs CHI - Q1 01:04.00")</f>
        <v>LAC vs CHI - Q1 01:04.00</v>
      </c>
      <c r="M1692">
        <v>18.489999999999998</v>
      </c>
      <c r="N1692">
        <v>84.05</v>
      </c>
      <c r="O1692">
        <v>81.44</v>
      </c>
      <c r="P1692">
        <v>157</v>
      </c>
      <c r="Q1692">
        <v>97</v>
      </c>
      <c r="R1692">
        <v>84</v>
      </c>
      <c r="S1692">
        <v>81</v>
      </c>
    </row>
    <row r="1693" spans="1:19" hidden="1" x14ac:dyDescent="0.25">
      <c r="A1693">
        <v>22200016</v>
      </c>
      <c r="B1693" t="s">
        <v>18</v>
      </c>
      <c r="C1693" t="s">
        <v>19</v>
      </c>
      <c r="D1693">
        <v>52</v>
      </c>
      <c r="E1693">
        <v>36</v>
      </c>
      <c r="F1693">
        <v>16</v>
      </c>
      <c r="G1693">
        <v>2</v>
      </c>
      <c r="H1693" s="1">
        <v>3.7847222222222223E-3</v>
      </c>
      <c r="I1693">
        <v>2022</v>
      </c>
      <c r="J1693" t="s">
        <v>83</v>
      </c>
      <c r="K1693" s="2" t="str">
        <f>HYPERLINK("https://www.nba.com/stats/events?CFID=&amp;CFPARAMS=&amp;GameEventID=259&amp;GameID=0022200016&amp;Season=2022-23&amp;flag=1&amp;title=Leonard%2014'%20fadeaway%20Jump%20Shot%20(4%20PTS)", "14' fadeaway Jump Shot (4 PTS)")</f>
        <v>14' fadeaway Jump Shot (4 PTS)</v>
      </c>
      <c r="L1693" s="2" t="str">
        <f>HYPERLINK("https://www.nba.com/game/...-vs-...-0022200016/play-by-play?watchFullGame=true", "LAC vs LAL - Q2 05:27.00")</f>
        <v>LAC vs LAL - Q2 05:27.00</v>
      </c>
      <c r="M1693">
        <v>14.86</v>
      </c>
      <c r="N1693">
        <v>84.1</v>
      </c>
      <c r="O1693">
        <v>72.53</v>
      </c>
      <c r="P1693">
        <v>113</v>
      </c>
      <c r="Q1693">
        <v>97</v>
      </c>
      <c r="R1693">
        <v>84</v>
      </c>
      <c r="S1693">
        <v>72</v>
      </c>
    </row>
    <row r="1694" spans="1:19" hidden="1" x14ac:dyDescent="0.25">
      <c r="A1694">
        <v>21901307</v>
      </c>
      <c r="B1694" t="s">
        <v>18</v>
      </c>
      <c r="C1694" t="s">
        <v>84</v>
      </c>
      <c r="D1694">
        <v>63</v>
      </c>
      <c r="E1694">
        <v>63</v>
      </c>
      <c r="F1694">
        <v>0</v>
      </c>
      <c r="G1694">
        <v>3</v>
      </c>
      <c r="H1694" s="1">
        <v>5.9027777777777776E-3</v>
      </c>
      <c r="I1694">
        <v>2019</v>
      </c>
      <c r="J1694" t="s">
        <v>83</v>
      </c>
      <c r="K1694" s="2" t="str">
        <f>HYPERLINK("https://www.nba.com/stats/events?CFID=&amp;CFPARAMS=&amp;GameEventID=365&amp;GameID=0021901307&amp;Season=2019-20&amp;flag=1&amp;title=Leonard%2014'%20jumpshot%20(18%20PTS)", "14' jumpshot (18 PTS)")</f>
        <v>14' jumpshot (18 PTS)</v>
      </c>
      <c r="L1694" s="2" t="str">
        <f>HYPERLINK("https://www.nba.com/game/...-vs-...-0021901307/play-by-play?watchFullGame=true", "LAC vs DEN - Q3 08:30.00")</f>
        <v>LAC vs DEN - Q3 08:30.00</v>
      </c>
      <c r="M1694">
        <v>14.24</v>
      </c>
      <c r="N1694">
        <v>84.05</v>
      </c>
      <c r="O1694">
        <v>69.680000000000007</v>
      </c>
      <c r="P1694">
        <v>98</v>
      </c>
      <c r="Q1694">
        <v>97</v>
      </c>
      <c r="R1694">
        <v>84</v>
      </c>
      <c r="S1694">
        <v>69</v>
      </c>
    </row>
    <row r="1695" spans="1:19" hidden="1" x14ac:dyDescent="0.25">
      <c r="A1695">
        <v>41900154</v>
      </c>
      <c r="B1695" t="s">
        <v>18</v>
      </c>
      <c r="C1695" t="s">
        <v>84</v>
      </c>
      <c r="D1695">
        <v>125</v>
      </c>
      <c r="E1695">
        <v>123</v>
      </c>
      <c r="F1695">
        <v>2</v>
      </c>
      <c r="G1695">
        <v>5</v>
      </c>
      <c r="H1695" s="1">
        <v>2.3842592592592591E-3</v>
      </c>
      <c r="I1695" t="s">
        <v>86</v>
      </c>
      <c r="J1695" t="s">
        <v>83</v>
      </c>
      <c r="K1695" s="2" t="str">
        <f>HYPERLINK("https://www.nba.com/stats/events?CFID=&amp;CFPARAMS=&amp;GameEventID=709&amp;GameID=0041900154&amp;Season=2019-20&amp;flag=1&amp;title=Leonard%2014'%20jumpshot%20(32%20PTS)", "14' jumpshot (32 PTS)")</f>
        <v>14' jumpshot (32 PTS)</v>
      </c>
      <c r="L1695" s="2" t="str">
        <f>HYPERLINK("https://www.nba.com/game/...-vs-...-0041900154/play-by-play?watchFullGame=true", "LAC vs DAL - Q5 03:26.00")</f>
        <v>LAC vs DAL - Q5 03:26.00</v>
      </c>
      <c r="M1695">
        <v>13.8</v>
      </c>
      <c r="N1695">
        <v>84.97</v>
      </c>
      <c r="O1695">
        <v>70.17</v>
      </c>
      <c r="P1695">
        <v>101</v>
      </c>
      <c r="Q1695">
        <v>89</v>
      </c>
      <c r="R1695">
        <v>84</v>
      </c>
      <c r="S1695">
        <v>70</v>
      </c>
    </row>
    <row r="1696" spans="1:19" hidden="1" x14ac:dyDescent="0.25">
      <c r="A1696">
        <v>21900626</v>
      </c>
      <c r="B1696" t="s">
        <v>18</v>
      </c>
      <c r="C1696" t="s">
        <v>84</v>
      </c>
      <c r="D1696">
        <v>130</v>
      </c>
      <c r="E1696">
        <v>122</v>
      </c>
      <c r="F1696">
        <v>8</v>
      </c>
      <c r="G1696">
        <v>4</v>
      </c>
      <c r="H1696" s="1">
        <v>1.712962962962963E-3</v>
      </c>
      <c r="I1696">
        <v>2019</v>
      </c>
      <c r="J1696" t="s">
        <v>83</v>
      </c>
      <c r="K1696" s="2" t="str">
        <f>HYPERLINK("https://www.nba.com/stats/events?CFID=&amp;CFPARAMS=&amp;GameEventID=718&amp;GameID=0021900626&amp;Season=2019-20&amp;flag=1&amp;title=Leonard%2013'%20jumpshot%20(39%20PTS)", "13' jumpshot (39 PTS)")</f>
        <v>13' jumpshot (39 PTS)</v>
      </c>
      <c r="L1696" s="2" t="str">
        <f>HYPERLINK("https://www.nba.com/game/...-vs-...-0021900626/play-by-play?watchFullGame=true", "LAC vs NOP - Q4 02:28.00")</f>
        <v>LAC vs NOP - Q4 02:28.00</v>
      </c>
      <c r="M1696">
        <v>13.44</v>
      </c>
      <c r="N1696">
        <v>84.18</v>
      </c>
      <c r="O1696">
        <v>32.42</v>
      </c>
      <c r="P1696">
        <v>-88</v>
      </c>
      <c r="Q1696">
        <v>96</v>
      </c>
      <c r="R1696">
        <v>84</v>
      </c>
      <c r="S1696">
        <v>32</v>
      </c>
    </row>
    <row r="1697" spans="1:19" hidden="1" x14ac:dyDescent="0.25">
      <c r="A1697">
        <v>22200795</v>
      </c>
      <c r="B1697" t="s">
        <v>18</v>
      </c>
      <c r="C1697" t="s">
        <v>19</v>
      </c>
      <c r="D1697">
        <v>18</v>
      </c>
      <c r="E1697">
        <v>11</v>
      </c>
      <c r="F1697">
        <v>7</v>
      </c>
      <c r="G1697">
        <v>1</v>
      </c>
      <c r="H1697" s="1">
        <v>5.1041666666666666E-3</v>
      </c>
      <c r="I1697">
        <v>2022</v>
      </c>
      <c r="J1697" t="s">
        <v>83</v>
      </c>
      <c r="K1697" s="2" t="str">
        <f>HYPERLINK("https://www.nba.com/stats/events?CFID=&amp;CFPARAMS=&amp;GameEventID=40&amp;GameID=0022200795&amp;Season=2022-23&amp;flag=1&amp;title=Leonard%2013'%20pullup%20Jump%20Shot%20(2%20PTS)", "13' pullup Jump Shot (2 PTS)")</f>
        <v>13' pullup Jump Shot (2 PTS)</v>
      </c>
      <c r="L1697" s="2" t="str">
        <f>HYPERLINK("https://www.nba.com/game/...-vs-...-0022200795/play-by-play?watchFullGame=true", "LAC vs NYK - Q1 07:21.00")</f>
        <v>LAC vs NYK - Q1 07:21.00</v>
      </c>
      <c r="M1697">
        <v>13.32</v>
      </c>
      <c r="N1697">
        <v>84.97</v>
      </c>
      <c r="O1697">
        <v>30.15</v>
      </c>
      <c r="P1697">
        <v>-99</v>
      </c>
      <c r="Q1697">
        <v>89</v>
      </c>
      <c r="R1697">
        <v>84</v>
      </c>
      <c r="S1697">
        <v>30</v>
      </c>
    </row>
    <row r="1698" spans="1:19" hidden="1" x14ac:dyDescent="0.25">
      <c r="A1698">
        <v>21900576</v>
      </c>
      <c r="B1698" t="s">
        <v>18</v>
      </c>
      <c r="C1698" t="s">
        <v>84</v>
      </c>
      <c r="D1698">
        <v>18</v>
      </c>
      <c r="E1698">
        <v>9</v>
      </c>
      <c r="F1698">
        <v>9</v>
      </c>
      <c r="G1698">
        <v>1</v>
      </c>
      <c r="H1698" s="1">
        <v>3.3912037037037036E-3</v>
      </c>
      <c r="I1698">
        <v>2019</v>
      </c>
      <c r="J1698" t="s">
        <v>83</v>
      </c>
      <c r="K1698" s="2" t="str">
        <f>HYPERLINK("https://www.nba.com/stats/events?CFID=&amp;CFPARAMS=&amp;GameEventID=86&amp;GameID=0021900576&amp;Season=2019-20&amp;flag=1&amp;title=Leonard%2013'%20jumpshot%20(7%20PTS)", "13' jumpshot (7 PTS)")</f>
        <v>13' jumpshot (7 PTS)</v>
      </c>
      <c r="L1698" s="2" t="str">
        <f>HYPERLINK("https://www.nba.com/game/...-vs-...-0021900576/play-by-play?watchFullGame=true", "LAC vs GSW - Q1 04:53.00")</f>
        <v>LAC vs GSW - Q1 04:53.00</v>
      </c>
      <c r="M1698">
        <v>13.3</v>
      </c>
      <c r="N1698">
        <v>84.28</v>
      </c>
      <c r="O1698">
        <v>67.33</v>
      </c>
      <c r="P1698">
        <v>87</v>
      </c>
      <c r="Q1698">
        <v>95</v>
      </c>
      <c r="R1698">
        <v>84</v>
      </c>
      <c r="S1698">
        <v>67</v>
      </c>
    </row>
    <row r="1699" spans="1:19" hidden="1" x14ac:dyDescent="0.25">
      <c r="A1699">
        <v>22200719</v>
      </c>
      <c r="B1699" t="s">
        <v>18</v>
      </c>
      <c r="C1699" t="s">
        <v>19</v>
      </c>
      <c r="D1699">
        <v>4</v>
      </c>
      <c r="E1699">
        <v>0</v>
      </c>
      <c r="F1699">
        <v>4</v>
      </c>
      <c r="G1699">
        <v>1</v>
      </c>
      <c r="H1699" s="1">
        <v>7.8125E-3</v>
      </c>
      <c r="I1699">
        <v>2022</v>
      </c>
      <c r="J1699" t="s">
        <v>83</v>
      </c>
      <c r="K1699" s="2" t="str">
        <f>HYPERLINK("https://www.nba.com/stats/events?CFID=&amp;CFPARAMS=&amp;GameEventID=10&amp;GameID=0022200719&amp;Season=2022-23&amp;flag=1&amp;title=Leonard%2012'%20pullup%20Jump%20Shot%20(4%20PTS)%20(P.%20George%201%20AST)", "12' pullup Jump Shot (4 PTS) (P. George 1 AST)")</f>
        <v>12' pullup Jump Shot (4 PTS) (P. George 1 AST)</v>
      </c>
      <c r="L1699" s="2" t="str">
        <f>HYPERLINK("https://www.nba.com/game/...-vs-...-0022200719/play-by-play?watchFullGame=true", "LAC vs LAL - Q1 11:15.00")</f>
        <v>LAC vs LAL - Q1 11:15.00</v>
      </c>
      <c r="M1699">
        <v>12.89</v>
      </c>
      <c r="N1699">
        <v>84.94</v>
      </c>
      <c r="O1699">
        <v>68.63</v>
      </c>
      <c r="P1699">
        <v>93</v>
      </c>
      <c r="Q1699">
        <v>89</v>
      </c>
      <c r="R1699">
        <v>84</v>
      </c>
      <c r="S1699">
        <v>68</v>
      </c>
    </row>
    <row r="1700" spans="1:19" hidden="1" x14ac:dyDescent="0.25">
      <c r="A1700">
        <v>22300537</v>
      </c>
      <c r="B1700" t="s">
        <v>18</v>
      </c>
      <c r="C1700" t="s">
        <v>19</v>
      </c>
      <c r="D1700">
        <v>72</v>
      </c>
      <c r="E1700">
        <v>56</v>
      </c>
      <c r="F1700">
        <v>16</v>
      </c>
      <c r="G1700">
        <v>3</v>
      </c>
      <c r="H1700" s="1">
        <v>7.0023148148148145E-3</v>
      </c>
      <c r="I1700">
        <v>2023</v>
      </c>
      <c r="J1700" t="s">
        <v>83</v>
      </c>
      <c r="K1700" s="2" t="str">
        <f>HYPERLINK("https://www.nba.com/stats/events?CFID=&amp;CFPARAMS=&amp;GameEventID=333&amp;GameID=0022300537&amp;Season=2023-24&amp;flag=1&amp;title=Leonard%2012'%20pullup%20Jump%20Shot%20(13%20PTS)", "12' pullup Jump Shot (13 PTS)")</f>
        <v>12' pullup Jump Shot (13 PTS)</v>
      </c>
      <c r="L1700" s="2" t="str">
        <f>HYPERLINK("https://www.nba.com/game/...-vs-...-0022300537/play-by-play?watchFullGame=true", "LAC vs MEM - Q3 10:05.00")</f>
        <v>LAC vs MEM - Q3 10:05.00</v>
      </c>
      <c r="M1700">
        <v>12.6</v>
      </c>
      <c r="N1700">
        <v>84.84</v>
      </c>
      <c r="O1700">
        <v>32.35</v>
      </c>
      <c r="P1700">
        <v>-88</v>
      </c>
      <c r="Q1700">
        <v>90</v>
      </c>
      <c r="R1700">
        <v>84</v>
      </c>
      <c r="S1700">
        <v>32</v>
      </c>
    </row>
    <row r="1701" spans="1:19" hidden="1" x14ac:dyDescent="0.25">
      <c r="A1701">
        <v>22300273</v>
      </c>
      <c r="B1701" t="s">
        <v>18</v>
      </c>
      <c r="C1701" t="s">
        <v>19</v>
      </c>
      <c r="D1701">
        <v>18</v>
      </c>
      <c r="E1701">
        <v>14</v>
      </c>
      <c r="F1701">
        <v>4</v>
      </c>
      <c r="G1701">
        <v>1</v>
      </c>
      <c r="H1701" s="1">
        <v>3.1597222222222222E-3</v>
      </c>
      <c r="I1701">
        <v>2023</v>
      </c>
      <c r="J1701" t="s">
        <v>83</v>
      </c>
      <c r="K1701" s="2" t="str">
        <f>HYPERLINK("https://www.nba.com/stats/events?CFID=&amp;CFPARAMS=&amp;GameEventID=81&amp;GameID=0022300273&amp;Season=2023-24&amp;flag=1&amp;title=Leonard%2011'%20driving%20floating%20Jump%20Shot%20(4%20PTS)%20(T.%20Mann%201%20AST)", "11' driving floating Jump Shot (4 PTS) (T. Mann 1 AST)")</f>
        <v>11' driving floating Jump Shot (4 PTS) (T. Mann 1 AST)</v>
      </c>
      <c r="L1701" s="2" t="str">
        <f>HYPERLINK("https://www.nba.com/game/...-vs-...-0022300273/play-by-play?watchFullGame=true", "LAC vs GSW - Q1 04:33.00")</f>
        <v>LAC vs GSW - Q1 04:33.00</v>
      </c>
      <c r="M1701">
        <v>11.91</v>
      </c>
      <c r="N1701">
        <v>84.44</v>
      </c>
      <c r="O1701">
        <v>35.29</v>
      </c>
      <c r="P1701">
        <v>-74</v>
      </c>
      <c r="Q1701">
        <v>94</v>
      </c>
      <c r="R1701">
        <v>84</v>
      </c>
      <c r="S1701">
        <v>35</v>
      </c>
    </row>
    <row r="1702" spans="1:19" hidden="1" x14ac:dyDescent="0.25">
      <c r="A1702">
        <v>41900152</v>
      </c>
      <c r="B1702" t="s">
        <v>18</v>
      </c>
      <c r="C1702" t="s">
        <v>84</v>
      </c>
      <c r="D1702">
        <v>110</v>
      </c>
      <c r="E1702">
        <v>120</v>
      </c>
      <c r="F1702">
        <v>10</v>
      </c>
      <c r="G1702">
        <v>4</v>
      </c>
      <c r="H1702" s="1">
        <v>2.4074074074074076E-3</v>
      </c>
      <c r="I1702" t="s">
        <v>86</v>
      </c>
      <c r="J1702" t="s">
        <v>83</v>
      </c>
      <c r="K1702" s="2" t="str">
        <f>HYPERLINK("https://www.nba.com/stats/events?CFID=&amp;CFPARAMS=&amp;GameEventID=681&amp;GameID=0041900152&amp;Season=2019-20&amp;flag=1&amp;title=Leonard%2012'%20jumpshot%20(35%20PTS)", "12' jumpshot (35 PTS)")</f>
        <v>12' jumpshot (35 PTS)</v>
      </c>
      <c r="L1702" s="2" t="str">
        <f>HYPERLINK("https://www.nba.com/game/...-vs-...-0041900152/play-by-play?watchFullGame=true", "LAC vs DAL - Q4 03:28.00")</f>
        <v>LAC vs DAL - Q4 03:28.00</v>
      </c>
      <c r="M1702">
        <v>11.9</v>
      </c>
      <c r="N1702">
        <v>84.44</v>
      </c>
      <c r="O1702">
        <v>36.83</v>
      </c>
      <c r="P1702">
        <v>-66</v>
      </c>
      <c r="Q1702">
        <v>94</v>
      </c>
      <c r="R1702">
        <v>84</v>
      </c>
      <c r="S1702">
        <v>36</v>
      </c>
    </row>
    <row r="1703" spans="1:19" hidden="1" x14ac:dyDescent="0.25">
      <c r="A1703">
        <v>21900653</v>
      </c>
      <c r="B1703" t="s">
        <v>18</v>
      </c>
      <c r="C1703" t="s">
        <v>84</v>
      </c>
      <c r="D1703">
        <v>92</v>
      </c>
      <c r="E1703">
        <v>92</v>
      </c>
      <c r="F1703">
        <v>0</v>
      </c>
      <c r="G1703">
        <v>4</v>
      </c>
      <c r="H1703" s="1">
        <v>3.7962962962962963E-3</v>
      </c>
      <c r="I1703">
        <v>2019</v>
      </c>
      <c r="J1703" t="s">
        <v>83</v>
      </c>
      <c r="K1703" s="2" t="str">
        <f>HYPERLINK("https://www.nba.com/stats/events?CFID=&amp;CFPARAMS=&amp;GameEventID=633&amp;GameID=0021900653&amp;Season=2019-20&amp;flag=1&amp;title=Leonard%2012'%20jumpshot%20(27%20PTS)", "12' jumpshot (27 PTS)")</f>
        <v>12' jumpshot (27 PTS)</v>
      </c>
      <c r="L1703" s="2" t="str">
        <f>HYPERLINK("https://www.nba.com/game/...-vs-...-0021900653/play-by-play?watchFullGame=true", "LAC vs DAL - Q4 05:28.00")</f>
        <v>LAC vs DAL - Q4 05:28.00</v>
      </c>
      <c r="M1703">
        <v>11.88</v>
      </c>
      <c r="N1703">
        <v>84.58</v>
      </c>
      <c r="O1703">
        <v>36.590000000000003</v>
      </c>
      <c r="P1703">
        <v>-67</v>
      </c>
      <c r="Q1703">
        <v>92</v>
      </c>
      <c r="R1703">
        <v>84</v>
      </c>
      <c r="S1703">
        <v>36</v>
      </c>
    </row>
    <row r="1704" spans="1:19" hidden="1" x14ac:dyDescent="0.25">
      <c r="A1704">
        <v>22201004</v>
      </c>
      <c r="B1704" t="s">
        <v>18</v>
      </c>
      <c r="C1704" t="s">
        <v>19</v>
      </c>
      <c r="D1704">
        <v>20</v>
      </c>
      <c r="E1704">
        <v>17</v>
      </c>
      <c r="F1704">
        <v>3</v>
      </c>
      <c r="G1704">
        <v>1</v>
      </c>
      <c r="H1704" s="1">
        <v>1.5046296296296296E-3</v>
      </c>
      <c r="I1704">
        <v>2022</v>
      </c>
      <c r="J1704" t="s">
        <v>83</v>
      </c>
      <c r="K1704" s="2" t="str">
        <f>HYPERLINK("https://www.nba.com/stats/events?CFID=&amp;CFPARAMS=&amp;GameEventID=117&amp;GameID=0022201004&amp;Season=2022-23&amp;flag=1&amp;title=Leonard%2011'%20pullup%20Jump%20Shot%20(8%20PTS)", "11' pullup Jump Shot (8 PTS)")</f>
        <v>11' pullup Jump Shot (8 PTS)</v>
      </c>
      <c r="L1704" s="2" t="str">
        <f>HYPERLINK("https://www.nba.com/game/...-vs-...-0022201004/play-by-play?watchFullGame=true", "LAC vs NYK - Q1 02:10.00")</f>
        <v>LAC vs NYK - Q1 02:10.00</v>
      </c>
      <c r="M1704">
        <v>11.29</v>
      </c>
      <c r="N1704">
        <v>84.41</v>
      </c>
      <c r="O1704">
        <v>62.5</v>
      </c>
      <c r="P1704">
        <v>62</v>
      </c>
      <c r="Q1704">
        <v>94</v>
      </c>
      <c r="R1704">
        <v>84</v>
      </c>
      <c r="S1704">
        <v>62</v>
      </c>
    </row>
    <row r="1705" spans="1:19" hidden="1" x14ac:dyDescent="0.25">
      <c r="A1705">
        <v>22000350</v>
      </c>
      <c r="B1705" t="s">
        <v>18</v>
      </c>
      <c r="C1705" t="s">
        <v>19</v>
      </c>
      <c r="D1705">
        <v>106</v>
      </c>
      <c r="E1705">
        <v>106</v>
      </c>
      <c r="F1705">
        <v>0</v>
      </c>
      <c r="G1705">
        <v>4</v>
      </c>
      <c r="H1705" s="1">
        <v>2.7083333333333334E-3</v>
      </c>
      <c r="I1705">
        <v>2020</v>
      </c>
      <c r="J1705" t="s">
        <v>83</v>
      </c>
      <c r="K1705" s="2" t="str">
        <f>HYPERLINK("https://www.nba.com/stats/events?CFID=&amp;CFPARAMS=&amp;GameEventID=565&amp;GameID=0022000350&amp;Season=2020-21&amp;flag=1&amp;title=Leonard%2011'%20turnaround%20Jump%20Shot%20(26%20PTS)", "11' turnaround Jump Shot (26 PTS)")</f>
        <v>11' turnaround Jump Shot (26 PTS)</v>
      </c>
      <c r="L1705" s="2" t="str">
        <f>HYPERLINK("https://www.nba.com/game/...-vs-...-0022000350/play-by-play?watchFullGame=true", "LAC vs BOS - Q4 03:54.00")</f>
        <v>LAC vs BOS - Q4 03:54.00</v>
      </c>
      <c r="M1705">
        <v>11.23</v>
      </c>
      <c r="N1705">
        <v>84.84</v>
      </c>
      <c r="O1705">
        <v>36.590000000000003</v>
      </c>
      <c r="P1705">
        <v>-67</v>
      </c>
      <c r="Q1705">
        <v>90</v>
      </c>
      <c r="R1705">
        <v>84</v>
      </c>
      <c r="S1705">
        <v>36</v>
      </c>
    </row>
    <row r="1706" spans="1:19" hidden="1" x14ac:dyDescent="0.25">
      <c r="A1706">
        <v>22400874</v>
      </c>
      <c r="B1706" t="s">
        <v>18</v>
      </c>
      <c r="C1706" t="s">
        <v>19</v>
      </c>
      <c r="D1706">
        <v>32</v>
      </c>
      <c r="E1706">
        <v>37</v>
      </c>
      <c r="F1706">
        <v>5</v>
      </c>
      <c r="G1706">
        <v>2</v>
      </c>
      <c r="H1706" s="1">
        <v>6.898148148148148E-3</v>
      </c>
      <c r="I1706">
        <v>2024</v>
      </c>
      <c r="J1706" t="s">
        <v>83</v>
      </c>
      <c r="K1706" s="2" t="str">
        <f>HYPERLINK("https://www.nba.com/stats/events?CFID=&amp;CFPARAMS=&amp;GameEventID=182&amp;GameID=0022400874&amp;Season=2024-25&amp;flag=1&amp;title=Leonard%2010'%20driving%20floating%20Jump%20Shot%20(7%20PTS)%20(D.%20Eubanks%201%20AST)", "10' driving floating Jump Shot (7 PTS) (D. Eubanks 1 AST)")</f>
        <v>10' driving floating Jump Shot (7 PTS) (D. Eubanks 1 AST)</v>
      </c>
      <c r="L1706" s="2" t="str">
        <f>HYPERLINK("https://www.nba.com/game/...-vs-...-0022400874/play-by-play?watchFullGame=true", "LAC vs LAL - Q2 09:56.00")</f>
        <v>LAC vs LAL - Q2 09:56.00</v>
      </c>
      <c r="M1706">
        <v>10.94</v>
      </c>
      <c r="N1706">
        <v>84.15</v>
      </c>
      <c r="O1706">
        <v>60.29</v>
      </c>
      <c r="P1706">
        <v>51</v>
      </c>
      <c r="Q1706">
        <v>96</v>
      </c>
      <c r="R1706">
        <v>84</v>
      </c>
      <c r="S1706">
        <v>60</v>
      </c>
    </row>
    <row r="1707" spans="1:19" hidden="1" x14ac:dyDescent="0.25">
      <c r="A1707">
        <v>22300848</v>
      </c>
      <c r="B1707" t="s">
        <v>18</v>
      </c>
      <c r="C1707" t="s">
        <v>89</v>
      </c>
      <c r="D1707">
        <v>10</v>
      </c>
      <c r="E1707">
        <v>6</v>
      </c>
      <c r="F1707">
        <v>4</v>
      </c>
      <c r="G1707">
        <v>1</v>
      </c>
      <c r="H1707" s="1">
        <v>5.8796296296296296E-3</v>
      </c>
      <c r="I1707">
        <v>2023</v>
      </c>
      <c r="J1707" t="s">
        <v>83</v>
      </c>
      <c r="K1707" s="2" t="str">
        <f>HYPERLINK("https://www.nba.com/stats/events?CFID=&amp;CFPARAMS=&amp;GameEventID=40&amp;GameID=0022300848&amp;Season=2023-24&amp;flag=1&amp;title=Leonard%2010'%20driving%20Hook%20(2%20PTS)", "10' driving Hook (2 PTS)")</f>
        <v>10' driving Hook (2 PTS)</v>
      </c>
      <c r="L1707" s="2" t="str">
        <f>HYPERLINK("https://www.nba.com/game/...-vs-...-0022300848/play-by-play?watchFullGame=true", "LAC vs LAL - Q1 08:28.00")</f>
        <v>LAC vs LAL - Q1 08:28.00</v>
      </c>
      <c r="M1707">
        <v>10.62</v>
      </c>
      <c r="N1707">
        <v>84.02</v>
      </c>
      <c r="O1707">
        <v>58.33</v>
      </c>
      <c r="P1707">
        <v>42</v>
      </c>
      <c r="Q1707">
        <v>98</v>
      </c>
      <c r="R1707">
        <v>84</v>
      </c>
      <c r="S1707">
        <v>58</v>
      </c>
    </row>
    <row r="1708" spans="1:19" hidden="1" x14ac:dyDescent="0.25">
      <c r="A1708">
        <v>22000788</v>
      </c>
      <c r="B1708" t="s">
        <v>18</v>
      </c>
      <c r="C1708" t="s">
        <v>19</v>
      </c>
      <c r="D1708">
        <v>97</v>
      </c>
      <c r="E1708">
        <v>89</v>
      </c>
      <c r="F1708">
        <v>8</v>
      </c>
      <c r="G1708">
        <v>4</v>
      </c>
      <c r="H1708" s="1">
        <v>4.0162037037037041E-3</v>
      </c>
      <c r="I1708">
        <v>2020</v>
      </c>
      <c r="J1708" t="s">
        <v>83</v>
      </c>
      <c r="K1708" s="2" t="str">
        <f>HYPERLINK("https://www.nba.com/stats/events?CFID=&amp;CFPARAMS=&amp;GameEventID=520&amp;GameID=0022000788&amp;Season=2020-21&amp;flag=1&amp;title=Leonard%2010'%20fadeaway%20Jump%20Shot%20(24%20PTS)", "10' fadeaway Jump Shot (24 PTS)")</f>
        <v>10' fadeaway Jump Shot (24 PTS)</v>
      </c>
      <c r="L1708" s="2" t="str">
        <f>HYPERLINK("https://www.nba.com/game/...-vs-...-0022000788/play-by-play?watchFullGame=true", "LAC vs PHX - Q4 05:47.00")</f>
        <v>LAC vs PHX - Q4 05:47.00</v>
      </c>
      <c r="M1708">
        <v>10.57</v>
      </c>
      <c r="N1708">
        <v>84.18</v>
      </c>
      <c r="O1708">
        <v>41.25</v>
      </c>
      <c r="P1708">
        <v>-44</v>
      </c>
      <c r="Q1708">
        <v>96</v>
      </c>
      <c r="R1708">
        <v>84</v>
      </c>
      <c r="S1708">
        <v>41</v>
      </c>
    </row>
    <row r="1709" spans="1:19" hidden="1" x14ac:dyDescent="0.25">
      <c r="A1709">
        <v>21900516</v>
      </c>
      <c r="B1709" t="s">
        <v>18</v>
      </c>
      <c r="C1709" t="s">
        <v>84</v>
      </c>
      <c r="D1709">
        <v>56</v>
      </c>
      <c r="E1709">
        <v>56</v>
      </c>
      <c r="F1709">
        <v>0</v>
      </c>
      <c r="G1709">
        <v>2</v>
      </c>
      <c r="H1709" s="1">
        <v>3.1597222222222222E-3</v>
      </c>
      <c r="I1709">
        <v>2019</v>
      </c>
      <c r="J1709" t="s">
        <v>83</v>
      </c>
      <c r="K1709" s="2" t="str">
        <f>HYPERLINK("https://www.nba.com/stats/events?CFID=&amp;CFPARAMS=&amp;GameEventID=290&amp;GameID=0021900516&amp;Season=2019-20&amp;flag=1&amp;title=Leonard%2010'%20jumpshot%20(10%20PTS)", "10' jumpshot (10 PTS)")</f>
        <v>10' jumpshot (10 PTS)</v>
      </c>
      <c r="L1709" s="2" t="str">
        <f>HYPERLINK("https://www.nba.com/game/...-vs-...-0021900516/play-by-play?watchFullGame=true", "LAC vs DET - Q2 04:33.00")</f>
        <v>LAC vs DET - Q2 04:33.00</v>
      </c>
      <c r="M1709">
        <v>10.34</v>
      </c>
      <c r="N1709">
        <v>84.81</v>
      </c>
      <c r="O1709">
        <v>57.77</v>
      </c>
      <c r="P1709">
        <v>39</v>
      </c>
      <c r="Q1709">
        <v>90</v>
      </c>
      <c r="R1709">
        <v>84</v>
      </c>
      <c r="S1709">
        <v>57</v>
      </c>
    </row>
    <row r="1710" spans="1:19" hidden="1" x14ac:dyDescent="0.25">
      <c r="A1710">
        <v>22000105</v>
      </c>
      <c r="B1710" t="s">
        <v>18</v>
      </c>
      <c r="C1710" t="s">
        <v>19</v>
      </c>
      <c r="D1710">
        <v>71</v>
      </c>
      <c r="E1710">
        <v>79</v>
      </c>
      <c r="F1710">
        <v>8</v>
      </c>
      <c r="G1710">
        <v>3</v>
      </c>
      <c r="H1710" s="1">
        <v>2.9513888888888888E-3</v>
      </c>
      <c r="I1710">
        <v>2020</v>
      </c>
      <c r="J1710" t="s">
        <v>83</v>
      </c>
      <c r="K1710" s="2" t="str">
        <f>HYPERLINK("https://www.nba.com/stats/events?CFID=&amp;CFPARAMS=&amp;GameEventID=407&amp;GameID=0022000105&amp;Season=2020-21&amp;flag=1&amp;title=Leonard%2010'%20pullup%20Jump%20Shot%20(28%20PTS)", "10' pullup Jump Shot (28 PTS)")</f>
        <v>10' pullup Jump Shot (28 PTS)</v>
      </c>
      <c r="L1710" s="2" t="str">
        <f>HYPERLINK("https://www.nba.com/game/...-vs-...-0022000105/play-by-play?watchFullGame=true", "LAC vs SAS - Q3 04:15.00")</f>
        <v>LAC vs SAS - Q3 04:15.00</v>
      </c>
      <c r="M1710">
        <v>10.220000000000001</v>
      </c>
      <c r="N1710">
        <v>84.97</v>
      </c>
      <c r="O1710">
        <v>60.12</v>
      </c>
      <c r="P1710">
        <v>51</v>
      </c>
      <c r="Q1710">
        <v>89</v>
      </c>
      <c r="R1710">
        <v>84</v>
      </c>
      <c r="S1710">
        <v>60</v>
      </c>
    </row>
    <row r="1711" spans="1:19" hidden="1" x14ac:dyDescent="0.25">
      <c r="A1711">
        <v>22300553</v>
      </c>
      <c r="B1711" t="s">
        <v>18</v>
      </c>
      <c r="C1711" t="s">
        <v>19</v>
      </c>
      <c r="D1711">
        <v>85</v>
      </c>
      <c r="E1711">
        <v>97</v>
      </c>
      <c r="F1711">
        <v>12</v>
      </c>
      <c r="G1711">
        <v>4</v>
      </c>
      <c r="H1711" s="1">
        <v>3.4837962962962965E-3</v>
      </c>
      <c r="I1711">
        <v>2023</v>
      </c>
      <c r="J1711" t="s">
        <v>83</v>
      </c>
      <c r="K1711" s="2" t="str">
        <f>HYPERLINK("https://www.nba.com/stats/events?CFID=&amp;CFPARAMS=&amp;GameEventID=555&amp;GameID=0022300553&amp;Season=2023-24&amp;flag=1&amp;title=Leonard%2010'%20step%20back%20Jump%20Shot%20(26%20PTS)%20(R.%20Westbrook%2011%20AST)", "10' step back Jump Shot (26 PTS) (R. Westbrook 11 AST)")</f>
        <v>10' step back Jump Shot (26 PTS) (R. Westbrook 11 AST)</v>
      </c>
      <c r="L1711" s="2" t="str">
        <f>HYPERLINK("https://www.nba.com/game/...-vs-...-0022300553/play-by-play?watchFullGame=true", "LAC vs MIN - Q4 05:01.00")</f>
        <v>LAC vs MIN - Q4 05:01.00</v>
      </c>
      <c r="M1711">
        <v>10.11</v>
      </c>
      <c r="N1711">
        <v>84.44</v>
      </c>
      <c r="O1711">
        <v>42.4</v>
      </c>
      <c r="P1711">
        <v>-38</v>
      </c>
      <c r="Q1711">
        <v>94</v>
      </c>
      <c r="R1711">
        <v>84</v>
      </c>
      <c r="S1711">
        <v>42</v>
      </c>
    </row>
    <row r="1712" spans="1:19" hidden="1" x14ac:dyDescent="0.25">
      <c r="A1712">
        <v>21900292</v>
      </c>
      <c r="B1712" t="s">
        <v>18</v>
      </c>
      <c r="C1712" t="s">
        <v>84</v>
      </c>
      <c r="D1712">
        <v>9</v>
      </c>
      <c r="E1712">
        <v>6</v>
      </c>
      <c r="F1712">
        <v>3</v>
      </c>
      <c r="G1712">
        <v>1</v>
      </c>
      <c r="H1712" s="1">
        <v>6.7824074074074071E-3</v>
      </c>
      <c r="I1712">
        <v>2019</v>
      </c>
      <c r="J1712" t="s">
        <v>83</v>
      </c>
      <c r="K1712" s="2" t="str">
        <f>HYPERLINK("https://www.nba.com/stats/events?CFID=&amp;CFPARAMS=&amp;GameEventID=39&amp;GameID=0021900292&amp;Season=2019-20&amp;flag=1&amp;title=Leonard%2010'%20jumpshot%20(2%20PTS)", "10' jumpshot (2 PTS)")</f>
        <v>10' jumpshot (2 PTS)</v>
      </c>
      <c r="L1712" s="2" t="str">
        <f>HYPERLINK("https://www.nba.com/game/...-vs-...-0021900292/play-by-play?watchFullGame=true", "LAC vs WAS - Q1 09:46.00")</f>
        <v>LAC vs WAS - Q1 09:46.00</v>
      </c>
      <c r="M1712">
        <v>10.09</v>
      </c>
      <c r="N1712">
        <v>84.28</v>
      </c>
      <c r="O1712">
        <v>50.67</v>
      </c>
      <c r="P1712">
        <v>3</v>
      </c>
      <c r="Q1712">
        <v>95</v>
      </c>
      <c r="R1712">
        <v>84</v>
      </c>
      <c r="S1712">
        <v>50</v>
      </c>
    </row>
    <row r="1713" spans="1:19" hidden="1" x14ac:dyDescent="0.25">
      <c r="A1713">
        <v>21900626</v>
      </c>
      <c r="B1713" t="s">
        <v>18</v>
      </c>
      <c r="C1713" t="s">
        <v>84</v>
      </c>
      <c r="D1713">
        <v>90</v>
      </c>
      <c r="E1713">
        <v>96</v>
      </c>
      <c r="F1713">
        <v>6</v>
      </c>
      <c r="G1713">
        <v>3</v>
      </c>
      <c r="H1713" s="1">
        <v>3.425925925925926E-3</v>
      </c>
      <c r="I1713">
        <v>2019</v>
      </c>
      <c r="J1713" t="s">
        <v>83</v>
      </c>
      <c r="K1713" s="2" t="str">
        <f>HYPERLINK("https://www.nba.com/stats/events?CFID=&amp;CFPARAMS=&amp;GameEventID=477&amp;GameID=0021900626&amp;Season=2019-20&amp;flag=1&amp;title=Leonard%2010'%20jumpshot%20(33%20PTS)", "10' jumpshot (33 PTS)")</f>
        <v>10' jumpshot (33 PTS)</v>
      </c>
      <c r="L1713" s="2" t="str">
        <f>HYPERLINK("https://www.nba.com/game/...-vs-...-0021900626/play-by-play?watchFullGame=true", "LAC vs NOP - Q3 04:56.00")</f>
        <v>LAC vs NOP - Q3 04:56.00</v>
      </c>
      <c r="M1713">
        <v>10.07</v>
      </c>
      <c r="N1713">
        <v>84.31</v>
      </c>
      <c r="O1713">
        <v>51.29</v>
      </c>
      <c r="P1713">
        <v>6</v>
      </c>
      <c r="Q1713">
        <v>95</v>
      </c>
      <c r="R1713">
        <v>84</v>
      </c>
      <c r="S1713">
        <v>51</v>
      </c>
    </row>
    <row r="1714" spans="1:19" hidden="1" x14ac:dyDescent="0.25">
      <c r="A1714">
        <v>22300343</v>
      </c>
      <c r="B1714" t="s">
        <v>18</v>
      </c>
      <c r="C1714" t="s">
        <v>19</v>
      </c>
      <c r="D1714">
        <v>76</v>
      </c>
      <c r="E1714">
        <v>66</v>
      </c>
      <c r="F1714">
        <v>10</v>
      </c>
      <c r="G1714">
        <v>2</v>
      </c>
      <c r="H1714" s="1">
        <v>1.898148148148148E-4</v>
      </c>
      <c r="I1714">
        <v>2023</v>
      </c>
      <c r="J1714" t="s">
        <v>83</v>
      </c>
      <c r="K1714" s="2" t="str">
        <f>HYPERLINK("https://www.nba.com/stats/events?CFID=&amp;CFPARAMS=&amp;GameEventID=356&amp;GameID=0022300343&amp;Season=2023-24&amp;flag=1&amp;title=Leonard%2010'%20pullup%20Jump%20Shot%20(19%20PTS)", "10' pullup Jump Shot (19 PTS)")</f>
        <v>10' pullup Jump Shot (19 PTS)</v>
      </c>
      <c r="L1714" s="2" t="str">
        <f>HYPERLINK("https://www.nba.com/game/...-vs-...-0022300343/play-by-play?watchFullGame=true", "LAC vs NYK - Q2 00:16.40")</f>
        <v>LAC vs NYK - Q2 00:16.40</v>
      </c>
      <c r="M1714">
        <v>10.050000000000001</v>
      </c>
      <c r="N1714">
        <v>84.81</v>
      </c>
      <c r="O1714">
        <v>58.82</v>
      </c>
      <c r="P1714">
        <v>44</v>
      </c>
      <c r="Q1714">
        <v>90</v>
      </c>
      <c r="R1714">
        <v>84</v>
      </c>
      <c r="S1714">
        <v>58</v>
      </c>
    </row>
    <row r="1715" spans="1:19" hidden="1" x14ac:dyDescent="0.25">
      <c r="A1715">
        <v>22000002</v>
      </c>
      <c r="B1715" t="s">
        <v>18</v>
      </c>
      <c r="C1715" t="s">
        <v>19</v>
      </c>
      <c r="D1715">
        <v>65</v>
      </c>
      <c r="E1715">
        <v>61</v>
      </c>
      <c r="F1715">
        <v>4</v>
      </c>
      <c r="G1715">
        <v>3</v>
      </c>
      <c r="H1715" s="1">
        <v>6.5393518518518517E-3</v>
      </c>
      <c r="I1715">
        <v>2020</v>
      </c>
      <c r="J1715" t="s">
        <v>83</v>
      </c>
      <c r="K1715" s="2" t="str">
        <f>HYPERLINK("https://www.nba.com/stats/events?CFID=&amp;CFPARAMS=&amp;GameEventID=402&amp;GameID=0022000002&amp;Season=2020-21&amp;flag=1&amp;title=Leonard%209'%20pullup%20Jump%20Shot%20(17%20PTS)", "9' pullup Jump Shot (17 PTS)")</f>
        <v>9' pullup Jump Shot (17 PTS)</v>
      </c>
      <c r="L1715" s="2" t="str">
        <f>HYPERLINK("https://www.nba.com/game/...-vs-...-0022000002/play-by-play?watchFullGame=true", "LAC vs LAL - Q3 09:25.00")</f>
        <v>LAC vs LAL - Q3 09:25.00</v>
      </c>
      <c r="M1715">
        <v>9.9499999999999993</v>
      </c>
      <c r="N1715">
        <v>84.84</v>
      </c>
      <c r="O1715">
        <v>41.49</v>
      </c>
      <c r="P1715">
        <v>-43</v>
      </c>
      <c r="Q1715">
        <v>90</v>
      </c>
      <c r="R1715">
        <v>84</v>
      </c>
      <c r="S1715">
        <v>41</v>
      </c>
    </row>
    <row r="1716" spans="1:19" hidden="1" x14ac:dyDescent="0.25">
      <c r="A1716">
        <v>22300052</v>
      </c>
      <c r="B1716" t="s">
        <v>18</v>
      </c>
      <c r="C1716" t="s">
        <v>89</v>
      </c>
      <c r="D1716">
        <v>103</v>
      </c>
      <c r="E1716">
        <v>110</v>
      </c>
      <c r="F1716">
        <v>7</v>
      </c>
      <c r="G1716">
        <v>4</v>
      </c>
      <c r="H1716" s="1">
        <v>1.3425925925925925E-3</v>
      </c>
      <c r="I1716">
        <v>2023</v>
      </c>
      <c r="J1716" t="s">
        <v>83</v>
      </c>
      <c r="K1716" s="2" t="str">
        <f>HYPERLINK("https://www.nba.com/stats/events?CFID=&amp;CFPARAMS=&amp;GameEventID=670&amp;GameID=0022300052&amp;Season=2023-24&amp;flag=1&amp;title=Leonard%209'%20turnaround%20Hook%20(20%20PTS)", "9' turnaround Hook (20 PTS)")</f>
        <v>9' turnaround Hook (20 PTS)</v>
      </c>
      <c r="L1716" s="2" t="str">
        <f>HYPERLINK("https://www.nba.com/game/...-vs-...-0022300052/play-by-play?watchFullGame=true", "LAC vs NOP - Q4 01:56.00")</f>
        <v>LAC vs NOP - Q4 01:56.00</v>
      </c>
      <c r="M1716">
        <v>9.7899999999999991</v>
      </c>
      <c r="N1716">
        <v>84.02</v>
      </c>
      <c r="O1716">
        <v>48.77</v>
      </c>
      <c r="P1716">
        <v>-6</v>
      </c>
      <c r="Q1716">
        <v>98</v>
      </c>
      <c r="R1716">
        <v>84</v>
      </c>
      <c r="S1716">
        <v>48</v>
      </c>
    </row>
    <row r="1717" spans="1:19" hidden="1" x14ac:dyDescent="0.25">
      <c r="A1717">
        <v>22000224</v>
      </c>
      <c r="B1717" t="s">
        <v>18</v>
      </c>
      <c r="C1717" t="s">
        <v>19</v>
      </c>
      <c r="D1717">
        <v>20</v>
      </c>
      <c r="E1717">
        <v>22</v>
      </c>
      <c r="F1717">
        <v>2</v>
      </c>
      <c r="G1717">
        <v>1</v>
      </c>
      <c r="H1717" s="1">
        <v>2.662037037037037E-3</v>
      </c>
      <c r="I1717">
        <v>2020</v>
      </c>
      <c r="J1717" t="s">
        <v>83</v>
      </c>
      <c r="K1717" s="2" t="str">
        <f>HYPERLINK("https://www.nba.com/stats/events?CFID=&amp;CFPARAMS=&amp;GameEventID=101&amp;GameID=0022000224&amp;Season=2020-21&amp;flag=1&amp;title=Leonard%209'%20pullup%20Jump%20Shot%20(8%20PTS)", "9' pullup Jump Shot (8 PTS)")</f>
        <v>9' pullup Jump Shot (8 PTS)</v>
      </c>
      <c r="L1717" s="2" t="str">
        <f>HYPERLINK("https://www.nba.com/game/...-vs-...-0022000224/play-by-play?watchFullGame=true", "LAC vs SAC - Q1 03:50.00")</f>
        <v>LAC vs SAC - Q1 03:50.00</v>
      </c>
      <c r="M1717">
        <v>9.7899999999999991</v>
      </c>
      <c r="N1717">
        <v>84.97</v>
      </c>
      <c r="O1717">
        <v>41.74</v>
      </c>
      <c r="P1717">
        <v>-41</v>
      </c>
      <c r="Q1717">
        <v>89</v>
      </c>
      <c r="R1717">
        <v>84</v>
      </c>
      <c r="S1717">
        <v>41</v>
      </c>
    </row>
    <row r="1718" spans="1:19" hidden="1" x14ac:dyDescent="0.25">
      <c r="A1718">
        <v>22000717</v>
      </c>
      <c r="B1718" t="s">
        <v>18</v>
      </c>
      <c r="C1718" t="s">
        <v>19</v>
      </c>
      <c r="D1718">
        <v>64</v>
      </c>
      <c r="E1718">
        <v>59</v>
      </c>
      <c r="F1718">
        <v>5</v>
      </c>
      <c r="G1718">
        <v>3</v>
      </c>
      <c r="H1718" s="1">
        <v>6.6898148148148151E-3</v>
      </c>
      <c r="I1718">
        <v>2020</v>
      </c>
      <c r="J1718" t="s">
        <v>83</v>
      </c>
      <c r="K1718" s="2" t="str">
        <f>HYPERLINK("https://www.nba.com/stats/events?CFID=&amp;CFPARAMS=&amp;GameEventID=331&amp;GameID=0022000717&amp;Season=2020-21&amp;flag=1&amp;title=Leonard%209'%20turnaround%20bank%20Jump%20Shot%20(14%20PTS)", "9' turnaround bank Jump Shot (14 PTS)")</f>
        <v>9' turnaround bank Jump Shot (14 PTS)</v>
      </c>
      <c r="L1718" s="2" t="str">
        <f>HYPERLINK("https://www.nba.com/game/...-vs-...-0022000717/play-by-play?watchFullGame=true", "LAC vs MIL - Q3 09:38.00")</f>
        <v>LAC vs MIL - Q3 09:38.00</v>
      </c>
      <c r="M1718">
        <v>9.7799999999999994</v>
      </c>
      <c r="N1718">
        <v>84.84</v>
      </c>
      <c r="O1718">
        <v>57.67</v>
      </c>
      <c r="P1718">
        <v>38</v>
      </c>
      <c r="Q1718">
        <v>90</v>
      </c>
      <c r="R1718">
        <v>84</v>
      </c>
      <c r="S1718">
        <v>57</v>
      </c>
    </row>
    <row r="1719" spans="1:19" hidden="1" x14ac:dyDescent="0.25">
      <c r="A1719">
        <v>22200438</v>
      </c>
      <c r="B1719" t="s">
        <v>18</v>
      </c>
      <c r="C1719" t="s">
        <v>19</v>
      </c>
      <c r="D1719">
        <v>52</v>
      </c>
      <c r="E1719">
        <v>57</v>
      </c>
      <c r="F1719">
        <v>5</v>
      </c>
      <c r="G1719">
        <v>3</v>
      </c>
      <c r="H1719" s="1">
        <v>8.1597222222222227E-3</v>
      </c>
      <c r="I1719">
        <v>2022</v>
      </c>
      <c r="J1719" t="s">
        <v>83</v>
      </c>
      <c r="K1719" s="2" t="str">
        <f>HYPERLINK("https://www.nba.com/stats/events?CFID=&amp;CFPARAMS=&amp;GameEventID=311&amp;GameID=0022200438&amp;Season=2022-23&amp;flag=1&amp;title=Leonard%209'%20pullup%20Jump%20Shot%20(17%20PTS)%20(J.%20Wall%203%20AST)", "9' pullup Jump Shot (17 PTS) (J. Wall 3 AST)")</f>
        <v>9' pullup Jump Shot (17 PTS) (J. Wall 3 AST)</v>
      </c>
      <c r="L1719" s="2" t="str">
        <f>HYPERLINK("https://www.nba.com/game/...-vs-...-0022200438/play-by-play?watchFullGame=true", "LAC vs WAS - Q3 11:45.00")</f>
        <v>LAC vs WAS - Q3 11:45.00</v>
      </c>
      <c r="M1719">
        <v>9.73</v>
      </c>
      <c r="N1719">
        <v>84.28</v>
      </c>
      <c r="O1719">
        <v>46.08</v>
      </c>
      <c r="P1719">
        <v>-20</v>
      </c>
      <c r="Q1719">
        <v>95</v>
      </c>
      <c r="R1719">
        <v>84</v>
      </c>
      <c r="S1719">
        <v>46</v>
      </c>
    </row>
    <row r="1720" spans="1:19" hidden="1" x14ac:dyDescent="0.25">
      <c r="A1720">
        <v>22300537</v>
      </c>
      <c r="B1720" t="s">
        <v>18</v>
      </c>
      <c r="C1720" t="s">
        <v>19</v>
      </c>
      <c r="D1720">
        <v>79</v>
      </c>
      <c r="E1720">
        <v>63</v>
      </c>
      <c r="F1720">
        <v>16</v>
      </c>
      <c r="G1720">
        <v>3</v>
      </c>
      <c r="H1720" s="1">
        <v>5.6249999999999998E-3</v>
      </c>
      <c r="I1720">
        <v>2023</v>
      </c>
      <c r="J1720" t="s">
        <v>83</v>
      </c>
      <c r="K1720" s="2" t="str">
        <f>HYPERLINK("https://www.nba.com/stats/events?CFID=&amp;CFPARAMS=&amp;GameEventID=354&amp;GameID=0022300537&amp;Season=2023-24&amp;flag=1&amp;title=Leonard%209'%20pullup%20Jump%20Shot%20(15%20PTS)", "9' pullup Jump Shot (15 PTS)")</f>
        <v>9' pullup Jump Shot (15 PTS)</v>
      </c>
      <c r="L1720" s="2" t="str">
        <f>HYPERLINK("https://www.nba.com/game/...-vs-...-0022300537/play-by-play?watchFullGame=true", "LAC vs MEM - Q3 08:06.00")</f>
        <v>LAC vs MEM - Q3 08:06.00</v>
      </c>
      <c r="M1720">
        <v>9.6300000000000008</v>
      </c>
      <c r="N1720">
        <v>84.18</v>
      </c>
      <c r="O1720">
        <v>50.74</v>
      </c>
      <c r="P1720">
        <v>4</v>
      </c>
      <c r="Q1720">
        <v>96</v>
      </c>
      <c r="R1720">
        <v>84</v>
      </c>
      <c r="S1720">
        <v>50</v>
      </c>
    </row>
    <row r="1721" spans="1:19" hidden="1" x14ac:dyDescent="0.25">
      <c r="A1721">
        <v>22000116</v>
      </c>
      <c r="B1721" t="s">
        <v>18</v>
      </c>
      <c r="C1721" t="s">
        <v>19</v>
      </c>
      <c r="D1721">
        <v>93</v>
      </c>
      <c r="E1721">
        <v>91</v>
      </c>
      <c r="F1721">
        <v>2</v>
      </c>
      <c r="G1721">
        <v>4</v>
      </c>
      <c r="H1721" s="1">
        <v>4.2013888888888891E-3</v>
      </c>
      <c r="I1721">
        <v>2020</v>
      </c>
      <c r="J1721" t="s">
        <v>83</v>
      </c>
      <c r="K1721" s="2" t="str">
        <f>HYPERLINK("https://www.nba.com/stats/events?CFID=&amp;CFPARAMS=&amp;GameEventID=577&amp;GameID=0022000116&amp;Season=2020-21&amp;flag=1&amp;title=Leonard%209'%20driving%20floating%20Jump%20Shot%20(17%20PTS)", "9' driving floating Jump Shot (17 PTS)")</f>
        <v>9' driving floating Jump Shot (17 PTS)</v>
      </c>
      <c r="L1721" s="2" t="str">
        <f>HYPERLINK("https://www.nba.com/game/...-vs-...-0022000116/play-by-play?watchFullGame=true", "LAC vs GSW - Q4 06:03.00")</f>
        <v>LAC vs GSW - Q4 06:03.00</v>
      </c>
      <c r="M1721">
        <v>9.6199999999999992</v>
      </c>
      <c r="N1721">
        <v>84.18</v>
      </c>
      <c r="O1721">
        <v>50.31</v>
      </c>
      <c r="P1721">
        <v>2</v>
      </c>
      <c r="Q1721">
        <v>96</v>
      </c>
      <c r="R1721">
        <v>84</v>
      </c>
      <c r="S1721">
        <v>50</v>
      </c>
    </row>
    <row r="1722" spans="1:19" hidden="1" x14ac:dyDescent="0.25">
      <c r="A1722">
        <v>22300827</v>
      </c>
      <c r="B1722" t="s">
        <v>18</v>
      </c>
      <c r="C1722" t="s">
        <v>19</v>
      </c>
      <c r="D1722">
        <v>46</v>
      </c>
      <c r="E1722">
        <v>50</v>
      </c>
      <c r="F1722">
        <v>4</v>
      </c>
      <c r="G1722">
        <v>2</v>
      </c>
      <c r="H1722" s="1">
        <v>1.9328703703703704E-3</v>
      </c>
      <c r="I1722">
        <v>2023</v>
      </c>
      <c r="J1722" t="s">
        <v>83</v>
      </c>
      <c r="K1722" s="2" t="str">
        <f>HYPERLINK("https://www.nba.com/stats/events?CFID=&amp;CFPARAMS=&amp;GameEventID=281&amp;GameID=0022300827&amp;Season=2023-24&amp;flag=1&amp;title=Leonard%209'%20fadeaway%20Jump%20Shot%20(12%20PTS)%20(J.%20Harden%204%20AST)", "9' fadeaway Jump Shot (12 PTS) (J. Harden 4 AST)")</f>
        <v>9' fadeaway Jump Shot (12 PTS) (J. Harden 4 AST)</v>
      </c>
      <c r="L1722" s="2" t="str">
        <f>HYPERLINK("https://www.nba.com/game/...-vs-...-0022300827/play-by-play?watchFullGame=true", "LAC vs SAC - Q2 02:47.00")</f>
        <v>LAC vs SAC - Q2 02:47.00</v>
      </c>
      <c r="M1722">
        <v>9.59</v>
      </c>
      <c r="N1722">
        <v>84.28</v>
      </c>
      <c r="O1722">
        <v>52.21</v>
      </c>
      <c r="P1722">
        <v>11</v>
      </c>
      <c r="Q1722">
        <v>95</v>
      </c>
      <c r="R1722">
        <v>84</v>
      </c>
      <c r="S1722">
        <v>52</v>
      </c>
    </row>
    <row r="1723" spans="1:19" hidden="1" x14ac:dyDescent="0.25">
      <c r="A1723">
        <v>22300350</v>
      </c>
      <c r="B1723" t="s">
        <v>18</v>
      </c>
      <c r="C1723" t="s">
        <v>19</v>
      </c>
      <c r="D1723">
        <v>23</v>
      </c>
      <c r="E1723">
        <v>21</v>
      </c>
      <c r="F1723">
        <v>2</v>
      </c>
      <c r="G1723">
        <v>1</v>
      </c>
      <c r="H1723" s="1">
        <v>3.6689814814814814E-3</v>
      </c>
      <c r="I1723">
        <v>2023</v>
      </c>
      <c r="J1723" t="s">
        <v>83</v>
      </c>
      <c r="K1723" s="2" t="str">
        <f>HYPERLINK("https://www.nba.com/stats/events?CFID=&amp;CFPARAMS=&amp;GameEventID=83&amp;GameID=0022300350&amp;Season=2023-24&amp;flag=1&amp;title=Leonard%209'%20pullup%20Jump%20Shot%20(8%20PTS)", "9' pullup Jump Shot (8 PTS)")</f>
        <v>9' pullup Jump Shot (8 PTS)</v>
      </c>
      <c r="L1723" s="2" t="str">
        <f>HYPERLINK("https://www.nba.com/game/...-vs-...-0022300350/play-by-play?watchFullGame=true", "LAC vs IND - Q1 05:17.00")</f>
        <v>LAC vs IND - Q1 05:17.00</v>
      </c>
      <c r="M1723">
        <v>9.5</v>
      </c>
      <c r="N1723">
        <v>84.31</v>
      </c>
      <c r="O1723">
        <v>50.49</v>
      </c>
      <c r="P1723">
        <v>2</v>
      </c>
      <c r="Q1723">
        <v>95</v>
      </c>
      <c r="R1723">
        <v>84</v>
      </c>
      <c r="S1723">
        <v>50</v>
      </c>
    </row>
    <row r="1724" spans="1:19" hidden="1" x14ac:dyDescent="0.25">
      <c r="A1724">
        <v>21900239</v>
      </c>
      <c r="B1724" t="s">
        <v>18</v>
      </c>
      <c r="C1724" t="s">
        <v>84</v>
      </c>
      <c r="D1724">
        <v>55</v>
      </c>
      <c r="E1724">
        <v>35</v>
      </c>
      <c r="F1724">
        <v>20</v>
      </c>
      <c r="G1724">
        <v>2</v>
      </c>
      <c r="H1724" s="1">
        <v>5.3587962962962964E-3</v>
      </c>
      <c r="I1724">
        <v>2019</v>
      </c>
      <c r="J1724" t="s">
        <v>83</v>
      </c>
      <c r="K1724" s="2" t="str">
        <f>HYPERLINK("https://www.nba.com/stats/events?CFID=&amp;CFPARAMS=&amp;GameEventID=233&amp;GameID=0021900239&amp;Season=2019-20&amp;flag=1&amp;title=Leonard%209'%20jumpshot%20(14%20PTS)", "9' jumpshot (14 PTS)")</f>
        <v>9' jumpshot (14 PTS)</v>
      </c>
      <c r="L1724" s="2" t="str">
        <f>HYPERLINK("https://www.nba.com/game/...-vs-...-0021900239/play-by-play?watchFullGame=true", "LAC vs NOP - Q2 07:43.00")</f>
        <v>LAC vs NOP - Q2 07:43.00</v>
      </c>
      <c r="M1724">
        <v>9.48</v>
      </c>
      <c r="N1724">
        <v>84.94</v>
      </c>
      <c r="O1724">
        <v>51.16</v>
      </c>
      <c r="P1724">
        <v>6</v>
      </c>
      <c r="Q1724">
        <v>89</v>
      </c>
      <c r="R1724">
        <v>84</v>
      </c>
      <c r="S1724">
        <v>51</v>
      </c>
    </row>
    <row r="1725" spans="1:19" hidden="1" x14ac:dyDescent="0.25">
      <c r="A1725">
        <v>22300350</v>
      </c>
      <c r="B1725" t="s">
        <v>18</v>
      </c>
      <c r="C1725" t="s">
        <v>19</v>
      </c>
      <c r="D1725">
        <v>8</v>
      </c>
      <c r="E1725">
        <v>4</v>
      </c>
      <c r="F1725">
        <v>4</v>
      </c>
      <c r="G1725">
        <v>1</v>
      </c>
      <c r="H1725" s="1">
        <v>6.1921296296296299E-3</v>
      </c>
      <c r="I1725">
        <v>2023</v>
      </c>
      <c r="J1725" t="s">
        <v>83</v>
      </c>
      <c r="K1725" s="2" t="str">
        <f>HYPERLINK("https://www.nba.com/stats/events?CFID=&amp;CFPARAMS=&amp;GameEventID=41&amp;GameID=0022300350&amp;Season=2023-24&amp;flag=1&amp;title=Leonard%209'%20fadeaway%20Jump%20Shot%20(2%20PTS)", "9' fadeaway Jump Shot (2 PTS)")</f>
        <v>9' fadeaway Jump Shot (2 PTS)</v>
      </c>
      <c r="L1725" s="2" t="str">
        <f>HYPERLINK("https://www.nba.com/game/...-vs-...-0022300350/play-by-play?watchFullGame=true", "LAC vs IND - Q1 08:55.00")</f>
        <v>LAC vs IND - Q1 08:55.00</v>
      </c>
      <c r="M1725">
        <v>9.43</v>
      </c>
      <c r="N1725">
        <v>84.44</v>
      </c>
      <c r="O1725">
        <v>47.79</v>
      </c>
      <c r="P1725">
        <v>-11</v>
      </c>
      <c r="Q1725">
        <v>94</v>
      </c>
      <c r="R1725">
        <v>84</v>
      </c>
      <c r="S1725">
        <v>47</v>
      </c>
    </row>
    <row r="1726" spans="1:19" hidden="1" x14ac:dyDescent="0.25">
      <c r="A1726">
        <v>22300716</v>
      </c>
      <c r="B1726" t="s">
        <v>18</v>
      </c>
      <c r="C1726" t="s">
        <v>19</v>
      </c>
      <c r="D1726">
        <v>66</v>
      </c>
      <c r="E1726">
        <v>58</v>
      </c>
      <c r="F1726">
        <v>8</v>
      </c>
      <c r="G1726">
        <v>2</v>
      </c>
      <c r="H1726" s="1">
        <v>7.407407407407407E-4</v>
      </c>
      <c r="I1726">
        <v>2023</v>
      </c>
      <c r="J1726" t="s">
        <v>83</v>
      </c>
      <c r="K1726" s="2" t="str">
        <f>HYPERLINK("https://www.nba.com/stats/events?CFID=&amp;CFPARAMS=&amp;GameEventID=287&amp;GameID=0022300716&amp;Season=2023-24&amp;flag=1&amp;title=Leonard%209'%20driving%20floating%20Jump%20Shot%20(14%20PTS)%20(M.%20Plumlee%203%20AST)", "9' driving floating Jump Shot (14 PTS) (M. Plumlee 3 AST)")</f>
        <v>9' driving floating Jump Shot (14 PTS) (M. Plumlee 3 AST)</v>
      </c>
      <c r="L1726" s="2" t="str">
        <f>HYPERLINK("https://www.nba.com/game/...-vs-...-0022300716/play-by-play?watchFullGame=true", "LAC vs ATL - Q2 01:04.00")</f>
        <v>LAC vs ATL - Q2 01:04.00</v>
      </c>
      <c r="M1726">
        <v>9.3800000000000008</v>
      </c>
      <c r="N1726">
        <v>84.44</v>
      </c>
      <c r="O1726">
        <v>49.02</v>
      </c>
      <c r="P1726">
        <v>-5</v>
      </c>
      <c r="Q1726">
        <v>94</v>
      </c>
      <c r="R1726">
        <v>84</v>
      </c>
      <c r="S1726">
        <v>49</v>
      </c>
    </row>
    <row r="1727" spans="1:19" hidden="1" x14ac:dyDescent="0.25">
      <c r="A1727">
        <v>42200171</v>
      </c>
      <c r="B1727" t="s">
        <v>18</v>
      </c>
      <c r="C1727" t="s">
        <v>19</v>
      </c>
      <c r="D1727">
        <v>10</v>
      </c>
      <c r="E1727">
        <v>10</v>
      </c>
      <c r="F1727">
        <v>0</v>
      </c>
      <c r="G1727">
        <v>1</v>
      </c>
      <c r="H1727" s="1">
        <v>4.6412037037037038E-3</v>
      </c>
      <c r="I1727" t="s">
        <v>96</v>
      </c>
      <c r="J1727" t="s">
        <v>83</v>
      </c>
      <c r="K1727" s="2" t="str">
        <f>HYPERLINK("https://www.nba.com/stats/events?CFID=&amp;CFPARAMS=&amp;GameEventID=54&amp;GameID=0042200171&amp;Season=2022-23&amp;flag=1&amp;title=Leonard%209'%20fadeaway%20Jump%20Shot%20(3%20PTS)", "9' fadeaway Jump Shot (3 PTS)")</f>
        <v>9' fadeaway Jump Shot (3 PTS)</v>
      </c>
      <c r="L1727" s="2" t="str">
        <f>HYPERLINK("https://www.nba.com/game/...-vs-...-0042200171/play-by-play?watchFullGame=true", "LAC vs PHX - Q1 06:41.00")</f>
        <v>LAC vs PHX - Q1 06:41.00</v>
      </c>
      <c r="M1727">
        <v>9.33</v>
      </c>
      <c r="N1727">
        <v>84.71</v>
      </c>
      <c r="O1727">
        <v>46.08</v>
      </c>
      <c r="P1727">
        <v>84</v>
      </c>
      <c r="Q1727">
        <v>46</v>
      </c>
      <c r="R1727">
        <v>84</v>
      </c>
      <c r="S1727">
        <v>46</v>
      </c>
    </row>
    <row r="1728" spans="1:19" hidden="1" x14ac:dyDescent="0.25">
      <c r="A1728">
        <v>22300151</v>
      </c>
      <c r="B1728" t="s">
        <v>18</v>
      </c>
      <c r="C1728" t="s">
        <v>19</v>
      </c>
      <c r="D1728">
        <v>10</v>
      </c>
      <c r="E1728">
        <v>8</v>
      </c>
      <c r="F1728">
        <v>2</v>
      </c>
      <c r="G1728">
        <v>1</v>
      </c>
      <c r="H1728" s="1">
        <v>4.3750000000000004E-3</v>
      </c>
      <c r="I1728">
        <v>2023</v>
      </c>
      <c r="J1728" t="s">
        <v>83</v>
      </c>
      <c r="K1728" s="2" t="str">
        <f>HYPERLINK("https://www.nba.com/stats/events?CFID=&amp;CFPARAMS=&amp;GameEventID=53&amp;GameID=0022300151&amp;Season=2023-24&amp;flag=1&amp;title=Leonard%209'%20pullup%20Jump%20Shot%20(2%20PTS)%20(R.%20Westbrook%201%20AST)", "9' pullup Jump Shot (2 PTS) (R. Westbrook 1 AST)")</f>
        <v>9' pullup Jump Shot (2 PTS) (R. Westbrook 1 AST)</v>
      </c>
      <c r="L1728" s="2" t="str">
        <f>HYPERLINK("https://www.nba.com/game/...-vs-...-0022300151/play-by-play?watchFullGame=true", "LAC vs NYK - Q1 06:18.00")</f>
        <v>LAC vs NYK - Q1 06:18.00</v>
      </c>
      <c r="M1728">
        <v>9.25</v>
      </c>
      <c r="N1728">
        <v>84.58</v>
      </c>
      <c r="O1728">
        <v>50</v>
      </c>
      <c r="P1728">
        <v>84</v>
      </c>
      <c r="Q1728">
        <v>92</v>
      </c>
      <c r="R1728">
        <v>84</v>
      </c>
      <c r="S1728">
        <v>50</v>
      </c>
    </row>
    <row r="1729" spans="1:19" hidden="1" x14ac:dyDescent="0.25">
      <c r="A1729">
        <v>22000105</v>
      </c>
      <c r="B1729" t="s">
        <v>18</v>
      </c>
      <c r="C1729" t="s">
        <v>19</v>
      </c>
      <c r="D1729">
        <v>104</v>
      </c>
      <c r="E1729">
        <v>113</v>
      </c>
      <c r="F1729">
        <v>9</v>
      </c>
      <c r="G1729">
        <v>4</v>
      </c>
      <c r="H1729" s="1">
        <v>2.4421296296296296E-3</v>
      </c>
      <c r="I1729">
        <v>2020</v>
      </c>
      <c r="J1729" t="s">
        <v>83</v>
      </c>
      <c r="K1729" s="2" t="str">
        <f>HYPERLINK("https://www.nba.com/stats/events?CFID=&amp;CFPARAMS=&amp;GameEventID=558&amp;GameID=0022000105&amp;Season=2020-21&amp;flag=1&amp;title=Leonard%209'%20pullup%20Jump%20Shot%20(30%20PTS)", "9' pullup Jump Shot (30 PTS)")</f>
        <v>9' pullup Jump Shot (30 PTS)</v>
      </c>
      <c r="L1729" s="2" t="str">
        <f>HYPERLINK("https://www.nba.com/game/...-vs-...-0022000105/play-by-play?watchFullGame=true", "LAC vs SAS - Q4 03:31.00")</f>
        <v>LAC vs SAS - Q4 03:31.00</v>
      </c>
      <c r="M1729">
        <v>9.23</v>
      </c>
      <c r="N1729">
        <v>84.71</v>
      </c>
      <c r="O1729">
        <v>47.13</v>
      </c>
      <c r="P1729">
        <v>-14</v>
      </c>
      <c r="Q1729">
        <v>91</v>
      </c>
      <c r="R1729">
        <v>84</v>
      </c>
      <c r="S1729">
        <v>47</v>
      </c>
    </row>
    <row r="1730" spans="1:19" hidden="1" x14ac:dyDescent="0.25">
      <c r="A1730">
        <v>22400751</v>
      </c>
      <c r="B1730" t="s">
        <v>18</v>
      </c>
      <c r="C1730" t="s">
        <v>89</v>
      </c>
      <c r="D1730">
        <v>73</v>
      </c>
      <c r="E1730">
        <v>73</v>
      </c>
      <c r="F1730">
        <v>0</v>
      </c>
      <c r="G1730">
        <v>3</v>
      </c>
      <c r="H1730" s="1">
        <v>4.0046296296296297E-3</v>
      </c>
      <c r="I1730">
        <v>2024</v>
      </c>
      <c r="J1730" t="s">
        <v>83</v>
      </c>
      <c r="K1730" s="2" t="str">
        <f>HYPERLINK("https://www.nba.com/stats/events?CFID=&amp;CFPARAMS=&amp;GameEventID=417&amp;GameID=0022400751&amp;Season=2024-25&amp;flag=1&amp;title=Leonard%209'%20driving%20Hook%20(8%20PTS)", "9' driving Hook (8 PTS)")</f>
        <v>9' driving Hook (8 PTS)</v>
      </c>
      <c r="L1730" s="2" t="str">
        <f>HYPERLINK("https://www.nba.com/game/...-vs-...-0022400751/play-by-play?watchFullGame=true", "LAC vs UTA - Q3 05:46.00")</f>
        <v>LAC vs UTA - Q3 05:46.00</v>
      </c>
      <c r="M1730">
        <v>9.17</v>
      </c>
      <c r="N1730">
        <v>84.71</v>
      </c>
      <c r="O1730">
        <v>51.96</v>
      </c>
      <c r="P1730">
        <v>10</v>
      </c>
      <c r="Q1730">
        <v>91</v>
      </c>
      <c r="R1730">
        <v>84</v>
      </c>
      <c r="S1730">
        <v>51</v>
      </c>
    </row>
    <row r="1731" spans="1:19" hidden="1" x14ac:dyDescent="0.25">
      <c r="A1731">
        <v>22301017</v>
      </c>
      <c r="B1731" t="s">
        <v>18</v>
      </c>
      <c r="C1731" t="s">
        <v>19</v>
      </c>
      <c r="D1731">
        <v>26</v>
      </c>
      <c r="E1731">
        <v>13</v>
      </c>
      <c r="F1731">
        <v>13</v>
      </c>
      <c r="G1731">
        <v>1</v>
      </c>
      <c r="H1731" s="1">
        <v>3.2291666666666666E-3</v>
      </c>
      <c r="I1731">
        <v>2023</v>
      </c>
      <c r="J1731" t="s">
        <v>83</v>
      </c>
      <c r="K1731" s="2" t="str">
        <f>HYPERLINK("https://www.nba.com/stats/events?CFID=&amp;CFPARAMS=&amp;GameEventID=93&amp;GameID=0022301017&amp;Season=2023-24&amp;flag=1&amp;title=Leonard%208'%20pullup%20Jump%20Shot%20(10%20PTS)", "8' pullup Jump Shot (10 PTS)")</f>
        <v>8' pullup Jump Shot (10 PTS)</v>
      </c>
      <c r="L1731" s="2" t="str">
        <f>HYPERLINK("https://www.nba.com/game/...-vs-...-0022301017/play-by-play?watchFullGame=true", "LAC vs POR - Q1 04:39.00")</f>
        <v>LAC vs POR - Q1 04:39.00</v>
      </c>
      <c r="M1731">
        <v>8.89</v>
      </c>
      <c r="N1731">
        <v>84.97</v>
      </c>
      <c r="O1731">
        <v>49.02</v>
      </c>
      <c r="P1731">
        <v>-5</v>
      </c>
      <c r="Q1731">
        <v>89</v>
      </c>
      <c r="R1731">
        <v>84</v>
      </c>
      <c r="S1731">
        <v>49</v>
      </c>
    </row>
    <row r="1732" spans="1:19" hidden="1" x14ac:dyDescent="0.25">
      <c r="A1732">
        <v>22200389</v>
      </c>
      <c r="B1732" t="s">
        <v>26</v>
      </c>
      <c r="C1732" t="s">
        <v>19</v>
      </c>
      <c r="D1732">
        <v>47</v>
      </c>
      <c r="E1732">
        <v>49</v>
      </c>
      <c r="F1732">
        <v>2</v>
      </c>
      <c r="G1732">
        <v>2</v>
      </c>
      <c r="H1732" s="1">
        <v>4.0046296296296297E-3</v>
      </c>
      <c r="I1732">
        <v>2022</v>
      </c>
      <c r="J1732" t="s">
        <v>83</v>
      </c>
      <c r="K1732" s="2" t="str">
        <f>HYPERLINK("https://www.nba.com/stats/events?CFID=&amp;CFPARAMS=&amp;GameEventID=240&amp;GameID=0022200389&amp;Season=2022-23&amp;flag=1&amp;title=Leonard%2024'%203PT%20%20(7%20PTS)%20(P.%20George%202%20AST)", "24' 3PT  (7 PTS) (P. George 2 AST)")</f>
        <v>24' 3PT  (7 PTS) (P. George 2 AST)</v>
      </c>
      <c r="L1732" s="2" t="str">
        <f>HYPERLINK("https://www.nba.com/game/...-vs-...-0022200389/play-by-play?watchFullGame=true", "LAC vs WAS - Q2 05:46.00")</f>
        <v>LAC vs WAS - Q2 05:46.00</v>
      </c>
      <c r="M1732">
        <v>24.36</v>
      </c>
      <c r="N1732">
        <v>85.63</v>
      </c>
      <c r="O1732">
        <v>4.17</v>
      </c>
      <c r="P1732">
        <v>-229</v>
      </c>
      <c r="Q1732">
        <v>83</v>
      </c>
      <c r="R1732">
        <v>85</v>
      </c>
      <c r="S1732">
        <v>4</v>
      </c>
    </row>
    <row r="1733" spans="1:19" hidden="1" x14ac:dyDescent="0.25">
      <c r="A1733">
        <v>22200617</v>
      </c>
      <c r="B1733" t="s">
        <v>18</v>
      </c>
      <c r="C1733" t="s">
        <v>19</v>
      </c>
      <c r="D1733">
        <v>67</v>
      </c>
      <c r="E1733">
        <v>45</v>
      </c>
      <c r="F1733">
        <v>22</v>
      </c>
      <c r="G1733">
        <v>2</v>
      </c>
      <c r="H1733" s="1">
        <v>6.4930555555555553E-4</v>
      </c>
      <c r="I1733">
        <v>2022</v>
      </c>
      <c r="J1733" t="s">
        <v>83</v>
      </c>
      <c r="K1733" s="2" t="str">
        <f>HYPERLINK("https://www.nba.com/stats/events?CFID=&amp;CFPARAMS=&amp;GameEventID=320&amp;GameID=0022200617&amp;Season=2022-23&amp;flag=1&amp;title=Leonard%2015'%20step%20back%20Jump%20Shot%20(17%20PTS)", "15' step back Jump Shot (17 PTS)")</f>
        <v>15' step back Jump Shot (17 PTS)</v>
      </c>
      <c r="L1733" s="2" t="str">
        <f>HYPERLINK("https://www.nba.com/game/...-vs-...-0022200617/play-by-play?watchFullGame=true", "LAC vs DAL - Q2 00:56.10")</f>
        <v>LAC vs DAL - Q2 00:56.10</v>
      </c>
      <c r="M1733">
        <v>15.7</v>
      </c>
      <c r="N1733">
        <v>85.86</v>
      </c>
      <c r="O1733">
        <v>23.04</v>
      </c>
      <c r="P1733">
        <v>-135</v>
      </c>
      <c r="Q1733">
        <v>80</v>
      </c>
      <c r="R1733">
        <v>85</v>
      </c>
      <c r="S1733">
        <v>23</v>
      </c>
    </row>
    <row r="1734" spans="1:19" hidden="1" x14ac:dyDescent="0.25">
      <c r="A1734">
        <v>21900035</v>
      </c>
      <c r="B1734" t="s">
        <v>18</v>
      </c>
      <c r="C1734" t="s">
        <v>84</v>
      </c>
      <c r="D1734">
        <v>100</v>
      </c>
      <c r="E1734">
        <v>112</v>
      </c>
      <c r="F1734">
        <v>12</v>
      </c>
      <c r="G1734">
        <v>4</v>
      </c>
      <c r="H1734" s="1">
        <v>3.9930555555555552E-3</v>
      </c>
      <c r="I1734">
        <v>2019</v>
      </c>
      <c r="J1734" t="s">
        <v>83</v>
      </c>
      <c r="K1734" s="2" t="str">
        <f>HYPERLINK("https://www.nba.com/stats/events?CFID=&amp;CFPARAMS=&amp;GameEventID=666&amp;GameID=0021900035&amp;Season=2019-20&amp;flag=1&amp;title=[LAC]%20Leonard%20jumpshot:%20Made%20(21%20PTS)%20assist:%20Patterson%20(1%20AST)", "[LAC] Leonard jumpshot: Made (21 PTS) assist: Patterson (1 AST)")</f>
        <v>[LAC] Leonard jumpshot: Made (21 PTS) assist: Patterson (1 AST)</v>
      </c>
      <c r="L1734" s="2" t="str">
        <f>HYPERLINK("https://www.nba.com/game/...-vs-...-0021900035/play-by-play?watchFullGame=true", "LAC vs PHX - Q4 05:45.00")</f>
        <v>LAC vs PHX - Q4 05:45.00</v>
      </c>
      <c r="M1734">
        <v>15.04</v>
      </c>
      <c r="N1734">
        <v>85.5</v>
      </c>
      <c r="O1734">
        <v>25.8</v>
      </c>
      <c r="P1734">
        <v>-121</v>
      </c>
      <c r="Q1734">
        <v>84</v>
      </c>
      <c r="R1734">
        <v>85</v>
      </c>
      <c r="S1734">
        <v>25</v>
      </c>
    </row>
    <row r="1735" spans="1:19" hidden="1" x14ac:dyDescent="0.25">
      <c r="A1735">
        <v>22400983</v>
      </c>
      <c r="B1735" t="s">
        <v>18</v>
      </c>
      <c r="C1735" t="s">
        <v>19</v>
      </c>
      <c r="D1735">
        <v>51</v>
      </c>
      <c r="E1735">
        <v>29</v>
      </c>
      <c r="F1735">
        <v>22</v>
      </c>
      <c r="G1735">
        <v>2</v>
      </c>
      <c r="H1735" s="1">
        <v>3.7384259259259259E-3</v>
      </c>
      <c r="I1735">
        <v>2024</v>
      </c>
      <c r="J1735" t="s">
        <v>83</v>
      </c>
      <c r="K1735" s="2" t="str">
        <f>HYPERLINK("https://www.nba.com/stats/events?CFID=&amp;CFPARAMS=&amp;GameEventID=248&amp;GameID=0022400983&amp;Season=2024-25&amp;flag=1&amp;title=Leonard%2015'%20turnaround%20fadeaway%20Jump%20Shot%20(9%20PTS)%20(A.%20Coffey%201%20AST)", "15' turnaround fadeaway Jump Shot (9 PTS) (A. Coffey 1 AST)")</f>
        <v>15' turnaround fadeaway Jump Shot (9 PTS) (A. Coffey 1 AST)</v>
      </c>
      <c r="L1735" s="2" t="str">
        <f>HYPERLINK("https://www.nba.com/game/...-vs-...-0022400983/play-by-play?watchFullGame=true", "LAC vs WAS - Q2 05:23.00")</f>
        <v>LAC vs WAS - Q2 05:23.00</v>
      </c>
      <c r="M1735">
        <v>15.26</v>
      </c>
      <c r="N1735">
        <v>85.5</v>
      </c>
      <c r="O1735">
        <v>75.489999999999995</v>
      </c>
      <c r="P1735">
        <v>127</v>
      </c>
      <c r="Q1735">
        <v>84</v>
      </c>
      <c r="R1735">
        <v>85</v>
      </c>
      <c r="S1735">
        <v>75</v>
      </c>
    </row>
    <row r="1736" spans="1:19" hidden="1" x14ac:dyDescent="0.25">
      <c r="A1736">
        <v>22200784</v>
      </c>
      <c r="B1736" t="s">
        <v>18</v>
      </c>
      <c r="C1736" t="s">
        <v>19</v>
      </c>
      <c r="D1736">
        <v>86</v>
      </c>
      <c r="E1736">
        <v>70</v>
      </c>
      <c r="F1736">
        <v>16</v>
      </c>
      <c r="G1736">
        <v>3</v>
      </c>
      <c r="H1736" s="1">
        <v>1.238425925925926E-3</v>
      </c>
      <c r="I1736">
        <v>2022</v>
      </c>
      <c r="J1736" t="s">
        <v>83</v>
      </c>
      <c r="K1736" s="2" t="str">
        <f>HYPERLINK("https://www.nba.com/stats/events?CFID=&amp;CFPARAMS=&amp;GameEventID=447&amp;GameID=0022200784&amp;Season=2022-23&amp;flag=1&amp;title=Leonard%2015'%20pullup%20Jump%20Shot%20(15%20PTS)", "15' pullup Jump Shot (15 PTS)")</f>
        <v>15' pullup Jump Shot (15 PTS)</v>
      </c>
      <c r="L1736" s="2" t="str">
        <f>HYPERLINK("https://www.nba.com/game/...-vs-...-0022200784/play-by-play?watchFullGame=true", "LAC vs MIL - Q3 01:47.00")</f>
        <v>LAC vs MIL - Q3 01:47.00</v>
      </c>
      <c r="M1736">
        <v>15.96</v>
      </c>
      <c r="N1736">
        <v>85.76</v>
      </c>
      <c r="O1736">
        <v>77.45</v>
      </c>
      <c r="P1736">
        <v>137</v>
      </c>
      <c r="Q1736">
        <v>81</v>
      </c>
      <c r="R1736">
        <v>85</v>
      </c>
      <c r="S1736">
        <v>77</v>
      </c>
    </row>
    <row r="1737" spans="1:19" hidden="1" x14ac:dyDescent="0.25">
      <c r="A1737">
        <v>22201096</v>
      </c>
      <c r="B1737" t="s">
        <v>18</v>
      </c>
      <c r="C1737" t="s">
        <v>19</v>
      </c>
      <c r="D1737">
        <v>36</v>
      </c>
      <c r="E1737">
        <v>29</v>
      </c>
      <c r="F1737">
        <v>7</v>
      </c>
      <c r="G1737">
        <v>1</v>
      </c>
      <c r="H1737" s="1">
        <v>1.1574074074074075E-4</v>
      </c>
      <c r="I1737">
        <v>2022</v>
      </c>
      <c r="J1737" t="s">
        <v>83</v>
      </c>
      <c r="K1737" s="2" t="str">
        <f>HYPERLINK("https://www.nba.com/stats/events?CFID=&amp;CFPARAMS=&amp;GameEventID=148&amp;GameID=0022201096&amp;Season=2022-23&amp;flag=1&amp;title=Leonard%2016'%20Jump%20Shot%20(15%20PTS)%20(N.%20Batum%201%20AST)", "16' Jump Shot (15 PTS) (N. Batum 1 AST)")</f>
        <v>16' Jump Shot (15 PTS) (N. Batum 1 AST)</v>
      </c>
      <c r="L1737" s="2" t="str">
        <f>HYPERLINK("https://www.nba.com/game/...-vs-...-0022201096/play-by-play?watchFullGame=true", "LAC vs OKC - Q1 00:10.00")</f>
        <v>LAC vs OKC - Q1 00:10.00</v>
      </c>
      <c r="M1737">
        <v>16.18</v>
      </c>
      <c r="N1737">
        <v>85.73</v>
      </c>
      <c r="O1737">
        <v>77.94</v>
      </c>
      <c r="P1737">
        <v>140</v>
      </c>
      <c r="Q1737">
        <v>82</v>
      </c>
      <c r="R1737">
        <v>85</v>
      </c>
      <c r="S1737">
        <v>77</v>
      </c>
    </row>
    <row r="1738" spans="1:19" hidden="1" x14ac:dyDescent="0.25">
      <c r="A1738">
        <v>22201215</v>
      </c>
      <c r="B1738" t="s">
        <v>18</v>
      </c>
      <c r="C1738" t="s">
        <v>19</v>
      </c>
      <c r="D1738">
        <v>12</v>
      </c>
      <c r="E1738">
        <v>9</v>
      </c>
      <c r="F1738">
        <v>3</v>
      </c>
      <c r="G1738">
        <v>1</v>
      </c>
      <c r="H1738" s="1">
        <v>4.7222222222222223E-3</v>
      </c>
      <c r="I1738">
        <v>2022</v>
      </c>
      <c r="J1738" t="s">
        <v>83</v>
      </c>
      <c r="K1738" s="2" t="str">
        <f>HYPERLINK("https://www.nba.com/stats/events?CFID=&amp;CFPARAMS=&amp;GameEventID=60&amp;GameID=0022201215&amp;Season=2022-23&amp;flag=1&amp;title=Leonard%2018'%20turnaround%20Jump%20Shot%20(2%20PTS)%20(N.%20Batum%202%20AST)", "18' turnaround Jump Shot (2 PTS) (N. Batum 2 AST)")</f>
        <v>18' turnaround Jump Shot (2 PTS) (N. Batum 2 AST)</v>
      </c>
      <c r="L1738" s="2" t="str">
        <f>HYPERLINK("https://www.nba.com/game/...-vs-...-0022201215/play-by-play?watchFullGame=true", "LAC vs POR - Q1 06:48.00")</f>
        <v>LAC vs POR - Q1 06:48.00</v>
      </c>
      <c r="M1738">
        <v>18.29</v>
      </c>
      <c r="N1738">
        <v>85.59</v>
      </c>
      <c r="O1738">
        <v>82.6</v>
      </c>
      <c r="P1738">
        <v>163</v>
      </c>
      <c r="Q1738">
        <v>83</v>
      </c>
      <c r="R1738">
        <v>85</v>
      </c>
      <c r="S1738">
        <v>82</v>
      </c>
    </row>
    <row r="1739" spans="1:19" hidden="1" x14ac:dyDescent="0.25">
      <c r="A1739">
        <v>22300873</v>
      </c>
      <c r="B1739" t="s">
        <v>18</v>
      </c>
      <c r="C1739" t="s">
        <v>19</v>
      </c>
      <c r="D1739">
        <v>51</v>
      </c>
      <c r="E1739">
        <v>48</v>
      </c>
      <c r="F1739">
        <v>3</v>
      </c>
      <c r="G1739">
        <v>3</v>
      </c>
      <c r="H1739" s="1">
        <v>6.898148148148148E-3</v>
      </c>
      <c r="I1739">
        <v>2023</v>
      </c>
      <c r="J1739" t="s">
        <v>83</v>
      </c>
      <c r="K1739" s="2" t="str">
        <f>HYPERLINK("https://www.nba.com/stats/events?CFID=&amp;CFPARAMS=&amp;GameEventID=296&amp;GameID=0022300873&amp;Season=2023-24&amp;flag=1&amp;title=Leonard%2013'%20pullup%20Jump%20Shot%20(17%20PTS)", "13' pullup Jump Shot (17 PTS)")</f>
        <v>13' pullup Jump Shot (17 PTS)</v>
      </c>
      <c r="L1739" s="2" t="str">
        <f>HYPERLINK("https://www.nba.com/game/...-vs-...-0022300873/play-by-play?watchFullGame=true", "LAC vs MIN - Q3 09:56.00")</f>
        <v>LAC vs MIN - Q3 09:56.00</v>
      </c>
      <c r="M1739">
        <v>13.53</v>
      </c>
      <c r="N1739">
        <v>85.89</v>
      </c>
      <c r="O1739">
        <v>71.81</v>
      </c>
      <c r="P1739">
        <v>109</v>
      </c>
      <c r="Q1739">
        <v>80</v>
      </c>
      <c r="R1739">
        <v>85</v>
      </c>
      <c r="S1739">
        <v>71</v>
      </c>
    </row>
    <row r="1740" spans="1:19" hidden="1" x14ac:dyDescent="0.25">
      <c r="A1740">
        <v>22301064</v>
      </c>
      <c r="B1740" t="s">
        <v>18</v>
      </c>
      <c r="C1740" t="s">
        <v>19</v>
      </c>
      <c r="D1740">
        <v>63</v>
      </c>
      <c r="E1740">
        <v>60</v>
      </c>
      <c r="F1740">
        <v>3</v>
      </c>
      <c r="G1740">
        <v>3</v>
      </c>
      <c r="H1740" s="1">
        <v>5.0462962962962961E-3</v>
      </c>
      <c r="I1740">
        <v>2023</v>
      </c>
      <c r="J1740" t="s">
        <v>83</v>
      </c>
      <c r="K1740" s="2" t="str">
        <f>HYPERLINK("https://www.nba.com/stats/events?CFID=&amp;CFPARAMS=&amp;GameEventID=367&amp;GameID=0022301064&amp;Season=2023-24&amp;flag=1&amp;title=Leonard%2013'%20fadeaway%20Jump%20Shot%20(15%20PTS)", "13' fadeaway Jump Shot (15 PTS)")</f>
        <v>13' fadeaway Jump Shot (15 PTS)</v>
      </c>
      <c r="L1740" s="2" t="str">
        <f>HYPERLINK("https://www.nba.com/game/...-vs-...-0022301064/play-by-play?watchFullGame=true", "LAC vs ORL - Q3 07:16.00")</f>
        <v>LAC vs ORL - Q3 07:16.00</v>
      </c>
      <c r="M1740">
        <v>13.08</v>
      </c>
      <c r="N1740">
        <v>85.36</v>
      </c>
      <c r="O1740">
        <v>69.849999999999994</v>
      </c>
      <c r="P1740">
        <v>99</v>
      </c>
      <c r="Q1740">
        <v>85</v>
      </c>
      <c r="R1740">
        <v>85</v>
      </c>
      <c r="S1740">
        <v>69</v>
      </c>
    </row>
    <row r="1741" spans="1:19" hidden="1" x14ac:dyDescent="0.25">
      <c r="A1741">
        <v>21900653</v>
      </c>
      <c r="B1741" t="s">
        <v>18</v>
      </c>
      <c r="C1741" t="s">
        <v>84</v>
      </c>
      <c r="D1741">
        <v>64</v>
      </c>
      <c r="E1741">
        <v>51</v>
      </c>
      <c r="F1741">
        <v>13</v>
      </c>
      <c r="G1741">
        <v>3</v>
      </c>
      <c r="H1741" s="1">
        <v>7.5925925925925926E-3</v>
      </c>
      <c r="I1741">
        <v>2019</v>
      </c>
      <c r="J1741" t="s">
        <v>83</v>
      </c>
      <c r="K1741" s="2" t="str">
        <f>HYPERLINK("https://www.nba.com/stats/events?CFID=&amp;CFPARAMS=&amp;GameEventID=396&amp;GameID=0021900653&amp;Season=2019-20&amp;flag=1&amp;title=Leonard%2013'%20jumpshot%20(18%20PTS)", "13' jumpshot (18 PTS)")</f>
        <v>13' jumpshot (18 PTS)</v>
      </c>
      <c r="L1741" s="2" t="str">
        <f>HYPERLINK("https://www.nba.com/game/...-vs-...-0021900653/play-by-play?watchFullGame=true", "LAC vs DAL - Q3 10:56.00")</f>
        <v>LAC vs DAL - Q3 10:56.00</v>
      </c>
      <c r="M1741">
        <v>12.93</v>
      </c>
      <c r="N1741">
        <v>85.5</v>
      </c>
      <c r="O1741">
        <v>68.7</v>
      </c>
      <c r="P1741">
        <v>93</v>
      </c>
      <c r="Q1741">
        <v>84</v>
      </c>
      <c r="R1741">
        <v>85</v>
      </c>
      <c r="S1741">
        <v>68</v>
      </c>
    </row>
    <row r="1742" spans="1:19" hidden="1" x14ac:dyDescent="0.25">
      <c r="A1742">
        <v>22400571</v>
      </c>
      <c r="B1742" t="s">
        <v>18</v>
      </c>
      <c r="C1742" t="s">
        <v>19</v>
      </c>
      <c r="D1742">
        <v>6</v>
      </c>
      <c r="E1742">
        <v>4</v>
      </c>
      <c r="F1742">
        <v>2</v>
      </c>
      <c r="G1742">
        <v>1</v>
      </c>
      <c r="H1742" s="1">
        <v>6.2615740740740739E-3</v>
      </c>
      <c r="I1742">
        <v>2024</v>
      </c>
      <c r="J1742" t="s">
        <v>83</v>
      </c>
      <c r="K1742" s="2" t="str">
        <f>HYPERLINK("https://www.nba.com/stats/events?CFID=&amp;CFPARAMS=&amp;GameEventID=33&amp;GameID=0022400571&amp;Season=2024-25&amp;flag=1&amp;title=Leonard%2012'%20pullup%20Jump%20Shot%20(2%20PTS)%20(N.%20Powell%201%20AST)", "12' pullup Jump Shot (2 PTS) (N. Powell 1 AST)")</f>
        <v>12' pullup Jump Shot (2 PTS) (N. Powell 1 AST)</v>
      </c>
      <c r="L1742" s="2" t="str">
        <f>HYPERLINK("https://www.nba.com/game/...-vs-...-0022400571/play-by-play?watchFullGame=true", "LAC vs BKN - Q1 09:01.00")</f>
        <v>LAC vs BKN - Q1 09:01.00</v>
      </c>
      <c r="M1742">
        <v>12.38</v>
      </c>
      <c r="N1742">
        <v>85.89</v>
      </c>
      <c r="O1742">
        <v>68.87</v>
      </c>
      <c r="P1742">
        <v>94</v>
      </c>
      <c r="Q1742">
        <v>80</v>
      </c>
      <c r="R1742">
        <v>85</v>
      </c>
      <c r="S1742">
        <v>68</v>
      </c>
    </row>
    <row r="1743" spans="1:19" hidden="1" x14ac:dyDescent="0.25">
      <c r="A1743">
        <v>22400783</v>
      </c>
      <c r="B1743" t="s">
        <v>18</v>
      </c>
      <c r="C1743" t="s">
        <v>19</v>
      </c>
      <c r="D1743">
        <v>68</v>
      </c>
      <c r="E1743">
        <v>63</v>
      </c>
      <c r="F1743">
        <v>5</v>
      </c>
      <c r="G1743">
        <v>3</v>
      </c>
      <c r="H1743" s="1">
        <v>8.1365740740740738E-3</v>
      </c>
      <c r="I1743">
        <v>2024</v>
      </c>
      <c r="J1743" t="s">
        <v>83</v>
      </c>
      <c r="K1743" s="2" t="str">
        <f>HYPERLINK("https://www.nba.com/stats/events?CFID=&amp;CFPARAMS=&amp;GameEventID=360&amp;GameID=0022400783&amp;Season=2024-25&amp;flag=1&amp;title=Leonard%2012'%20turnaround%20fadeaway%20Jump%20Shot%20(16%20PTS)", "12' turnaround fadeaway Jump Shot (16 PTS)")</f>
        <v>12' turnaround fadeaway Jump Shot (16 PTS)</v>
      </c>
      <c r="L1743" s="2" t="str">
        <f>HYPERLINK("https://www.nba.com/game/...-vs-...-0022400783/play-by-play?watchFullGame=true", "LAC vs MEM - Q3 11:43.00")</f>
        <v>LAC vs MEM - Q3 11:43.00</v>
      </c>
      <c r="M1743">
        <v>12</v>
      </c>
      <c r="N1743">
        <v>85.02</v>
      </c>
      <c r="O1743">
        <v>66.25</v>
      </c>
      <c r="P1743">
        <v>81</v>
      </c>
      <c r="Q1743">
        <v>88</v>
      </c>
      <c r="R1743">
        <v>85</v>
      </c>
      <c r="S1743">
        <v>66</v>
      </c>
    </row>
    <row r="1744" spans="1:19" hidden="1" x14ac:dyDescent="0.25">
      <c r="A1744">
        <v>22400874</v>
      </c>
      <c r="B1744" t="s">
        <v>18</v>
      </c>
      <c r="C1744" t="s">
        <v>19</v>
      </c>
      <c r="D1744">
        <v>17</v>
      </c>
      <c r="E1744">
        <v>21</v>
      </c>
      <c r="F1744">
        <v>4</v>
      </c>
      <c r="G1744">
        <v>1</v>
      </c>
      <c r="H1744" s="1">
        <v>2.9629629629629628E-3</v>
      </c>
      <c r="I1744">
        <v>2024</v>
      </c>
      <c r="J1744" t="s">
        <v>83</v>
      </c>
      <c r="K1744" s="2" t="str">
        <f>HYPERLINK("https://www.nba.com/stats/events?CFID=&amp;CFPARAMS=&amp;GameEventID=96&amp;GameID=0022400874&amp;Season=2024-25&amp;flag=1&amp;title=Leonard%2011'%20pullup%20Jump%20Shot%20(5%20PTS)%20(J.%20Harden%204%20AST)", "11' pullup Jump Shot (5 PTS) (J. Harden 4 AST)")</f>
        <v>11' pullup Jump Shot (5 PTS) (J. Harden 4 AST)</v>
      </c>
      <c r="L1744" s="2" t="str">
        <f>HYPERLINK("https://www.nba.com/game/...-vs-...-0022400874/play-by-play?watchFullGame=true", "LAC vs LAL - Q1 04:16.00")</f>
        <v>LAC vs LAL - Q1 04:16.00</v>
      </c>
      <c r="M1744">
        <v>11.38</v>
      </c>
      <c r="N1744">
        <v>85.07</v>
      </c>
      <c r="O1744">
        <v>64.459999999999994</v>
      </c>
      <c r="P1744">
        <v>72</v>
      </c>
      <c r="Q1744">
        <v>88</v>
      </c>
      <c r="R1744">
        <v>85</v>
      </c>
      <c r="S1744">
        <v>64</v>
      </c>
    </row>
    <row r="1745" spans="1:19" hidden="1" x14ac:dyDescent="0.25">
      <c r="A1745">
        <v>22300807</v>
      </c>
      <c r="B1745" t="s">
        <v>18</v>
      </c>
      <c r="C1745" t="s">
        <v>19</v>
      </c>
      <c r="D1745">
        <v>76</v>
      </c>
      <c r="E1745">
        <v>75</v>
      </c>
      <c r="F1745">
        <v>1</v>
      </c>
      <c r="G1745">
        <v>3</v>
      </c>
      <c r="H1745" s="1">
        <v>2.0254629629629629E-4</v>
      </c>
      <c r="I1745">
        <v>2023</v>
      </c>
      <c r="J1745" t="s">
        <v>83</v>
      </c>
      <c r="K1745" s="2" t="str">
        <f>HYPERLINK("https://www.nba.com/stats/events?CFID=&amp;CFPARAMS=&amp;GameEventID=481&amp;GameID=0022300807&amp;Season=2023-24&amp;flag=1&amp;title=Leonard%2011'%20pullup%20Jump%20Shot%20(17%20PTS)", "11' pullup Jump Shot (17 PTS)")</f>
        <v>11' pullup Jump Shot (17 PTS)</v>
      </c>
      <c r="L1745" s="2" t="str">
        <f>HYPERLINK("https://www.nba.com/game/...-vs-...-0022300807/play-by-play?watchFullGame=true", "LAC vs MEM - Q3 00:17.50")</f>
        <v>LAC vs MEM - Q3 00:17.50</v>
      </c>
      <c r="M1745">
        <v>11.27</v>
      </c>
      <c r="N1745">
        <v>85.1</v>
      </c>
      <c r="O1745">
        <v>64.22</v>
      </c>
      <c r="P1745">
        <v>71</v>
      </c>
      <c r="Q1745">
        <v>88</v>
      </c>
      <c r="R1745">
        <v>85</v>
      </c>
      <c r="S1745">
        <v>64</v>
      </c>
    </row>
    <row r="1746" spans="1:19" hidden="1" x14ac:dyDescent="0.25">
      <c r="A1746">
        <v>22300618</v>
      </c>
      <c r="B1746" t="s">
        <v>18</v>
      </c>
      <c r="C1746" t="s">
        <v>89</v>
      </c>
      <c r="D1746">
        <v>29</v>
      </c>
      <c r="E1746">
        <v>26</v>
      </c>
      <c r="F1746">
        <v>3</v>
      </c>
      <c r="G1746">
        <v>1</v>
      </c>
      <c r="H1746" s="1">
        <v>6.9444444444444447E-4</v>
      </c>
      <c r="I1746">
        <v>2023</v>
      </c>
      <c r="J1746" t="s">
        <v>83</v>
      </c>
      <c r="K1746" s="2" t="str">
        <f>HYPERLINK("https://www.nba.com/stats/events?CFID=&amp;CFPARAMS=&amp;GameEventID=135&amp;GameID=0022300618&amp;Season=2023-24&amp;flag=1&amp;title=Leonard%2011'%20driving%20Hook%20(8%20PTS)%20(N.%20Powell%201%20AST)", "11' driving Hook (8 PTS) (N. Powell 1 AST)")</f>
        <v>11' driving Hook (8 PTS) (N. Powell 1 AST)</v>
      </c>
      <c r="L1746" s="2" t="str">
        <f>HYPERLINK("https://www.nba.com/game/...-vs-...-0022300618/play-by-play?watchFullGame=true", "LAC vs LAL - Q1 01:00.00")</f>
        <v>LAC vs LAL - Q1 01:00.00</v>
      </c>
      <c r="M1746">
        <v>11.24</v>
      </c>
      <c r="N1746">
        <v>85.73</v>
      </c>
      <c r="O1746">
        <v>65.44</v>
      </c>
      <c r="P1746">
        <v>77</v>
      </c>
      <c r="Q1746">
        <v>82</v>
      </c>
      <c r="R1746">
        <v>85</v>
      </c>
      <c r="S1746">
        <v>65</v>
      </c>
    </row>
    <row r="1747" spans="1:19" hidden="1" x14ac:dyDescent="0.25">
      <c r="A1747">
        <v>22000400</v>
      </c>
      <c r="B1747" t="s">
        <v>18</v>
      </c>
      <c r="C1747" t="s">
        <v>19</v>
      </c>
      <c r="D1747">
        <v>51</v>
      </c>
      <c r="E1747">
        <v>48</v>
      </c>
      <c r="F1747">
        <v>3</v>
      </c>
      <c r="G1747">
        <v>2</v>
      </c>
      <c r="H1747" s="1">
        <v>1.6203703703703703E-3</v>
      </c>
      <c r="I1747">
        <v>2020</v>
      </c>
      <c r="J1747" t="s">
        <v>83</v>
      </c>
      <c r="K1747" s="2" t="str">
        <f>HYPERLINK("https://www.nba.com/stats/events?CFID=&amp;CFPARAMS=&amp;GameEventID=276&amp;GameID=0022000400&amp;Season=2020-21&amp;flag=1&amp;title=Leonard%2010'%20turnaround%20Jump%20Shot%20(12%20PTS)", "10' turnaround Jump Shot (12 PTS)")</f>
        <v>10' turnaround Jump Shot (12 PTS)</v>
      </c>
      <c r="L1747" s="2" t="str">
        <f>HYPERLINK("https://www.nba.com/game/...-vs-...-0022000400/play-by-play?watchFullGame=true", "LAC vs CHI - Q2 02:20.00")</f>
        <v>LAC vs CHI - Q2 02:20.00</v>
      </c>
      <c r="M1747">
        <v>10.75</v>
      </c>
      <c r="N1747">
        <v>85.76</v>
      </c>
      <c r="O1747">
        <v>64.040000000000006</v>
      </c>
      <c r="P1747">
        <v>70</v>
      </c>
      <c r="Q1747">
        <v>81</v>
      </c>
      <c r="R1747">
        <v>85</v>
      </c>
      <c r="S1747">
        <v>64</v>
      </c>
    </row>
    <row r="1748" spans="1:19" hidden="1" x14ac:dyDescent="0.25">
      <c r="A1748">
        <v>21900068</v>
      </c>
      <c r="B1748" t="s">
        <v>18</v>
      </c>
      <c r="C1748" t="s">
        <v>84</v>
      </c>
      <c r="D1748">
        <v>93</v>
      </c>
      <c r="E1748">
        <v>83</v>
      </c>
      <c r="F1748">
        <v>10</v>
      </c>
      <c r="G1748">
        <v>4</v>
      </c>
      <c r="H1748" s="1">
        <v>4.7569444444444447E-3</v>
      </c>
      <c r="I1748">
        <v>2019</v>
      </c>
      <c r="J1748" t="s">
        <v>83</v>
      </c>
      <c r="K1748" s="2" t="str">
        <f>HYPERLINK("https://www.nba.com/stats/events?CFID=&amp;CFPARAMS=&amp;GameEventID=606&amp;GameID=0021900068&amp;Season=2019-20&amp;flag=1&amp;title=[LAC]%20Leonard%20jumpshot:%20Made%20(34%20PTS)", "[LAC] Leonard jumpshot: Made (34 PTS)")</f>
        <v>[LAC] Leonard jumpshot: Made (34 PTS)</v>
      </c>
      <c r="L1748" s="2" t="str">
        <f>HYPERLINK("https://www.nba.com/game/...-vs-...-0021900068/play-by-play?watchFullGame=true", "LAC vs SAS - Q4 06:51.00")</f>
        <v>LAC vs SAS - Q4 06:51.00</v>
      </c>
      <c r="M1748">
        <v>10.57</v>
      </c>
      <c r="N1748">
        <v>85.73</v>
      </c>
      <c r="O1748">
        <v>61.94</v>
      </c>
      <c r="P1748">
        <v>60</v>
      </c>
      <c r="Q1748">
        <v>82</v>
      </c>
      <c r="R1748">
        <v>85</v>
      </c>
      <c r="S1748">
        <v>61</v>
      </c>
    </row>
    <row r="1749" spans="1:19" hidden="1" x14ac:dyDescent="0.25">
      <c r="A1749">
        <v>22200687</v>
      </c>
      <c r="B1749" t="s">
        <v>18</v>
      </c>
      <c r="C1749" t="s">
        <v>19</v>
      </c>
      <c r="D1749">
        <v>15</v>
      </c>
      <c r="E1749">
        <v>12</v>
      </c>
      <c r="F1749">
        <v>3</v>
      </c>
      <c r="G1749">
        <v>1</v>
      </c>
      <c r="H1749" s="1">
        <v>4.8495370370370368E-3</v>
      </c>
      <c r="I1749">
        <v>2022</v>
      </c>
      <c r="J1749" t="s">
        <v>83</v>
      </c>
      <c r="K1749" s="2" t="str">
        <f>HYPERLINK("https://www.nba.com/stats/events?CFID=&amp;CFPARAMS=&amp;GameEventID=55&amp;GameID=0022200687&amp;Season=2022-23&amp;flag=1&amp;title=Leonard%2010'%20pullup%20Jump%20Shot%20(9%20PTS)", "10' pullup Jump Shot (9 PTS)")</f>
        <v>10' pullup Jump Shot (9 PTS)</v>
      </c>
      <c r="L1749" s="2" t="str">
        <f>HYPERLINK("https://www.nba.com/game/...-vs-...-0022200687/play-by-play?watchFullGame=true", "LAC vs SAS - Q1 06:59.00")</f>
        <v>LAC vs SAS - Q1 06:59.00</v>
      </c>
      <c r="M1749">
        <v>10.49</v>
      </c>
      <c r="N1749">
        <v>85.76</v>
      </c>
      <c r="O1749">
        <v>36.76</v>
      </c>
      <c r="P1749">
        <v>-66</v>
      </c>
      <c r="Q1749">
        <v>81</v>
      </c>
      <c r="R1749">
        <v>85</v>
      </c>
      <c r="S1749">
        <v>36</v>
      </c>
    </row>
    <row r="1750" spans="1:19" hidden="1" x14ac:dyDescent="0.25">
      <c r="A1750">
        <v>22000224</v>
      </c>
      <c r="B1750" t="s">
        <v>18</v>
      </c>
      <c r="C1750" t="s">
        <v>19</v>
      </c>
      <c r="D1750">
        <v>25</v>
      </c>
      <c r="E1750">
        <v>26</v>
      </c>
      <c r="F1750">
        <v>1</v>
      </c>
      <c r="G1750">
        <v>1</v>
      </c>
      <c r="H1750" s="1">
        <v>9.0277777777777774E-4</v>
      </c>
      <c r="I1750">
        <v>2020</v>
      </c>
      <c r="J1750" t="s">
        <v>83</v>
      </c>
      <c r="K1750" s="2" t="str">
        <f>HYPERLINK("https://www.nba.com/stats/events?CFID=&amp;CFPARAMS=&amp;GameEventID=129&amp;GameID=0022000224&amp;Season=2020-21&amp;flag=1&amp;title=Leonard%2010'%20turnaround%20Jump%20Shot%20(10%20PTS)", "10' turnaround Jump Shot (10 PTS)")</f>
        <v>10' turnaround Jump Shot (10 PTS)</v>
      </c>
      <c r="L1750" s="2" t="str">
        <f>HYPERLINK("https://www.nba.com/game/...-vs-...-0022000224/play-by-play?watchFullGame=true", "LAC vs SAC - Q1 01:18.00")</f>
        <v>LAC vs SAC - Q1 01:18.00</v>
      </c>
      <c r="M1750">
        <v>10.41</v>
      </c>
      <c r="N1750">
        <v>85.63</v>
      </c>
      <c r="O1750">
        <v>37.32</v>
      </c>
      <c r="P1750">
        <v>-63</v>
      </c>
      <c r="Q1750">
        <v>83</v>
      </c>
      <c r="R1750">
        <v>85</v>
      </c>
      <c r="S1750">
        <v>37</v>
      </c>
    </row>
    <row r="1751" spans="1:19" hidden="1" x14ac:dyDescent="0.25">
      <c r="A1751">
        <v>42300172</v>
      </c>
      <c r="B1751" t="s">
        <v>18</v>
      </c>
      <c r="C1751" t="s">
        <v>19</v>
      </c>
      <c r="D1751">
        <v>23</v>
      </c>
      <c r="E1751">
        <v>25</v>
      </c>
      <c r="F1751">
        <v>2</v>
      </c>
      <c r="G1751">
        <v>2</v>
      </c>
      <c r="H1751" s="1">
        <v>7.1527777777777779E-3</v>
      </c>
      <c r="I1751" t="s">
        <v>93</v>
      </c>
      <c r="J1751" t="s">
        <v>83</v>
      </c>
      <c r="K1751" s="2" t="str">
        <f>HYPERLINK("https://www.nba.com/stats/events?CFID=&amp;CFPARAMS=&amp;GameEventID=202&amp;GameID=0042300172&amp;Season=2023-24&amp;flag=1&amp;title=Leonard%2010'%20pullup%20Jump%20Shot%20(2%20PTS)", "10' pullup Jump Shot (2 PTS)")</f>
        <v>10' pullup Jump Shot (2 PTS)</v>
      </c>
      <c r="L1751" s="2" t="str">
        <f>HYPERLINK("https://www.nba.com/game/...-vs-...-0042300172/play-by-play?watchFullGame=true", "LAC vs DAL - Q2 10:18.00")</f>
        <v>LAC vs DAL - Q2 10:18.00</v>
      </c>
      <c r="M1751">
        <v>10.41</v>
      </c>
      <c r="N1751">
        <v>85.46</v>
      </c>
      <c r="O1751">
        <v>37.75</v>
      </c>
      <c r="P1751">
        <v>85</v>
      </c>
      <c r="Q1751">
        <v>37</v>
      </c>
      <c r="R1751">
        <v>85</v>
      </c>
      <c r="S1751">
        <v>37</v>
      </c>
    </row>
    <row r="1752" spans="1:19" hidden="1" x14ac:dyDescent="0.25">
      <c r="A1752">
        <v>41900151</v>
      </c>
      <c r="B1752" t="s">
        <v>18</v>
      </c>
      <c r="C1752" t="s">
        <v>84</v>
      </c>
      <c r="D1752">
        <v>29</v>
      </c>
      <c r="E1752">
        <v>27</v>
      </c>
      <c r="F1752">
        <v>2</v>
      </c>
      <c r="G1752">
        <v>1</v>
      </c>
      <c r="H1752" s="1">
        <v>1.8287037037037037E-3</v>
      </c>
      <c r="I1752" t="s">
        <v>86</v>
      </c>
      <c r="J1752" t="s">
        <v>83</v>
      </c>
      <c r="K1752" s="2" t="str">
        <f>HYPERLINK("https://www.nba.com/stats/events?CFID=&amp;CFPARAMS=&amp;GameEventID=141&amp;GameID=0041900151&amp;Season=2019-20&amp;flag=1&amp;title=Leonard%2010'%20jumpshot%20(9%20PTS)", "10' jumpshot (9 PTS)")</f>
        <v>10' jumpshot (9 PTS)</v>
      </c>
      <c r="L1752" s="2" t="str">
        <f>HYPERLINK("https://www.nba.com/game/...-vs-...-0041900151/play-by-play?watchFullGame=true", "LAC vs DAL - Q1 02:38.00")</f>
        <v>LAC vs DAL - Q1 02:38.00</v>
      </c>
      <c r="M1752">
        <v>9.94</v>
      </c>
      <c r="N1752">
        <v>85.1</v>
      </c>
      <c r="O1752">
        <v>42.96</v>
      </c>
      <c r="P1752">
        <v>-35</v>
      </c>
      <c r="Q1752">
        <v>88</v>
      </c>
      <c r="R1752">
        <v>85</v>
      </c>
      <c r="S1752">
        <v>42</v>
      </c>
    </row>
    <row r="1753" spans="1:19" hidden="1" x14ac:dyDescent="0.25">
      <c r="A1753">
        <v>22300600</v>
      </c>
      <c r="B1753" t="s">
        <v>18</v>
      </c>
      <c r="C1753" t="s">
        <v>19</v>
      </c>
      <c r="D1753">
        <v>115</v>
      </c>
      <c r="E1753">
        <v>114</v>
      </c>
      <c r="F1753">
        <v>1</v>
      </c>
      <c r="G1753">
        <v>4</v>
      </c>
      <c r="H1753" s="1">
        <v>1.9675925925925924E-3</v>
      </c>
      <c r="I1753">
        <v>2023</v>
      </c>
      <c r="J1753" t="s">
        <v>83</v>
      </c>
      <c r="K1753" s="2" t="str">
        <f>HYPERLINK("https://www.nba.com/stats/events?CFID=&amp;CFPARAMS=&amp;GameEventID=602&amp;GameID=0022300600&amp;Season=2023-24&amp;flag=1&amp;title=Leonard%209'%20fadeaway%20Jump%20Shot%20(13%20PTS)", "9' fadeaway Jump Shot (13 PTS)")</f>
        <v>9' fadeaway Jump Shot (13 PTS)</v>
      </c>
      <c r="L1753" s="2" t="str">
        <f>HYPERLINK("https://www.nba.com/game/...-vs-...-0022300600/play-by-play?watchFullGame=true", "LAC vs BKN - Q4 02:50.00")</f>
        <v>LAC vs BKN - Q4 02:50.00</v>
      </c>
      <c r="M1753">
        <v>9.5</v>
      </c>
      <c r="N1753">
        <v>85.46</v>
      </c>
      <c r="O1753">
        <v>41.18</v>
      </c>
      <c r="P1753">
        <v>-44</v>
      </c>
      <c r="Q1753">
        <v>84</v>
      </c>
      <c r="R1753">
        <v>85</v>
      </c>
      <c r="S1753">
        <v>41</v>
      </c>
    </row>
    <row r="1754" spans="1:19" hidden="1" x14ac:dyDescent="0.25">
      <c r="A1754">
        <v>21900251</v>
      </c>
      <c r="B1754" t="s">
        <v>18</v>
      </c>
      <c r="C1754" t="s">
        <v>84</v>
      </c>
      <c r="D1754">
        <v>102</v>
      </c>
      <c r="E1754">
        <v>86</v>
      </c>
      <c r="F1754">
        <v>16</v>
      </c>
      <c r="G1754">
        <v>4</v>
      </c>
      <c r="H1754" s="1">
        <v>4.9652777777777777E-3</v>
      </c>
      <c r="I1754">
        <v>2019</v>
      </c>
      <c r="J1754" t="s">
        <v>83</v>
      </c>
      <c r="K1754" s="2" t="str">
        <f>HYPERLINK("https://www.nba.com/stats/events?CFID=&amp;CFPARAMS=&amp;GameEventID=611&amp;GameID=0021900251&amp;Season=2019-20&amp;flag=1&amp;title=Leonard%209'%20jumpshot%20(24%20PTS)", "9' jumpshot (24 PTS)")</f>
        <v>9' jumpshot (24 PTS)</v>
      </c>
      <c r="L1754" s="2" t="str">
        <f>HYPERLINK("https://www.nba.com/game/...-vs-...-0021900251/play-by-play?watchFullGame=true", "LAC vs DAL - Q4 07:09.00")</f>
        <v>LAC vs DAL - Q4 07:09.00</v>
      </c>
      <c r="M1754">
        <v>9.42</v>
      </c>
      <c r="N1754">
        <v>85.1</v>
      </c>
      <c r="O1754">
        <v>53.01</v>
      </c>
      <c r="P1754">
        <v>15</v>
      </c>
      <c r="Q1754">
        <v>88</v>
      </c>
      <c r="R1754">
        <v>85</v>
      </c>
      <c r="S1754">
        <v>53</v>
      </c>
    </row>
    <row r="1755" spans="1:19" hidden="1" x14ac:dyDescent="0.25">
      <c r="A1755">
        <v>22300257</v>
      </c>
      <c r="B1755" t="s">
        <v>18</v>
      </c>
      <c r="C1755" t="s">
        <v>19</v>
      </c>
      <c r="D1755">
        <v>15</v>
      </c>
      <c r="E1755">
        <v>13</v>
      </c>
      <c r="F1755">
        <v>2</v>
      </c>
      <c r="G1755">
        <v>1</v>
      </c>
      <c r="H1755" s="1">
        <v>4.2708333333333331E-3</v>
      </c>
      <c r="I1755">
        <v>2023</v>
      </c>
      <c r="J1755" t="s">
        <v>83</v>
      </c>
      <c r="K1755" s="2" t="str">
        <f>HYPERLINK("https://www.nba.com/stats/events?CFID=&amp;CFPARAMS=&amp;GameEventID=79&amp;GameID=0022300257&amp;Season=2023-24&amp;flag=1&amp;title=Leonard%209'%20fadeaway%20Jump%20Shot%20(4%20PTS)", "9' fadeaway Jump Shot (4 PTS)")</f>
        <v>9' fadeaway Jump Shot (4 PTS)</v>
      </c>
      <c r="L1755" s="2" t="str">
        <f>HYPERLINK("https://www.nba.com/game/...-vs-...-0022300257/play-by-play?watchFullGame=true", "LAC vs DEN - Q1 06:09.00")</f>
        <v>LAC vs DEN - Q1 06:09.00</v>
      </c>
      <c r="M1755">
        <v>9.31</v>
      </c>
      <c r="N1755">
        <v>85.15</v>
      </c>
      <c r="O1755">
        <v>56.59</v>
      </c>
      <c r="P1755">
        <v>33</v>
      </c>
      <c r="Q1755">
        <v>87</v>
      </c>
      <c r="R1755">
        <v>85</v>
      </c>
      <c r="S1755">
        <v>56</v>
      </c>
    </row>
    <row r="1756" spans="1:19" hidden="1" x14ac:dyDescent="0.25">
      <c r="A1756">
        <v>42000172</v>
      </c>
      <c r="B1756" t="s">
        <v>18</v>
      </c>
      <c r="C1756" t="s">
        <v>19</v>
      </c>
      <c r="D1756">
        <v>20</v>
      </c>
      <c r="E1756">
        <v>26</v>
      </c>
      <c r="F1756">
        <v>6</v>
      </c>
      <c r="G1756">
        <v>1</v>
      </c>
      <c r="H1756" s="1">
        <v>3.0092592592592593E-3</v>
      </c>
      <c r="I1756" t="s">
        <v>91</v>
      </c>
      <c r="J1756" t="s">
        <v>83</v>
      </c>
      <c r="K1756" s="2" t="str">
        <f>HYPERLINK("https://www.nba.com/stats/events?CFID=&amp;CFPARAMS=&amp;GameEventID=79&amp;GameID=0042000172&amp;Season=2020-21&amp;flag=1&amp;title=Leonard%209'%20floating%20Jump%20Shot%20(10%20PTS)", "9' floating Jump Shot (10 PTS)")</f>
        <v>9' floating Jump Shot (10 PTS)</v>
      </c>
      <c r="L1756" s="2" t="str">
        <f>HYPERLINK("https://www.nba.com/game/...-vs-...-0042000172/play-by-play?watchFullGame=true", "LAC vs DAL - Q1 04:20.00")</f>
        <v>LAC vs DAL - Q1 04:20.00</v>
      </c>
      <c r="M1756">
        <v>9.17</v>
      </c>
      <c r="N1756">
        <v>85.1</v>
      </c>
      <c r="O1756">
        <v>55.46</v>
      </c>
      <c r="P1756">
        <v>85</v>
      </c>
      <c r="Q1756">
        <v>55</v>
      </c>
      <c r="R1756">
        <v>85</v>
      </c>
      <c r="S1756">
        <v>55</v>
      </c>
    </row>
    <row r="1757" spans="1:19" hidden="1" x14ac:dyDescent="0.25">
      <c r="A1757">
        <v>21900002</v>
      </c>
      <c r="B1757" t="s">
        <v>18</v>
      </c>
      <c r="C1757" t="s">
        <v>19</v>
      </c>
      <c r="D1757">
        <v>19</v>
      </c>
      <c r="E1757">
        <v>25</v>
      </c>
      <c r="F1757">
        <v>6</v>
      </c>
      <c r="G1757">
        <v>1</v>
      </c>
      <c r="H1757" s="1">
        <v>6.8981481481481487E-4</v>
      </c>
      <c r="I1757">
        <v>2019</v>
      </c>
      <c r="J1757" t="s">
        <v>83</v>
      </c>
      <c r="K1757" s="2" t="str">
        <f>HYPERLINK("https://www.nba.com/stats/events?CFID=&amp;CFPARAMS=&amp;GameEventID=168&amp;GameID=0021900002&amp;Season=2019-20&amp;flag=1&amp;title=Leonard%209'%20turnaround%20fadeaway%20Jump%20Shot%20(4%20PTS)", "9' turnaround fadeaway Jump Shot (4 PTS)")</f>
        <v>9' turnaround fadeaway Jump Shot (4 PTS)</v>
      </c>
      <c r="L1757" s="2" t="str">
        <f>HYPERLINK("https://www.nba.com/game/...-vs-...-0021900002/play-by-play?watchFullGame=true", "LAC vs LAL - Q1 00:59.60")</f>
        <v>LAC vs LAL - Q1 00:59.60</v>
      </c>
      <c r="M1757">
        <v>9.1</v>
      </c>
      <c r="N1757">
        <v>85.59</v>
      </c>
      <c r="O1757">
        <v>54.34</v>
      </c>
      <c r="P1757">
        <v>22</v>
      </c>
      <c r="Q1757">
        <v>83</v>
      </c>
      <c r="R1757">
        <v>85</v>
      </c>
      <c r="S1757">
        <v>54</v>
      </c>
    </row>
    <row r="1758" spans="1:19" hidden="1" x14ac:dyDescent="0.25">
      <c r="A1758">
        <v>22300350</v>
      </c>
      <c r="B1758" t="s">
        <v>18</v>
      </c>
      <c r="C1758" t="s">
        <v>19</v>
      </c>
      <c r="D1758">
        <v>48</v>
      </c>
      <c r="E1758">
        <v>51</v>
      </c>
      <c r="F1758">
        <v>3</v>
      </c>
      <c r="G1758">
        <v>2</v>
      </c>
      <c r="H1758" s="1">
        <v>5.0000000000000001E-3</v>
      </c>
      <c r="I1758">
        <v>2023</v>
      </c>
      <c r="J1758" t="s">
        <v>83</v>
      </c>
      <c r="K1758" s="2" t="str">
        <f>HYPERLINK("https://www.nba.com/stats/events?CFID=&amp;CFPARAMS=&amp;GameEventID=239&amp;GameID=0022300350&amp;Season=2023-24&amp;flag=1&amp;title=Leonard%208'%20turnaround%20fadeaway%20Jump%20Shot%20(12%20PTS)", "8' turnaround fadeaway Jump Shot (12 PTS)")</f>
        <v>8' turnaround fadeaway Jump Shot (12 PTS)</v>
      </c>
      <c r="L1758" s="2" t="str">
        <f>HYPERLINK("https://www.nba.com/game/...-vs-...-0022300350/play-by-play?watchFullGame=true", "LAC vs IND - Q2 07:12.00")</f>
        <v>LAC vs IND - Q2 07:12.00</v>
      </c>
      <c r="M1758">
        <v>8.93</v>
      </c>
      <c r="N1758">
        <v>85.76</v>
      </c>
      <c r="O1758">
        <v>42.65</v>
      </c>
      <c r="P1758">
        <v>-37</v>
      </c>
      <c r="Q1758">
        <v>81</v>
      </c>
      <c r="R1758">
        <v>85</v>
      </c>
      <c r="S1758">
        <v>42</v>
      </c>
    </row>
    <row r="1759" spans="1:19" hidden="1" x14ac:dyDescent="0.25">
      <c r="A1759">
        <v>22000002</v>
      </c>
      <c r="B1759" t="s">
        <v>18</v>
      </c>
      <c r="C1759" t="s">
        <v>89</v>
      </c>
      <c r="D1759">
        <v>77</v>
      </c>
      <c r="E1759">
        <v>75</v>
      </c>
      <c r="F1759">
        <v>2</v>
      </c>
      <c r="G1759">
        <v>3</v>
      </c>
      <c r="H1759" s="1">
        <v>3.3449074074074076E-3</v>
      </c>
      <c r="I1759">
        <v>2020</v>
      </c>
      <c r="J1759" t="s">
        <v>83</v>
      </c>
      <c r="K1759" s="2" t="str">
        <f>HYPERLINK("https://www.nba.com/stats/events?CFID=&amp;CFPARAMS=&amp;GameEventID=475&amp;GameID=0022000002&amp;Season=2020-21&amp;flag=1&amp;title=Leonard%208'%20Hook%20(22%20PTS)", "8' Hook (22 PTS)")</f>
        <v>8' Hook (22 PTS)</v>
      </c>
      <c r="L1759" s="2" t="str">
        <f>HYPERLINK("https://www.nba.com/game/...-vs-...-0022000002/play-by-play?watchFullGame=true", "LAC vs LAL - Q3 04:49.00")</f>
        <v>LAC vs LAL - Q3 04:49.00</v>
      </c>
      <c r="M1759">
        <v>8.8699999999999992</v>
      </c>
      <c r="N1759">
        <v>85.63</v>
      </c>
      <c r="O1759">
        <v>56.44</v>
      </c>
      <c r="P1759">
        <v>32</v>
      </c>
      <c r="Q1759">
        <v>83</v>
      </c>
      <c r="R1759">
        <v>85</v>
      </c>
      <c r="S1759">
        <v>56</v>
      </c>
    </row>
    <row r="1760" spans="1:19" hidden="1" x14ac:dyDescent="0.25">
      <c r="A1760">
        <v>41900232</v>
      </c>
      <c r="B1760" t="s">
        <v>18</v>
      </c>
      <c r="C1760" t="s">
        <v>84</v>
      </c>
      <c r="D1760">
        <v>15</v>
      </c>
      <c r="E1760">
        <v>25</v>
      </c>
      <c r="F1760">
        <v>10</v>
      </c>
      <c r="G1760">
        <v>1</v>
      </c>
      <c r="H1760" s="1">
        <v>2.9976851851851853E-3</v>
      </c>
      <c r="I1760" t="s">
        <v>85</v>
      </c>
      <c r="J1760" t="s">
        <v>83</v>
      </c>
      <c r="K1760" s="2" t="str">
        <f>HYPERLINK("https://www.nba.com/stats/events?CFID=&amp;CFPARAMS=&amp;GameEventID=97&amp;GameID=0041900232&amp;Season=2019-20&amp;flag=1&amp;title=Leonard%209'%20jumpshot%20(4%20PTS)", "9' jumpshot (4 PTS)")</f>
        <v>9' jumpshot (4 PTS)</v>
      </c>
      <c r="L1760" s="2" t="str">
        <f>HYPERLINK("https://www.nba.com/game/...-vs-...-0041900232/play-by-play?watchFullGame=true", "LAC vs DEN - Q1 04:19.00")</f>
        <v>LAC vs DEN - Q1 04:19.00</v>
      </c>
      <c r="M1760">
        <v>8.85</v>
      </c>
      <c r="N1760">
        <v>85.63</v>
      </c>
      <c r="O1760">
        <v>51.78</v>
      </c>
      <c r="P1760">
        <v>9</v>
      </c>
      <c r="Q1760">
        <v>83</v>
      </c>
      <c r="R1760">
        <v>85</v>
      </c>
      <c r="S1760">
        <v>51</v>
      </c>
    </row>
    <row r="1761" spans="1:19" hidden="1" x14ac:dyDescent="0.25">
      <c r="A1761">
        <v>22400659</v>
      </c>
      <c r="B1761" t="s">
        <v>18</v>
      </c>
      <c r="C1761" t="s">
        <v>87</v>
      </c>
      <c r="D1761">
        <v>38</v>
      </c>
      <c r="E1761">
        <v>47</v>
      </c>
      <c r="F1761">
        <v>9</v>
      </c>
      <c r="G1761">
        <v>2</v>
      </c>
      <c r="H1761" s="1">
        <v>3.8310185185185183E-3</v>
      </c>
      <c r="I1761">
        <v>2024</v>
      </c>
      <c r="J1761" t="s">
        <v>83</v>
      </c>
      <c r="K1761" s="2" t="str">
        <f>HYPERLINK("https://www.nba.com/stats/events?CFID=&amp;CFPARAMS=&amp;GameEventID=211&amp;GameID=0022400659&amp;Season=2024-25&amp;flag=1&amp;title=Leonard%208'%20driving%20finger%20roll%20Layup%20(4%20PTS)", "8' driving finger roll Layup (4 PTS)")</f>
        <v>8' driving finger roll Layup (4 PTS)</v>
      </c>
      <c r="L1761" s="2" t="str">
        <f>HYPERLINK("https://www.nba.com/game/...-vs-...-0022400659/play-by-play?watchFullGame=true", "LAC vs PHX - Q2 05:31.00")</f>
        <v>LAC vs PHX - Q2 05:31.00</v>
      </c>
      <c r="M1761">
        <v>8.58</v>
      </c>
      <c r="N1761">
        <v>85.5</v>
      </c>
      <c r="O1761">
        <v>46.32</v>
      </c>
      <c r="P1761">
        <v>-18</v>
      </c>
      <c r="Q1761">
        <v>84</v>
      </c>
      <c r="R1761">
        <v>85</v>
      </c>
      <c r="S1761">
        <v>46</v>
      </c>
    </row>
    <row r="1762" spans="1:19" hidden="1" x14ac:dyDescent="0.25">
      <c r="A1762">
        <v>22000717</v>
      </c>
      <c r="B1762" t="s">
        <v>18</v>
      </c>
      <c r="C1762" t="s">
        <v>19</v>
      </c>
      <c r="D1762">
        <v>119</v>
      </c>
      <c r="E1762">
        <v>100</v>
      </c>
      <c r="F1762">
        <v>19</v>
      </c>
      <c r="G1762">
        <v>4</v>
      </c>
      <c r="H1762" s="1">
        <v>3.2754629629629631E-3</v>
      </c>
      <c r="I1762">
        <v>2020</v>
      </c>
      <c r="J1762" t="s">
        <v>83</v>
      </c>
      <c r="K1762" s="2" t="str">
        <f>HYPERLINK("https://www.nba.com/stats/events?CFID=&amp;CFPARAMS=&amp;GameEventID=548&amp;GameID=0022000717&amp;Season=2020-21&amp;flag=1&amp;title=Leonard%208'%20fadeaway%20Jump%20Shot%20(22%20PTS)", "8' fadeaway Jump Shot (22 PTS)")</f>
        <v>8' fadeaway Jump Shot (22 PTS)</v>
      </c>
      <c r="L1762" s="2" t="str">
        <f>HYPERLINK("https://www.nba.com/game/...-vs-...-0022000717/play-by-play?watchFullGame=true", "LAC vs MIL - Q4 04:43.00")</f>
        <v>LAC vs MIL - Q4 04:43.00</v>
      </c>
      <c r="M1762">
        <v>8.52</v>
      </c>
      <c r="N1762">
        <v>85.36</v>
      </c>
      <c r="O1762">
        <v>49.33</v>
      </c>
      <c r="P1762">
        <v>-3</v>
      </c>
      <c r="Q1762">
        <v>85</v>
      </c>
      <c r="R1762">
        <v>85</v>
      </c>
      <c r="S1762">
        <v>49</v>
      </c>
    </row>
    <row r="1763" spans="1:19" hidden="1" x14ac:dyDescent="0.25">
      <c r="A1763">
        <v>22000736</v>
      </c>
      <c r="B1763" t="s">
        <v>18</v>
      </c>
      <c r="C1763" t="s">
        <v>19</v>
      </c>
      <c r="D1763">
        <v>4</v>
      </c>
      <c r="E1763">
        <v>5</v>
      </c>
      <c r="F1763">
        <v>1</v>
      </c>
      <c r="G1763">
        <v>1</v>
      </c>
      <c r="H1763" s="1">
        <v>6.828703703703704E-3</v>
      </c>
      <c r="I1763">
        <v>2020</v>
      </c>
      <c r="J1763" t="s">
        <v>83</v>
      </c>
      <c r="K1763" s="2" t="str">
        <f>HYPERLINK("https://www.nba.com/stats/events?CFID=&amp;CFPARAMS=&amp;GameEventID=25&amp;GameID=0022000736&amp;Season=2020-21&amp;flag=1&amp;title=Leonard%208'%20turnaround%20fadeaway%20Jump%20Shot%20(2%20PTS)", "8' turnaround fadeaway Jump Shot (2 PTS)")</f>
        <v>8' turnaround fadeaway Jump Shot (2 PTS)</v>
      </c>
      <c r="L1763" s="2" t="str">
        <f>HYPERLINK("https://www.nba.com/game/...-vs-...-0022000736/play-by-play?watchFullGame=true", "LAC vs DEN - Q1 09:50.00")</f>
        <v>LAC vs DEN - Q1 09:50.00</v>
      </c>
      <c r="M1763">
        <v>8.51</v>
      </c>
      <c r="N1763">
        <v>85.36</v>
      </c>
      <c r="O1763">
        <v>50.31</v>
      </c>
      <c r="P1763">
        <v>2</v>
      </c>
      <c r="Q1763">
        <v>85</v>
      </c>
      <c r="R1763">
        <v>85</v>
      </c>
      <c r="S1763">
        <v>50</v>
      </c>
    </row>
    <row r="1764" spans="1:19" hidden="1" x14ac:dyDescent="0.25">
      <c r="A1764">
        <v>22000501</v>
      </c>
      <c r="B1764" t="s">
        <v>18</v>
      </c>
      <c r="C1764" t="s">
        <v>19</v>
      </c>
      <c r="D1764">
        <v>17</v>
      </c>
      <c r="E1764">
        <v>13</v>
      </c>
      <c r="F1764">
        <v>4</v>
      </c>
      <c r="G1764">
        <v>1</v>
      </c>
      <c r="H1764" s="1">
        <v>2.8009259259259259E-3</v>
      </c>
      <c r="I1764">
        <v>2020</v>
      </c>
      <c r="J1764" t="s">
        <v>83</v>
      </c>
      <c r="K1764" s="2" t="str">
        <f>HYPERLINK("https://www.nba.com/stats/events?CFID=&amp;CFPARAMS=&amp;GameEventID=95&amp;GameID=0022000501&amp;Season=2020-21&amp;flag=1&amp;title=Leonard%208'%20fadeaway%20Jump%20Shot%20(6%20PTS)", "8' fadeaway Jump Shot (6 PTS)")</f>
        <v>8' fadeaway Jump Shot (6 PTS)</v>
      </c>
      <c r="L1764" s="2" t="str">
        <f>HYPERLINK("https://www.nba.com/game/...-vs-...-0022000501/play-by-play?watchFullGame=true", "LAC vs MEM - Q1 04:02.00")</f>
        <v>LAC vs MEM - Q1 04:02.00</v>
      </c>
      <c r="M1764">
        <v>8.41</v>
      </c>
      <c r="N1764">
        <v>85.5</v>
      </c>
      <c r="O1764">
        <v>51.29</v>
      </c>
      <c r="P1764">
        <v>6</v>
      </c>
      <c r="Q1764">
        <v>84</v>
      </c>
      <c r="R1764">
        <v>85</v>
      </c>
      <c r="S1764">
        <v>51</v>
      </c>
    </row>
    <row r="1765" spans="1:19" hidden="1" x14ac:dyDescent="0.25">
      <c r="A1765">
        <v>22000775</v>
      </c>
      <c r="B1765" t="s">
        <v>18</v>
      </c>
      <c r="C1765" t="s">
        <v>19</v>
      </c>
      <c r="D1765">
        <v>72</v>
      </c>
      <c r="E1765">
        <v>54</v>
      </c>
      <c r="F1765">
        <v>18</v>
      </c>
      <c r="G1765">
        <v>2</v>
      </c>
      <c r="H1765" s="1">
        <v>3.1134259259259257E-3</v>
      </c>
      <c r="I1765">
        <v>2020</v>
      </c>
      <c r="J1765" t="s">
        <v>83</v>
      </c>
      <c r="K1765" s="2" t="str">
        <f>HYPERLINK("https://www.nba.com/stats/events?CFID=&amp;CFPARAMS=&amp;GameEventID=277&amp;GameID=0022000775&amp;Season=2020-21&amp;flag=1&amp;title=Leonard%208'%20driving%20floating%20Jump%20Shot%20(13%20PTS)", "8' driving floating Jump Shot (13 PTS)")</f>
        <v>8' driving floating Jump Shot (13 PTS)</v>
      </c>
      <c r="L1765" s="2" t="str">
        <f>HYPERLINK("https://www.nba.com/game/...-vs-...-0022000775/play-by-play?watchFullGame=true", "LAC vs POR - Q2 04:29.00")</f>
        <v>LAC vs POR - Q2 04:29.00</v>
      </c>
      <c r="M1765">
        <v>8.3800000000000008</v>
      </c>
      <c r="N1765">
        <v>85.5</v>
      </c>
      <c r="O1765">
        <v>50.56</v>
      </c>
      <c r="P1765">
        <v>3</v>
      </c>
      <c r="Q1765">
        <v>84</v>
      </c>
      <c r="R1765">
        <v>85</v>
      </c>
      <c r="S1765">
        <v>50</v>
      </c>
    </row>
    <row r="1766" spans="1:19" hidden="1" x14ac:dyDescent="0.25">
      <c r="A1766">
        <v>22301215</v>
      </c>
      <c r="B1766" t="s">
        <v>18</v>
      </c>
      <c r="C1766" t="s">
        <v>19</v>
      </c>
      <c r="D1766">
        <v>12</v>
      </c>
      <c r="E1766">
        <v>23</v>
      </c>
      <c r="F1766">
        <v>11</v>
      </c>
      <c r="G1766">
        <v>1</v>
      </c>
      <c r="H1766" s="1">
        <v>3.9699074074074072E-3</v>
      </c>
      <c r="I1766">
        <v>2023</v>
      </c>
      <c r="J1766" t="s">
        <v>83</v>
      </c>
      <c r="K1766" s="2" t="str">
        <f>HYPERLINK("https://www.nba.com/stats/events?CFID=&amp;CFPARAMS=&amp;GameEventID=60&amp;GameID=0022301215&amp;Season=2023-24&amp;flag=1&amp;title=Leonard%208'%20driving%20floating%20Jump%20Shot%20(4%20PTS)%20(R.%20Westbrook%201%20AST)", "8' driving floating Jump Shot (4 PTS) (R. Westbrook 1 AST)")</f>
        <v>8' driving floating Jump Shot (4 PTS) (R. Westbrook 1 AST)</v>
      </c>
      <c r="L1766" s="2" t="str">
        <f>HYPERLINK("https://www.nba.com/game/...-vs-...-0022301215/play-by-play?watchFullGame=true", "LAC vs DEN - Q1 05:43.00")</f>
        <v>LAC vs DEN - Q1 05:43.00</v>
      </c>
      <c r="M1766">
        <v>8.3800000000000008</v>
      </c>
      <c r="N1766">
        <v>85.59</v>
      </c>
      <c r="O1766">
        <v>52.45</v>
      </c>
      <c r="P1766">
        <v>12</v>
      </c>
      <c r="Q1766">
        <v>83</v>
      </c>
      <c r="R1766">
        <v>85</v>
      </c>
      <c r="S1766">
        <v>52</v>
      </c>
    </row>
    <row r="1767" spans="1:19" hidden="1" x14ac:dyDescent="0.25">
      <c r="A1767">
        <v>22201004</v>
      </c>
      <c r="B1767" t="s">
        <v>18</v>
      </c>
      <c r="C1767" t="s">
        <v>89</v>
      </c>
      <c r="D1767">
        <v>5</v>
      </c>
      <c r="E1767">
        <v>2</v>
      </c>
      <c r="F1767">
        <v>3</v>
      </c>
      <c r="G1767">
        <v>1</v>
      </c>
      <c r="H1767" s="1">
        <v>6.3888888888888893E-3</v>
      </c>
      <c r="I1767">
        <v>2022</v>
      </c>
      <c r="J1767" t="s">
        <v>83</v>
      </c>
      <c r="K1767" s="2" t="str">
        <f>HYPERLINK("https://www.nba.com/stats/events?CFID=&amp;CFPARAMS=&amp;GameEventID=31&amp;GameID=0022201004&amp;Season=2022-23&amp;flag=1&amp;title=Leonard%208'%20driving%20Hook%20(2%20PTS)", "8' driving Hook (2 PTS)")</f>
        <v>8' driving Hook (2 PTS)</v>
      </c>
      <c r="L1767" s="2" t="str">
        <f>HYPERLINK("https://www.nba.com/game/...-vs-...-0022201004/play-by-play?watchFullGame=true", "LAC vs NYK - Q1 09:12.00")</f>
        <v>LAC vs NYK - Q1 09:12.00</v>
      </c>
      <c r="M1767">
        <v>8.35</v>
      </c>
      <c r="N1767">
        <v>85.59</v>
      </c>
      <c r="O1767">
        <v>51.96</v>
      </c>
      <c r="P1767">
        <v>10</v>
      </c>
      <c r="Q1767">
        <v>83</v>
      </c>
      <c r="R1767">
        <v>85</v>
      </c>
      <c r="S1767">
        <v>51</v>
      </c>
    </row>
    <row r="1768" spans="1:19" hidden="1" x14ac:dyDescent="0.25">
      <c r="A1768">
        <v>22400646</v>
      </c>
      <c r="B1768" t="s">
        <v>18</v>
      </c>
      <c r="C1768" t="s">
        <v>19</v>
      </c>
      <c r="D1768">
        <v>10</v>
      </c>
      <c r="E1768">
        <v>12</v>
      </c>
      <c r="F1768">
        <v>2</v>
      </c>
      <c r="G1768">
        <v>1</v>
      </c>
      <c r="H1768" s="1">
        <v>4.1550925925925922E-3</v>
      </c>
      <c r="I1768">
        <v>2024</v>
      </c>
      <c r="J1768" t="s">
        <v>83</v>
      </c>
      <c r="K1768" s="2" t="str">
        <f>HYPERLINK("https://www.nba.com/stats/events?CFID=&amp;CFPARAMS=&amp;GameEventID=69&amp;GameID=0022400646&amp;Season=2024-25&amp;flag=1&amp;title=Leonard%208'%20driving%20floating%20Jump%20Shot%20(2%20PTS)%20(J.%20Harden%203%20AST)", "8' driving floating Jump Shot (2 PTS) (J. Harden 3 AST)")</f>
        <v>8' driving floating Jump Shot (2 PTS) (J. Harden 3 AST)</v>
      </c>
      <c r="L1768" s="2" t="str">
        <f>HYPERLINK("https://www.nba.com/game/...-vs-...-0022400646/play-by-play?watchFullGame=true", "LAC vs MIL - Q1 05:59.00")</f>
        <v>LAC vs MIL - Q1 05:59.00</v>
      </c>
      <c r="M1768">
        <v>8.06</v>
      </c>
      <c r="N1768">
        <v>85.89</v>
      </c>
      <c r="O1768">
        <v>51.72</v>
      </c>
      <c r="P1768">
        <v>9</v>
      </c>
      <c r="Q1768">
        <v>80</v>
      </c>
      <c r="R1768">
        <v>85</v>
      </c>
      <c r="S1768">
        <v>51</v>
      </c>
    </row>
    <row r="1769" spans="1:19" hidden="1" x14ac:dyDescent="0.25">
      <c r="A1769">
        <v>22201162</v>
      </c>
      <c r="B1769" t="s">
        <v>18</v>
      </c>
      <c r="C1769" t="s">
        <v>19</v>
      </c>
      <c r="D1769">
        <v>9</v>
      </c>
      <c r="E1769">
        <v>9</v>
      </c>
      <c r="F1769">
        <v>0</v>
      </c>
      <c r="G1769">
        <v>1</v>
      </c>
      <c r="H1769" s="1">
        <v>5.1967592592592595E-3</v>
      </c>
      <c r="I1769">
        <v>2022</v>
      </c>
      <c r="J1769" t="s">
        <v>83</v>
      </c>
      <c r="K1769" s="2" t="str">
        <f>HYPERLINK("https://www.nba.com/stats/events?CFID=&amp;CFPARAMS=&amp;GameEventID=55&amp;GameID=0022201162&amp;Season=2022-23&amp;flag=1&amp;title=Leonard%208'%20driving%20floating%20Jump%20Shot%20(2%20PTS)%20(N.%20Batum%201%20AST)", "8' driving floating Jump Shot (2 PTS) (N. Batum 1 AST)")</f>
        <v>8' driving floating Jump Shot (2 PTS) (N. Batum 1 AST)</v>
      </c>
      <c r="L1769" s="2" t="str">
        <f>HYPERLINK("https://www.nba.com/game/...-vs-...-0022201162/play-by-play?watchFullGame=true", "LAC vs NOP - Q1 07:29.00")</f>
        <v>LAC vs NOP - Q1 07:29.00</v>
      </c>
      <c r="M1769">
        <v>8.01</v>
      </c>
      <c r="N1769">
        <v>85.89</v>
      </c>
      <c r="O1769">
        <v>50.49</v>
      </c>
      <c r="P1769">
        <v>2</v>
      </c>
      <c r="Q1769">
        <v>80</v>
      </c>
      <c r="R1769">
        <v>85</v>
      </c>
      <c r="S1769">
        <v>50</v>
      </c>
    </row>
    <row r="1770" spans="1:19" hidden="1" x14ac:dyDescent="0.25">
      <c r="A1770">
        <v>22300273</v>
      </c>
      <c r="B1770" t="s">
        <v>18</v>
      </c>
      <c r="C1770" t="s">
        <v>88</v>
      </c>
      <c r="D1770">
        <v>22</v>
      </c>
      <c r="E1770">
        <v>20</v>
      </c>
      <c r="F1770">
        <v>2</v>
      </c>
      <c r="G1770">
        <v>1</v>
      </c>
      <c r="H1770" s="1">
        <v>2.3495370370370371E-3</v>
      </c>
      <c r="I1770">
        <v>2023</v>
      </c>
      <c r="J1770" t="s">
        <v>83</v>
      </c>
      <c r="K1770" s="2" t="str">
        <f>HYPERLINK("https://www.nba.com/stats/events?CFID=&amp;CFPARAMS=&amp;GameEventID=101&amp;GameID=0022300273&amp;Season=2023-24&amp;flag=1&amp;title=Leonard%208'%20running%20alley-oop%20DUNK%20(6%20PTS)%20(J.%20Harden%203%20AST)", "8' running alley-oop DUNK (6 PTS) (J. Harden 3 AST)")</f>
        <v>8' running alley-oop DUNK (6 PTS) (J. Harden 3 AST)</v>
      </c>
      <c r="L1770" s="2" t="str">
        <f>HYPERLINK("https://www.nba.com/game/...-vs-...-0022300273/play-by-play?watchFullGame=true", "LAC vs GSW - Q1 03:23.00")</f>
        <v>LAC vs GSW - Q1 03:23.00</v>
      </c>
      <c r="M1770">
        <v>8.18</v>
      </c>
      <c r="N1770">
        <v>86.15</v>
      </c>
      <c r="O1770">
        <v>44.85</v>
      </c>
      <c r="P1770">
        <v>-26</v>
      </c>
      <c r="Q1770">
        <v>78</v>
      </c>
      <c r="R1770">
        <v>86</v>
      </c>
      <c r="S1770">
        <v>44</v>
      </c>
    </row>
    <row r="1771" spans="1:19" hidden="1" x14ac:dyDescent="0.25">
      <c r="A1771">
        <v>22301079</v>
      </c>
      <c r="B1771" t="s">
        <v>26</v>
      </c>
      <c r="C1771" t="s">
        <v>19</v>
      </c>
      <c r="D1771">
        <v>62</v>
      </c>
      <c r="E1771">
        <v>45</v>
      </c>
      <c r="F1771">
        <v>17</v>
      </c>
      <c r="G1771">
        <v>2</v>
      </c>
      <c r="H1771" s="1">
        <v>1.8171296296296297E-3</v>
      </c>
      <c r="I1771">
        <v>2023</v>
      </c>
      <c r="J1771" t="s">
        <v>83</v>
      </c>
      <c r="K1771" s="2" t="str">
        <f>HYPERLINK("https://www.nba.com/stats/events?CFID=&amp;CFPARAMS=&amp;GameEventID=255&amp;GameID=0022301079&amp;Season=2023-24&amp;flag=1&amp;title=Leonard%2024'%203PT%20%20(13%20PTS)%20(T.%20Mann%202%20AST)", "24' 3PT  (13 PTS) (T. Mann 2 AST)")</f>
        <v>24' 3PT  (13 PTS) (T. Mann 2 AST)</v>
      </c>
      <c r="L1771" s="2" t="str">
        <f>HYPERLINK("https://www.nba.com/game/...-vs-...-0022301079/play-by-play?watchFullGame=true", "LAC vs CHA - Q2 02:37.00")</f>
        <v>LAC vs CHA - Q2 02:37.00</v>
      </c>
      <c r="M1771">
        <v>24.85</v>
      </c>
      <c r="N1771">
        <v>86.28</v>
      </c>
      <c r="O1771">
        <v>97.3</v>
      </c>
      <c r="P1771">
        <v>237</v>
      </c>
      <c r="Q1771">
        <v>76</v>
      </c>
      <c r="R1771">
        <v>86</v>
      </c>
      <c r="S1771">
        <v>97</v>
      </c>
    </row>
    <row r="1772" spans="1:19" hidden="1" x14ac:dyDescent="0.25">
      <c r="A1772">
        <v>22201196</v>
      </c>
      <c r="B1772" t="s">
        <v>26</v>
      </c>
      <c r="C1772" t="s">
        <v>19</v>
      </c>
      <c r="D1772">
        <v>71</v>
      </c>
      <c r="E1772">
        <v>52</v>
      </c>
      <c r="F1772">
        <v>19</v>
      </c>
      <c r="G1772">
        <v>2</v>
      </c>
      <c r="H1772" s="1">
        <v>4.5138888888888887E-5</v>
      </c>
      <c r="I1772">
        <v>2022</v>
      </c>
      <c r="J1772" t="s">
        <v>83</v>
      </c>
      <c r="K1772" s="2" t="str">
        <f>HYPERLINK("https://www.nba.com/stats/events?CFID=&amp;CFPARAMS=&amp;GameEventID=298&amp;GameID=0022201196&amp;Season=2022-23&amp;flag=1&amp;title=Leonard%2024'%203PT%20step%20back%20(17%20PTS)", "24' 3PT step back (17 PTS)")</f>
        <v>24' 3PT step back (17 PTS)</v>
      </c>
      <c r="L1772" s="2" t="str">
        <f>HYPERLINK("https://www.nba.com/game/...-vs-...-0022201196/play-by-play?watchFullGame=true", "LAC vs LAL - Q2 00:03.90")</f>
        <v>LAC vs LAL - Q2 00:03.90</v>
      </c>
      <c r="M1772">
        <v>24.17</v>
      </c>
      <c r="N1772">
        <v>86.25</v>
      </c>
      <c r="O1772">
        <v>95.83</v>
      </c>
      <c r="P1772">
        <v>229</v>
      </c>
      <c r="Q1772">
        <v>77</v>
      </c>
      <c r="R1772">
        <v>86</v>
      </c>
      <c r="S1772">
        <v>95</v>
      </c>
    </row>
    <row r="1773" spans="1:19" hidden="1" x14ac:dyDescent="0.25">
      <c r="A1773">
        <v>22200579</v>
      </c>
      <c r="B1773" t="s">
        <v>18</v>
      </c>
      <c r="C1773" t="s">
        <v>19</v>
      </c>
      <c r="D1773">
        <v>25</v>
      </c>
      <c r="E1773">
        <v>61</v>
      </c>
      <c r="F1773">
        <v>36</v>
      </c>
      <c r="G1773">
        <v>2</v>
      </c>
      <c r="H1773" s="1">
        <v>2.4421296296296296E-3</v>
      </c>
      <c r="I1773">
        <v>2022</v>
      </c>
      <c r="J1773" t="s">
        <v>83</v>
      </c>
      <c r="K1773" s="2" t="str">
        <f>HYPERLINK("https://www.nba.com/stats/events?CFID=&amp;CFPARAMS=&amp;GameEventID=251&amp;GameID=0022200579&amp;Season=2022-23&amp;flag=1&amp;title=Leonard%2016'%20turnaround%20fadeaway%20Jump%20Shot%20(4%20PTS)%20(P.%20George%201%20AST)", "16' turnaround fadeaway Jump Shot (4 PTS) (P. George 1 AST)")</f>
        <v>16' turnaround fadeaway Jump Shot (4 PTS) (P. George 1 AST)</v>
      </c>
      <c r="L1773" s="2" t="str">
        <f>HYPERLINK("https://www.nba.com/game/...-vs-...-0022200579/play-by-play?watchFullGame=true", "LAC vs DEN - Q2 03:31.00")</f>
        <v>LAC vs DEN - Q2 03:31.00</v>
      </c>
      <c r="M1773">
        <v>16.09</v>
      </c>
      <c r="N1773">
        <v>86.42</v>
      </c>
      <c r="O1773">
        <v>21.57</v>
      </c>
      <c r="P1773">
        <v>-142</v>
      </c>
      <c r="Q1773">
        <v>75</v>
      </c>
      <c r="R1773">
        <v>86</v>
      </c>
      <c r="S1773">
        <v>21</v>
      </c>
    </row>
    <row r="1774" spans="1:19" hidden="1" x14ac:dyDescent="0.25">
      <c r="A1774">
        <v>21900251</v>
      </c>
      <c r="B1774" t="s">
        <v>18</v>
      </c>
      <c r="C1774" t="s">
        <v>84</v>
      </c>
      <c r="D1774">
        <v>106</v>
      </c>
      <c r="E1774">
        <v>86</v>
      </c>
      <c r="F1774">
        <v>20</v>
      </c>
      <c r="G1774">
        <v>4</v>
      </c>
      <c r="H1774" s="1">
        <v>3.5185185185185185E-3</v>
      </c>
      <c r="I1774">
        <v>2019</v>
      </c>
      <c r="J1774" t="s">
        <v>83</v>
      </c>
      <c r="K1774" s="2" t="str">
        <f>HYPERLINK("https://www.nba.com/stats/events?CFID=&amp;CFPARAMS=&amp;GameEventID=645&amp;GameID=0021900251&amp;Season=2019-20&amp;flag=1&amp;title=Leonard%2016'%20jumpshot%20(26%20PTS)%20(P.%20George%202%20AST)", "16' jumpshot (26 PTS) (P. George 2 AST)")</f>
        <v>16' jumpshot (26 PTS) (P. George 2 AST)</v>
      </c>
      <c r="L1774" s="2" t="str">
        <f>HYPERLINK("https://www.nba.com/game/...-vs-...-0021900251/play-by-play?watchFullGame=true", "LAC vs DAL - Q4 05:04.00")</f>
        <v>LAC vs DAL - Q4 05:04.00</v>
      </c>
      <c r="M1774">
        <v>16.420000000000002</v>
      </c>
      <c r="N1774">
        <v>86.81</v>
      </c>
      <c r="O1774">
        <v>78.989999999999995</v>
      </c>
      <c r="P1774">
        <v>145</v>
      </c>
      <c r="Q1774">
        <v>71</v>
      </c>
      <c r="R1774">
        <v>86</v>
      </c>
      <c r="S1774">
        <v>78</v>
      </c>
    </row>
    <row r="1775" spans="1:19" hidden="1" x14ac:dyDescent="0.25">
      <c r="A1775">
        <v>21900090</v>
      </c>
      <c r="B1775" t="s">
        <v>18</v>
      </c>
      <c r="C1775" t="s">
        <v>84</v>
      </c>
      <c r="D1775">
        <v>84</v>
      </c>
      <c r="E1775">
        <v>78</v>
      </c>
      <c r="F1775">
        <v>6</v>
      </c>
      <c r="G1775">
        <v>4</v>
      </c>
      <c r="H1775" s="1">
        <v>4.6064814814814814E-3</v>
      </c>
      <c r="I1775">
        <v>2019</v>
      </c>
      <c r="J1775" t="s">
        <v>83</v>
      </c>
      <c r="K1775" s="2" t="str">
        <f>HYPERLINK("https://www.nba.com/stats/events?CFID=&amp;CFPARAMS=&amp;GameEventID=584&amp;GameID=0021900090&amp;Season=2019-20&amp;flag=1&amp;title=[LAC]%20Leonard%20jumpshot:%20Made%20(22%20PTS)%20assist:%20Beverley%20(3%20AST)", "[LAC] Leonard jumpshot: Made (22 PTS) assist: Beverley (3 AST)")</f>
        <v>[LAC] Leonard jumpshot: Made (22 PTS) assist: Beverley (3 AST)</v>
      </c>
      <c r="L1775" s="2" t="str">
        <f>HYPERLINK("https://www.nba.com/game/...-vs-...-0021900090/play-by-play?watchFullGame=true", "LAC vs UTA - Q4 06:38.00")</f>
        <v>LAC vs UTA - Q4 06:38.00</v>
      </c>
      <c r="M1775">
        <v>18.059999999999999</v>
      </c>
      <c r="N1775">
        <v>86.38</v>
      </c>
      <c r="O1775">
        <v>82.28</v>
      </c>
      <c r="P1775">
        <v>161</v>
      </c>
      <c r="Q1775">
        <v>75</v>
      </c>
      <c r="R1775">
        <v>86</v>
      </c>
      <c r="S1775">
        <v>82</v>
      </c>
    </row>
    <row r="1776" spans="1:19" hidden="1" x14ac:dyDescent="0.25">
      <c r="A1776">
        <v>22000009</v>
      </c>
      <c r="B1776" t="s">
        <v>18</v>
      </c>
      <c r="C1776" t="s">
        <v>19</v>
      </c>
      <c r="D1776">
        <v>102</v>
      </c>
      <c r="E1776">
        <v>85</v>
      </c>
      <c r="F1776">
        <v>17</v>
      </c>
      <c r="G1776">
        <v>4</v>
      </c>
      <c r="H1776" s="1">
        <v>6.8055555555555551E-3</v>
      </c>
      <c r="I1776">
        <v>2020</v>
      </c>
      <c r="J1776" t="s">
        <v>83</v>
      </c>
      <c r="K1776" s="2" t="str">
        <f>HYPERLINK("https://www.nba.com/stats/events?CFID=&amp;CFPARAMS=&amp;GameEventID=602&amp;GameID=0022000009&amp;Season=2020-21&amp;flag=1&amp;title=Leonard%2014'%20fadeaway%20Jump%20Shot%20(21%20PTS)", "14' fadeaway Jump Shot (21 PTS)")</f>
        <v>14' fadeaway Jump Shot (21 PTS)</v>
      </c>
      <c r="L1776" s="2" t="str">
        <f>HYPERLINK("https://www.nba.com/game/...-vs-...-0022000009/play-by-play?watchFullGame=true", "LAC vs DEN - Q4 09:48.00")</f>
        <v>LAC vs DEN - Q4 09:48.00</v>
      </c>
      <c r="M1776">
        <v>14.98</v>
      </c>
      <c r="N1776">
        <v>86.55</v>
      </c>
      <c r="O1776">
        <v>76.05</v>
      </c>
      <c r="P1776">
        <v>130</v>
      </c>
      <c r="Q1776">
        <v>74</v>
      </c>
      <c r="R1776">
        <v>86</v>
      </c>
      <c r="S1776">
        <v>76</v>
      </c>
    </row>
    <row r="1777" spans="1:19" hidden="1" x14ac:dyDescent="0.25">
      <c r="A1777">
        <v>22400911</v>
      </c>
      <c r="B1777" t="s">
        <v>18</v>
      </c>
      <c r="C1777" t="s">
        <v>19</v>
      </c>
      <c r="D1777">
        <v>9</v>
      </c>
      <c r="E1777">
        <v>0</v>
      </c>
      <c r="F1777">
        <v>9</v>
      </c>
      <c r="G1777">
        <v>1</v>
      </c>
      <c r="H1777" s="1">
        <v>6.030092592592593E-3</v>
      </c>
      <c r="I1777">
        <v>2024</v>
      </c>
      <c r="J1777" t="s">
        <v>83</v>
      </c>
      <c r="K1777" s="2" t="str">
        <f>HYPERLINK("https://www.nba.com/stats/events?CFID=&amp;CFPARAMS=&amp;GameEventID=41&amp;GameID=0022400911&amp;Season=2024-25&amp;flag=1&amp;title=Leonard%2014'%20step%20back%20Jump%20Shot%20(2%20PTS)", "14' step back Jump Shot (2 PTS)")</f>
        <v>14' step back Jump Shot (2 PTS)</v>
      </c>
      <c r="L1777" s="2" t="str">
        <f>HYPERLINK("https://www.nba.com/game/...-vs-...-0022400911/play-by-play?watchFullGame=true", "LAC vs NYK - Q1 08:41.00")</f>
        <v>LAC vs NYK - Q1 08:41.00</v>
      </c>
      <c r="M1777">
        <v>14.22</v>
      </c>
      <c r="N1777">
        <v>86.33</v>
      </c>
      <c r="O1777">
        <v>74.040000000000006</v>
      </c>
      <c r="P1777">
        <v>120</v>
      </c>
      <c r="Q1777">
        <v>76</v>
      </c>
      <c r="R1777">
        <v>86</v>
      </c>
      <c r="S1777">
        <v>74</v>
      </c>
    </row>
    <row r="1778" spans="1:19" hidden="1" x14ac:dyDescent="0.25">
      <c r="A1778">
        <v>22300280</v>
      </c>
      <c r="B1778" t="s">
        <v>18</v>
      </c>
      <c r="C1778" t="s">
        <v>19</v>
      </c>
      <c r="D1778">
        <v>106</v>
      </c>
      <c r="E1778">
        <v>107</v>
      </c>
      <c r="F1778">
        <v>1</v>
      </c>
      <c r="G1778">
        <v>4</v>
      </c>
      <c r="H1778" s="1">
        <v>1.4351851851851852E-3</v>
      </c>
      <c r="I1778">
        <v>2023</v>
      </c>
      <c r="J1778" t="s">
        <v>83</v>
      </c>
      <c r="K1778" s="2" t="str">
        <f>HYPERLINK("https://www.nba.com/stats/events?CFID=&amp;CFPARAMS=&amp;GameEventID=607&amp;GameID=0022300280&amp;Season=2023-24&amp;flag=1&amp;title=Leonard%2012'%20pullup%20Jump%20Shot%20(18%20PTS)", "12' pullup Jump Shot (18 PTS)")</f>
        <v>12' pullup Jump Shot (18 PTS)</v>
      </c>
      <c r="L1778" s="2" t="str">
        <f>HYPERLINK("https://www.nba.com/game/...-vs-...-0022300280/play-by-play?watchFullGame=true", "LAC vs GSW - Q4 02:04.00")</f>
        <v>LAC vs GSW - Q4 02:04.00</v>
      </c>
      <c r="M1778">
        <v>12.85</v>
      </c>
      <c r="N1778">
        <v>86.78</v>
      </c>
      <c r="O1778">
        <v>71.319999999999993</v>
      </c>
      <c r="P1778">
        <v>107</v>
      </c>
      <c r="Q1778">
        <v>72</v>
      </c>
      <c r="R1778">
        <v>86</v>
      </c>
      <c r="S1778">
        <v>71</v>
      </c>
    </row>
    <row r="1779" spans="1:19" hidden="1" x14ac:dyDescent="0.25">
      <c r="A1779">
        <v>22300037</v>
      </c>
      <c r="B1779" t="s">
        <v>18</v>
      </c>
      <c r="C1779" t="s">
        <v>19</v>
      </c>
      <c r="D1779">
        <v>55</v>
      </c>
      <c r="E1779">
        <v>51</v>
      </c>
      <c r="F1779">
        <v>4</v>
      </c>
      <c r="G1779">
        <v>3</v>
      </c>
      <c r="H1779" s="1">
        <v>7.1412037037037034E-3</v>
      </c>
      <c r="I1779">
        <v>2023</v>
      </c>
      <c r="J1779" t="s">
        <v>83</v>
      </c>
      <c r="K1779" s="2" t="str">
        <f>HYPERLINK("https://www.nba.com/stats/events?CFID=&amp;CFPARAMS=&amp;GameEventID=377&amp;GameID=0022300037&amp;Season=2023-24&amp;flag=1&amp;title=Leonard%2011'%20turnaround%20Jump%20Shot%20(16%20PTS)%20(J.%20Harden%203%20AST)", "11' turnaround Jump Shot (16 PTS) (J. Harden 3 AST)")</f>
        <v>11' turnaround Jump Shot (16 PTS) (J. Harden 3 AST)</v>
      </c>
      <c r="L1779" s="2" t="str">
        <f>HYPERLINK("https://www.nba.com/game/...-vs-...-0022300037/play-by-play?watchFullGame=true", "LAC vs HOU - Q3 10:17.00")</f>
        <v>LAC vs HOU - Q3 10:17.00</v>
      </c>
      <c r="M1779">
        <v>11.51</v>
      </c>
      <c r="N1779">
        <v>86.12</v>
      </c>
      <c r="O1779">
        <v>66.91</v>
      </c>
      <c r="P1779">
        <v>85</v>
      </c>
      <c r="Q1779">
        <v>78</v>
      </c>
      <c r="R1779">
        <v>86</v>
      </c>
      <c r="S1779">
        <v>66</v>
      </c>
    </row>
    <row r="1780" spans="1:19" hidden="1" x14ac:dyDescent="0.25">
      <c r="A1780">
        <v>22301079</v>
      </c>
      <c r="B1780" t="s">
        <v>18</v>
      </c>
      <c r="C1780" t="s">
        <v>19</v>
      </c>
      <c r="D1780">
        <v>57</v>
      </c>
      <c r="E1780">
        <v>43</v>
      </c>
      <c r="F1780">
        <v>14</v>
      </c>
      <c r="G1780">
        <v>2</v>
      </c>
      <c r="H1780" s="1">
        <v>2.5578703703703705E-3</v>
      </c>
      <c r="I1780">
        <v>2023</v>
      </c>
      <c r="J1780" t="s">
        <v>83</v>
      </c>
      <c r="K1780" s="2" t="str">
        <f>HYPERLINK("https://www.nba.com/stats/events?CFID=&amp;CFPARAMS=&amp;GameEventID=241&amp;GameID=0022301079&amp;Season=2023-24&amp;flag=1&amp;title=Leonard%2011'%20turnaround%20fadeaway%20Jump%20Shot%20(10%20PTS)", "11' turnaround fadeaway Jump Shot (10 PTS)")</f>
        <v>11' turnaround fadeaway Jump Shot (10 PTS)</v>
      </c>
      <c r="L1780" s="2" t="str">
        <f>HYPERLINK("https://www.nba.com/game/...-vs-...-0022301079/play-by-play?watchFullGame=true", "LAC vs CHA - Q2 03:41.00")</f>
        <v>LAC vs CHA - Q2 03:41.00</v>
      </c>
      <c r="M1780">
        <v>11.34</v>
      </c>
      <c r="N1780">
        <v>86.68</v>
      </c>
      <c r="O1780">
        <v>67.400000000000006</v>
      </c>
      <c r="P1780">
        <v>87</v>
      </c>
      <c r="Q1780">
        <v>73</v>
      </c>
      <c r="R1780">
        <v>86</v>
      </c>
      <c r="S1780">
        <v>67</v>
      </c>
    </row>
    <row r="1781" spans="1:19" hidden="1" x14ac:dyDescent="0.25">
      <c r="A1781">
        <v>22200423</v>
      </c>
      <c r="B1781" t="s">
        <v>18</v>
      </c>
      <c r="C1781" t="s">
        <v>19</v>
      </c>
      <c r="D1781">
        <v>2</v>
      </c>
      <c r="E1781">
        <v>4</v>
      </c>
      <c r="F1781">
        <v>2</v>
      </c>
      <c r="G1781">
        <v>1</v>
      </c>
      <c r="H1781" s="1">
        <v>7.1875000000000003E-3</v>
      </c>
      <c r="I1781">
        <v>2022</v>
      </c>
      <c r="J1781" t="s">
        <v>83</v>
      </c>
      <c r="K1781" s="2" t="str">
        <f>HYPERLINK("https://www.nba.com/stats/events?CFID=&amp;CFPARAMS=&amp;GameEventID=18&amp;GameID=0022200423&amp;Season=2022-23&amp;flag=1&amp;title=Leonard%2010'%20pullup%20Jump%20Shot%20(2%20PTS)", "10' pullup Jump Shot (2 PTS)")</f>
        <v>10' pullup Jump Shot (2 PTS)</v>
      </c>
      <c r="L1781" s="2" t="str">
        <f>HYPERLINK("https://www.nba.com/game/...-vs-...-0022200423/play-by-play?watchFullGame=true", "LAC vs MIN - Q1 10:21.00")</f>
        <v>LAC vs MIN - Q1 10:21.00</v>
      </c>
      <c r="M1781">
        <v>10.36</v>
      </c>
      <c r="N1781">
        <v>86.65</v>
      </c>
      <c r="O1781">
        <v>64.709999999999994</v>
      </c>
      <c r="P1781">
        <v>74</v>
      </c>
      <c r="Q1781">
        <v>73</v>
      </c>
      <c r="R1781">
        <v>86</v>
      </c>
      <c r="S1781">
        <v>64</v>
      </c>
    </row>
    <row r="1782" spans="1:19" hidden="1" x14ac:dyDescent="0.25">
      <c r="A1782">
        <v>22201004</v>
      </c>
      <c r="B1782" t="s">
        <v>18</v>
      </c>
      <c r="C1782" t="s">
        <v>19</v>
      </c>
      <c r="D1782">
        <v>16</v>
      </c>
      <c r="E1782">
        <v>6</v>
      </c>
      <c r="F1782">
        <v>10</v>
      </c>
      <c r="G1782">
        <v>1</v>
      </c>
      <c r="H1782" s="1">
        <v>3.449074074074074E-3</v>
      </c>
      <c r="I1782">
        <v>2022</v>
      </c>
      <c r="J1782" t="s">
        <v>83</v>
      </c>
      <c r="K1782" s="2" t="str">
        <f>HYPERLINK("https://www.nba.com/stats/events?CFID=&amp;CFPARAMS=&amp;GameEventID=74&amp;GameID=0022201004&amp;Season=2022-23&amp;flag=1&amp;title=Leonard%2010'%20pullup%20Jump%20Shot%20(6%20PTS)", "10' pullup Jump Shot (6 PTS)")</f>
        <v>10' pullup Jump Shot (6 PTS)</v>
      </c>
      <c r="L1782" s="2" t="str">
        <f>HYPERLINK("https://www.nba.com/game/...-vs-...-0022201004/play-by-play?watchFullGame=true", "LAC vs NYK - Q1 04:58.00")</f>
        <v>LAC vs NYK - Q1 04:58.00</v>
      </c>
      <c r="M1782">
        <v>10.199999999999999</v>
      </c>
      <c r="N1782">
        <v>86.51</v>
      </c>
      <c r="O1782">
        <v>36.03</v>
      </c>
      <c r="P1782">
        <v>-70</v>
      </c>
      <c r="Q1782">
        <v>74</v>
      </c>
      <c r="R1782">
        <v>86</v>
      </c>
      <c r="S1782">
        <v>36</v>
      </c>
    </row>
    <row r="1783" spans="1:19" hidden="1" x14ac:dyDescent="0.25">
      <c r="A1783">
        <v>41900154</v>
      </c>
      <c r="B1783" t="s">
        <v>18</v>
      </c>
      <c r="C1783" t="s">
        <v>84</v>
      </c>
      <c r="D1783">
        <v>123</v>
      </c>
      <c r="E1783">
        <v>121</v>
      </c>
      <c r="F1783">
        <v>2</v>
      </c>
      <c r="G1783">
        <v>5</v>
      </c>
      <c r="H1783" s="1">
        <v>3.3333333333333335E-3</v>
      </c>
      <c r="I1783" t="s">
        <v>86</v>
      </c>
      <c r="J1783" t="s">
        <v>83</v>
      </c>
      <c r="K1783" s="2" t="str">
        <f>HYPERLINK("https://www.nba.com/stats/events?CFID=&amp;CFPARAMS=&amp;GameEventID=697&amp;GameID=0041900154&amp;Season=2019-20&amp;flag=1&amp;title=Leonard%2010'%20jumpshot%20(30%20PTS)", "10' jumpshot (30 PTS)")</f>
        <v>10' jumpshot (30 PTS)</v>
      </c>
      <c r="L1783" s="2" t="str">
        <f>HYPERLINK("https://www.nba.com/game/...-vs-...-0041900154/play-by-play?watchFullGame=true", "LAC vs DAL - Q5 04:48.00")</f>
        <v>LAC vs DAL - Q5 04:48.00</v>
      </c>
      <c r="M1783">
        <v>9.73</v>
      </c>
      <c r="N1783">
        <v>86.68</v>
      </c>
      <c r="O1783">
        <v>61.59</v>
      </c>
      <c r="P1783">
        <v>58</v>
      </c>
      <c r="Q1783">
        <v>73</v>
      </c>
      <c r="R1783">
        <v>86</v>
      </c>
      <c r="S1783">
        <v>61</v>
      </c>
    </row>
    <row r="1784" spans="1:19" hidden="1" x14ac:dyDescent="0.25">
      <c r="A1784">
        <v>22200639</v>
      </c>
      <c r="B1784" t="s">
        <v>18</v>
      </c>
      <c r="C1784" t="s">
        <v>19</v>
      </c>
      <c r="D1784">
        <v>2</v>
      </c>
      <c r="E1784">
        <v>2</v>
      </c>
      <c r="F1784">
        <v>0</v>
      </c>
      <c r="G1784">
        <v>1</v>
      </c>
      <c r="H1784" s="1">
        <v>7.5462962962962966E-3</v>
      </c>
      <c r="I1784">
        <v>2022</v>
      </c>
      <c r="J1784" t="s">
        <v>83</v>
      </c>
      <c r="K1784" s="2" t="str">
        <f>HYPERLINK("https://www.nba.com/stats/events?CFID=&amp;CFPARAMS=&amp;GameEventID=16&amp;GameID=0022200639&amp;Season=2022-23&amp;flag=1&amp;title=Leonard%209'%20driving%20floating%20Jump%20Shot%20(2%20PTS)%20(T.%20Mann%201%20AST)", "9' driving floating Jump Shot (2 PTS) (T. Mann 1 AST)")</f>
        <v>9' driving floating Jump Shot (2 PTS) (T. Mann 1 AST)</v>
      </c>
      <c r="L1784" s="2" t="str">
        <f>HYPERLINK("https://www.nba.com/game/...-vs-...-0022200639/play-by-play?watchFullGame=true", "LAC vs DEN - Q1 10:52.00")</f>
        <v>LAC vs DEN - Q1 10:52.00</v>
      </c>
      <c r="M1784">
        <v>9.09</v>
      </c>
      <c r="N1784">
        <v>86.12</v>
      </c>
      <c r="O1784">
        <v>59.31</v>
      </c>
      <c r="P1784">
        <v>47</v>
      </c>
      <c r="Q1784">
        <v>78</v>
      </c>
      <c r="R1784">
        <v>86</v>
      </c>
      <c r="S1784">
        <v>59</v>
      </c>
    </row>
    <row r="1785" spans="1:19" hidden="1" x14ac:dyDescent="0.25">
      <c r="A1785">
        <v>22300982</v>
      </c>
      <c r="B1785" t="s">
        <v>18</v>
      </c>
      <c r="C1785" t="s">
        <v>19</v>
      </c>
      <c r="D1785">
        <v>42</v>
      </c>
      <c r="E1785">
        <v>61</v>
      </c>
      <c r="F1785">
        <v>19</v>
      </c>
      <c r="G1785">
        <v>2</v>
      </c>
      <c r="H1785" s="1">
        <v>1.3657407407407407E-3</v>
      </c>
      <c r="I1785">
        <v>2023</v>
      </c>
      <c r="J1785" t="s">
        <v>83</v>
      </c>
      <c r="K1785" s="2" t="str">
        <f>HYPERLINK("https://www.nba.com/stats/events?CFID=&amp;CFPARAMS=&amp;GameEventID=290&amp;GameID=0022300982&amp;Season=2023-24&amp;flag=1&amp;title=Leonard%209'%20fadeaway%20Jump%20Shot%20(19%20PTS)", "9' fadeaway Jump Shot (19 PTS)")</f>
        <v>9' fadeaway Jump Shot (19 PTS)</v>
      </c>
      <c r="L1785" s="2" t="str">
        <f>HYPERLINK("https://www.nba.com/game/...-vs-...-0022300982/play-by-play?watchFullGame=true", "LAC vs ATL - Q2 01:58.00")</f>
        <v>LAC vs ATL - Q2 01:58.00</v>
      </c>
      <c r="M1785">
        <v>9.07</v>
      </c>
      <c r="N1785">
        <v>86.38</v>
      </c>
      <c r="O1785">
        <v>60.05</v>
      </c>
      <c r="P1785">
        <v>50</v>
      </c>
      <c r="Q1785">
        <v>75</v>
      </c>
      <c r="R1785">
        <v>86</v>
      </c>
      <c r="S1785">
        <v>60</v>
      </c>
    </row>
    <row r="1786" spans="1:19" hidden="1" x14ac:dyDescent="0.25">
      <c r="A1786">
        <v>22200735</v>
      </c>
      <c r="B1786" t="s">
        <v>18</v>
      </c>
      <c r="C1786" t="s">
        <v>19</v>
      </c>
      <c r="D1786">
        <v>23</v>
      </c>
      <c r="E1786">
        <v>18</v>
      </c>
      <c r="F1786">
        <v>5</v>
      </c>
      <c r="G1786">
        <v>1</v>
      </c>
      <c r="H1786" s="1">
        <v>2.5000000000000001E-3</v>
      </c>
      <c r="I1786">
        <v>2022</v>
      </c>
      <c r="J1786" t="s">
        <v>83</v>
      </c>
      <c r="K1786" s="2" t="str">
        <f>HYPERLINK("https://www.nba.com/stats/events?CFID=&amp;CFPARAMS=&amp;GameEventID=104&amp;GameID=0022200735&amp;Season=2022-23&amp;flag=1&amp;title=Leonard%208'%20turnaround%20Jump%20Shot%20(4%20PTS)", "8' turnaround Jump Shot (4 PTS)")</f>
        <v>8' turnaround Jump Shot (4 PTS)</v>
      </c>
      <c r="L1786" s="2" t="str">
        <f>HYPERLINK("https://www.nba.com/game/...-vs-...-0022200735/play-by-play?watchFullGame=true", "LAC vs SAS - Q1 03:36.00")</f>
        <v>LAC vs SAS - Q1 03:36.00</v>
      </c>
      <c r="M1786">
        <v>8.69</v>
      </c>
      <c r="N1786">
        <v>86.78</v>
      </c>
      <c r="O1786">
        <v>59.8</v>
      </c>
      <c r="P1786">
        <v>49</v>
      </c>
      <c r="Q1786">
        <v>72</v>
      </c>
      <c r="R1786">
        <v>86</v>
      </c>
      <c r="S1786">
        <v>59</v>
      </c>
    </row>
    <row r="1787" spans="1:19" hidden="1" x14ac:dyDescent="0.25">
      <c r="A1787">
        <v>22000172</v>
      </c>
      <c r="B1787" t="s">
        <v>18</v>
      </c>
      <c r="C1787" t="s">
        <v>19</v>
      </c>
      <c r="D1787">
        <v>89</v>
      </c>
      <c r="E1787">
        <v>83</v>
      </c>
      <c r="F1787">
        <v>6</v>
      </c>
      <c r="G1787">
        <v>4</v>
      </c>
      <c r="H1787" s="1">
        <v>5.9375000000000001E-3</v>
      </c>
      <c r="I1787">
        <v>2020</v>
      </c>
      <c r="J1787" t="s">
        <v>83</v>
      </c>
      <c r="K1787" s="2" t="str">
        <f>HYPERLINK("https://www.nba.com/stats/events?CFID=&amp;CFPARAMS=&amp;GameEventID=475&amp;GameID=0022000172&amp;Season=2020-21&amp;flag=1&amp;title=Leonard%208'%20pullup%20Jump%20Shot%20(18%20PTS)", "8' pullup Jump Shot (18 PTS)")</f>
        <v>8' pullup Jump Shot (18 PTS)</v>
      </c>
      <c r="L1787" s="2" t="str">
        <f>HYPERLINK("https://www.nba.com/game/...-vs-...-0022000172/play-by-play?watchFullGame=true", "LAC vs NOP - Q4 08:33.00")</f>
        <v>LAC vs NOP - Q4 08:33.00</v>
      </c>
      <c r="M1787">
        <v>8.61</v>
      </c>
      <c r="N1787">
        <v>86.12</v>
      </c>
      <c r="O1787">
        <v>57.28</v>
      </c>
      <c r="P1787">
        <v>36</v>
      </c>
      <c r="Q1787">
        <v>78</v>
      </c>
      <c r="R1787">
        <v>86</v>
      </c>
      <c r="S1787">
        <v>57</v>
      </c>
    </row>
    <row r="1788" spans="1:19" hidden="1" x14ac:dyDescent="0.25">
      <c r="A1788">
        <v>42000172</v>
      </c>
      <c r="B1788" t="s">
        <v>18</v>
      </c>
      <c r="C1788" t="s">
        <v>19</v>
      </c>
      <c r="D1788">
        <v>27</v>
      </c>
      <c r="E1788">
        <v>31</v>
      </c>
      <c r="F1788">
        <v>4</v>
      </c>
      <c r="G1788">
        <v>1</v>
      </c>
      <c r="H1788" s="1">
        <v>1.4699074074074074E-3</v>
      </c>
      <c r="I1788" t="s">
        <v>91</v>
      </c>
      <c r="J1788" t="s">
        <v>83</v>
      </c>
      <c r="K1788" s="2" t="str">
        <f>HYPERLINK("https://www.nba.com/stats/events?CFID=&amp;CFPARAMS=&amp;GameEventID=115&amp;GameID=0042000172&amp;Season=2020-21&amp;flag=1&amp;title=Leonard%208'%20driving%20floating%20Jump%20Shot%20(15%20PTS)%20(R.%20Rondo%201%20AST)", "8' driving floating Jump Shot (15 PTS) (R. Rondo 1 AST)")</f>
        <v>8' driving floating Jump Shot (15 PTS) (R. Rondo 1 AST)</v>
      </c>
      <c r="L1788" s="2" t="str">
        <f>HYPERLINK("https://www.nba.com/game/...-vs-...-0042000172/play-by-play?watchFullGame=true", "LAC vs DAL - Q1 02:07.00")</f>
        <v>LAC vs DAL - Q1 02:07.00</v>
      </c>
      <c r="M1788">
        <v>8.57</v>
      </c>
      <c r="N1788">
        <v>86.02</v>
      </c>
      <c r="O1788">
        <v>56.69</v>
      </c>
      <c r="P1788">
        <v>86</v>
      </c>
      <c r="Q1788">
        <v>56</v>
      </c>
      <c r="R1788">
        <v>86</v>
      </c>
      <c r="S1788">
        <v>56</v>
      </c>
    </row>
    <row r="1789" spans="1:19" hidden="1" x14ac:dyDescent="0.25">
      <c r="A1789">
        <v>22000488</v>
      </c>
      <c r="B1789" t="s">
        <v>18</v>
      </c>
      <c r="C1789" t="s">
        <v>19</v>
      </c>
      <c r="D1789">
        <v>2</v>
      </c>
      <c r="E1789">
        <v>0</v>
      </c>
      <c r="F1789">
        <v>2</v>
      </c>
      <c r="G1789">
        <v>1</v>
      </c>
      <c r="H1789" s="1">
        <v>8.1018518518518514E-3</v>
      </c>
      <c r="I1789">
        <v>2020</v>
      </c>
      <c r="J1789" t="s">
        <v>83</v>
      </c>
      <c r="K1789" s="2" t="str">
        <f>HYPERLINK("https://www.nba.com/stats/events?CFID=&amp;CFPARAMS=&amp;GameEventID=7&amp;GameID=0022000488&amp;Season=2020-21&amp;flag=1&amp;title=Leonard%208'%20turnaround%20fadeaway%20Jump%20Shot%20(2%20PTS)", "8' turnaround fadeaway Jump Shot (2 PTS)")</f>
        <v>8' turnaround fadeaway Jump Shot (2 PTS)</v>
      </c>
      <c r="L1789" s="2" t="str">
        <f>HYPERLINK("https://www.nba.com/game/...-vs-...-0022000488/play-by-play?watchFullGame=true", "LAC vs WAS - Q1 11:40.00")</f>
        <v>LAC vs WAS - Q1 11:40.00</v>
      </c>
      <c r="M1789">
        <v>8.5500000000000007</v>
      </c>
      <c r="N1789">
        <v>86.81</v>
      </c>
      <c r="O1789">
        <v>59.38</v>
      </c>
      <c r="P1789">
        <v>47</v>
      </c>
      <c r="Q1789">
        <v>71</v>
      </c>
      <c r="R1789">
        <v>86</v>
      </c>
      <c r="S1789">
        <v>59</v>
      </c>
    </row>
    <row r="1790" spans="1:19" hidden="1" x14ac:dyDescent="0.25">
      <c r="A1790">
        <v>22201196</v>
      </c>
      <c r="B1790" t="s">
        <v>18</v>
      </c>
      <c r="C1790" t="s">
        <v>19</v>
      </c>
      <c r="D1790">
        <v>34</v>
      </c>
      <c r="E1790">
        <v>28</v>
      </c>
      <c r="F1790">
        <v>6</v>
      </c>
      <c r="G1790">
        <v>1</v>
      </c>
      <c r="H1790" s="1">
        <v>5.6828703703703707E-4</v>
      </c>
      <c r="I1790">
        <v>2022</v>
      </c>
      <c r="J1790" t="s">
        <v>83</v>
      </c>
      <c r="K1790" s="2" t="str">
        <f>HYPERLINK("https://www.nba.com/stats/events?CFID=&amp;CFPARAMS=&amp;GameEventID=141&amp;GameID=0022201196&amp;Season=2022-23&amp;flag=1&amp;title=Leonard%208'%20fadeaway%20Jump%20Shot%20(8%20PTS)", "8' fadeaway Jump Shot (8 PTS)")</f>
        <v>8' fadeaway Jump Shot (8 PTS)</v>
      </c>
      <c r="L1790" s="2" t="str">
        <f>HYPERLINK("https://www.nba.com/game/...-vs-...-0022201196/play-by-play?watchFullGame=true", "LAC vs LAL - Q1 00:49.10")</f>
        <v>LAC vs LAL - Q1 00:49.10</v>
      </c>
      <c r="M1790">
        <v>8.43</v>
      </c>
      <c r="N1790">
        <v>86.12</v>
      </c>
      <c r="O1790">
        <v>43.63</v>
      </c>
      <c r="P1790">
        <v>-32</v>
      </c>
      <c r="Q1790">
        <v>78</v>
      </c>
      <c r="R1790">
        <v>86</v>
      </c>
      <c r="S1790">
        <v>43</v>
      </c>
    </row>
    <row r="1791" spans="1:19" hidden="1" x14ac:dyDescent="0.25">
      <c r="A1791">
        <v>22000105</v>
      </c>
      <c r="B1791" t="s">
        <v>18</v>
      </c>
      <c r="C1791" t="s">
        <v>19</v>
      </c>
      <c r="D1791">
        <v>55</v>
      </c>
      <c r="E1791">
        <v>67</v>
      </c>
      <c r="F1791">
        <v>12</v>
      </c>
      <c r="G1791">
        <v>3</v>
      </c>
      <c r="H1791" s="1">
        <v>6.2847222222222219E-3</v>
      </c>
      <c r="I1791">
        <v>2020</v>
      </c>
      <c r="J1791" t="s">
        <v>83</v>
      </c>
      <c r="K1791" s="2" t="str">
        <f>HYPERLINK("https://www.nba.com/stats/events?CFID=&amp;CFPARAMS=&amp;GameEventID=351&amp;GameID=0022000105&amp;Season=2020-21&amp;flag=1&amp;title=Leonard%208'%20pullup%20Jump%20Shot%20(24%20PTS)", "8' pullup Jump Shot (24 PTS)")</f>
        <v>8' pullup Jump Shot (24 PTS)</v>
      </c>
      <c r="L1791" s="2" t="str">
        <f>HYPERLINK("https://www.nba.com/game/...-vs-...-0022000105/play-by-play?watchFullGame=true", "LAC vs SAS - Q3 09:03.00")</f>
        <v>LAC vs SAS - Q3 09:03.00</v>
      </c>
      <c r="M1791">
        <v>8.43</v>
      </c>
      <c r="N1791">
        <v>86.02</v>
      </c>
      <c r="O1791">
        <v>55.95</v>
      </c>
      <c r="P1791">
        <v>30</v>
      </c>
      <c r="Q1791">
        <v>79</v>
      </c>
      <c r="R1791">
        <v>86</v>
      </c>
      <c r="S1791">
        <v>55</v>
      </c>
    </row>
    <row r="1792" spans="1:19" hidden="1" x14ac:dyDescent="0.25">
      <c r="A1792">
        <v>22300964</v>
      </c>
      <c r="B1792" t="s">
        <v>18</v>
      </c>
      <c r="C1792" t="s">
        <v>19</v>
      </c>
      <c r="D1792">
        <v>22</v>
      </c>
      <c r="E1792">
        <v>20</v>
      </c>
      <c r="F1792">
        <v>2</v>
      </c>
      <c r="G1792">
        <v>1</v>
      </c>
      <c r="H1792" s="1">
        <v>1.4120370370370369E-4</v>
      </c>
      <c r="I1792">
        <v>2023</v>
      </c>
      <c r="J1792" t="s">
        <v>83</v>
      </c>
      <c r="K1792" s="2" t="str">
        <f>HYPERLINK("https://www.nba.com/stats/events?CFID=&amp;CFPARAMS=&amp;GameEventID=133&amp;GameID=0022300964&amp;Season=2023-24&amp;flag=1&amp;title=Leonard%208'%20pullup%20Jump%20Shot%20(9%20PTS)", "8' pullup Jump Shot (9 PTS)")</f>
        <v>8' pullup Jump Shot (9 PTS)</v>
      </c>
      <c r="L1792" s="2" t="str">
        <f>HYPERLINK("https://www.nba.com/game/...-vs-...-0022300964/play-by-play?watchFullGame=true", "LAC vs NOP - Q1 00:12.20")</f>
        <v>LAC vs NOP - Q1 00:12.20</v>
      </c>
      <c r="M1792">
        <v>8.3699999999999992</v>
      </c>
      <c r="N1792">
        <v>86.42</v>
      </c>
      <c r="O1792">
        <v>57.35</v>
      </c>
      <c r="P1792">
        <v>37</v>
      </c>
      <c r="Q1792">
        <v>75</v>
      </c>
      <c r="R1792">
        <v>86</v>
      </c>
      <c r="S1792">
        <v>57</v>
      </c>
    </row>
    <row r="1793" spans="1:19" hidden="1" x14ac:dyDescent="0.25">
      <c r="A1793">
        <v>22200538</v>
      </c>
      <c r="B1793" t="s">
        <v>18</v>
      </c>
      <c r="C1793" t="s">
        <v>19</v>
      </c>
      <c r="D1793">
        <v>54</v>
      </c>
      <c r="E1793">
        <v>62</v>
      </c>
      <c r="F1793">
        <v>8</v>
      </c>
      <c r="G1793">
        <v>2</v>
      </c>
      <c r="H1793" s="1">
        <v>2.2453703703703703E-4</v>
      </c>
      <c r="I1793">
        <v>2022</v>
      </c>
      <c r="J1793" t="s">
        <v>83</v>
      </c>
      <c r="K1793" s="2" t="str">
        <f>HYPERLINK("https://www.nba.com/stats/events?CFID=&amp;CFPARAMS=&amp;GameEventID=283&amp;GameID=0022200538&amp;Season=2022-23&amp;flag=1&amp;title=Leonard%208'%20driving%20floating%20Jump%20Shot%20(6%20PTS)%20(M.%20Morris%20Sr.%201%20AST)", "8' driving floating Jump Shot (6 PTS) (M. Morris Sr. 1 AST)")</f>
        <v>8' driving floating Jump Shot (6 PTS) (M. Morris Sr. 1 AST)</v>
      </c>
      <c r="L1793" s="2" t="str">
        <f>HYPERLINK("https://www.nba.com/game/...-vs-...-0022200538/play-by-play?watchFullGame=true", "LAC vs IND - Q2 00:19.40")</f>
        <v>LAC vs IND - Q2 00:19.40</v>
      </c>
      <c r="M1793">
        <v>8.23</v>
      </c>
      <c r="N1793">
        <v>86.02</v>
      </c>
      <c r="O1793">
        <v>45.34</v>
      </c>
      <c r="P1793">
        <v>-23</v>
      </c>
      <c r="Q1793">
        <v>79</v>
      </c>
      <c r="R1793">
        <v>86</v>
      </c>
      <c r="S1793">
        <v>45</v>
      </c>
    </row>
    <row r="1794" spans="1:19" hidden="1" x14ac:dyDescent="0.25">
      <c r="A1794">
        <v>42000172</v>
      </c>
      <c r="B1794" t="s">
        <v>18</v>
      </c>
      <c r="C1794" t="s">
        <v>19</v>
      </c>
      <c r="D1794">
        <v>23</v>
      </c>
      <c r="E1794">
        <v>29</v>
      </c>
      <c r="F1794">
        <v>6</v>
      </c>
      <c r="G1794">
        <v>1</v>
      </c>
      <c r="H1794" s="1">
        <v>2.673611111111111E-3</v>
      </c>
      <c r="I1794" t="s">
        <v>91</v>
      </c>
      <c r="J1794" t="s">
        <v>83</v>
      </c>
      <c r="K1794" s="2" t="str">
        <f>HYPERLINK("https://www.nba.com/stats/events?CFID=&amp;CFPARAMS=&amp;GameEventID=84&amp;GameID=0042000172&amp;Season=2020-21&amp;flag=1&amp;title=Leonard%208'%20driving%20floating%20Jump%20Shot%20(13%20PTS)", "8' driving floating Jump Shot (13 PTS)")</f>
        <v>8' driving floating Jump Shot (13 PTS)</v>
      </c>
      <c r="L1794" s="2" t="str">
        <f>HYPERLINK("https://www.nba.com/game/...-vs-...-0042000172/play-by-play?watchFullGame=true", "LAC vs DAL - Q1 03:51.00")</f>
        <v>LAC vs DAL - Q1 03:51.00</v>
      </c>
      <c r="M1794">
        <v>8.17</v>
      </c>
      <c r="N1794">
        <v>86.81</v>
      </c>
      <c r="O1794">
        <v>57.91</v>
      </c>
      <c r="P1794">
        <v>86</v>
      </c>
      <c r="Q1794">
        <v>57</v>
      </c>
      <c r="R1794">
        <v>86</v>
      </c>
      <c r="S1794">
        <v>57</v>
      </c>
    </row>
    <row r="1795" spans="1:19" hidden="1" x14ac:dyDescent="0.25">
      <c r="A1795">
        <v>21900485</v>
      </c>
      <c r="B1795" t="s">
        <v>18</v>
      </c>
      <c r="C1795" t="s">
        <v>95</v>
      </c>
      <c r="D1795">
        <v>102</v>
      </c>
      <c r="E1795">
        <v>103</v>
      </c>
      <c r="F1795">
        <v>1</v>
      </c>
      <c r="G1795">
        <v>4</v>
      </c>
      <c r="H1795" s="1">
        <v>4.9652777777777777E-3</v>
      </c>
      <c r="I1795">
        <v>2019</v>
      </c>
      <c r="J1795" t="s">
        <v>83</v>
      </c>
      <c r="K1795" s="2" t="str">
        <f>HYPERLINK("https://www.nba.com/stats/events?CFID=&amp;CFPARAMS=&amp;GameEventID=571&amp;GameID=0021900485&amp;Season=2019-20&amp;flag=1&amp;title=Leonard%208'%20hook%20(19%20PTS)", "8' hook (19 PTS)")</f>
        <v>8' hook (19 PTS)</v>
      </c>
      <c r="L1795" s="2" t="str">
        <f>HYPERLINK("https://www.nba.com/game/...-vs-...-0021900485/play-by-play?watchFullGame=true", "LAC vs UTA - Q4 07:09.00")</f>
        <v>LAC vs UTA - Q4 07:09.00</v>
      </c>
      <c r="M1795">
        <v>7.87</v>
      </c>
      <c r="N1795">
        <v>86.65</v>
      </c>
      <c r="O1795">
        <v>48.95</v>
      </c>
      <c r="P1795">
        <v>-5</v>
      </c>
      <c r="Q1795">
        <v>73</v>
      </c>
      <c r="R1795">
        <v>86</v>
      </c>
      <c r="S1795">
        <v>48</v>
      </c>
    </row>
    <row r="1796" spans="1:19" hidden="1" x14ac:dyDescent="0.25">
      <c r="A1796">
        <v>22301043</v>
      </c>
      <c r="B1796" t="s">
        <v>18</v>
      </c>
      <c r="C1796" t="s">
        <v>19</v>
      </c>
      <c r="D1796">
        <v>64</v>
      </c>
      <c r="E1796">
        <v>70</v>
      </c>
      <c r="F1796">
        <v>6</v>
      </c>
      <c r="G1796">
        <v>3</v>
      </c>
      <c r="H1796" s="1">
        <v>7.4189814814814813E-3</v>
      </c>
      <c r="I1796">
        <v>2023</v>
      </c>
      <c r="J1796" t="s">
        <v>83</v>
      </c>
      <c r="K1796" s="2" t="str">
        <f>HYPERLINK("https://www.nba.com/stats/events?CFID=&amp;CFPARAMS=&amp;GameEventID=314&amp;GameID=0022301043&amp;Season=2023-24&amp;flag=1&amp;title=Leonard%207'%20pullup%20Jump%20Shot%20(15%20PTS)", "7' pullup Jump Shot (15 PTS)")</f>
        <v>7' pullup Jump Shot (15 PTS)</v>
      </c>
      <c r="L1796" s="2" t="str">
        <f>HYPERLINK("https://www.nba.com/game/...-vs-...-0022301043/play-by-play?watchFullGame=true", "LAC vs IND - Q3 10:41.00")</f>
        <v>LAC vs IND - Q3 10:41.00</v>
      </c>
      <c r="M1796">
        <v>7.8</v>
      </c>
      <c r="N1796">
        <v>86.12</v>
      </c>
      <c r="O1796">
        <v>50</v>
      </c>
      <c r="P1796">
        <v>86</v>
      </c>
      <c r="Q1796">
        <v>78</v>
      </c>
      <c r="R1796">
        <v>86</v>
      </c>
      <c r="S1796">
        <v>50</v>
      </c>
    </row>
    <row r="1797" spans="1:19" hidden="1" x14ac:dyDescent="0.25">
      <c r="A1797">
        <v>22201069</v>
      </c>
      <c r="B1797" t="s">
        <v>18</v>
      </c>
      <c r="C1797" t="s">
        <v>19</v>
      </c>
      <c r="D1797">
        <v>18</v>
      </c>
      <c r="E1797">
        <v>13</v>
      </c>
      <c r="F1797">
        <v>5</v>
      </c>
      <c r="G1797">
        <v>1</v>
      </c>
      <c r="H1797" s="1">
        <v>4.3518518518518515E-3</v>
      </c>
      <c r="I1797">
        <v>2022</v>
      </c>
      <c r="J1797" t="s">
        <v>83</v>
      </c>
      <c r="K1797" s="2" t="str">
        <f>HYPERLINK("https://www.nba.com/stats/events?CFID=&amp;CFPARAMS=&amp;GameEventID=66&amp;GameID=0022201069&amp;Season=2022-23&amp;flag=1&amp;title=Leonard%207'%20floating%20Jump%20Shot%20(4%20PTS)", "7' floating Jump Shot (4 PTS)")</f>
        <v>7' floating Jump Shot (4 PTS)</v>
      </c>
      <c r="L1797" s="2" t="str">
        <f>HYPERLINK("https://www.nba.com/game/...-vs-...-0022201069/play-by-play?watchFullGame=true", "LAC vs POR - Q1 06:16.00")</f>
        <v>LAC vs POR - Q1 06:16.00</v>
      </c>
      <c r="M1797">
        <v>7.77</v>
      </c>
      <c r="N1797">
        <v>86.15</v>
      </c>
      <c r="O1797">
        <v>49.75</v>
      </c>
      <c r="P1797">
        <v>-1</v>
      </c>
      <c r="Q1797">
        <v>78</v>
      </c>
      <c r="R1797">
        <v>86</v>
      </c>
      <c r="S1797">
        <v>49</v>
      </c>
    </row>
    <row r="1798" spans="1:19" hidden="1" x14ac:dyDescent="0.25">
      <c r="A1798">
        <v>22300099</v>
      </c>
      <c r="B1798" t="s">
        <v>18</v>
      </c>
      <c r="C1798" t="s">
        <v>19</v>
      </c>
      <c r="D1798">
        <v>35</v>
      </c>
      <c r="E1798">
        <v>21</v>
      </c>
      <c r="F1798">
        <v>14</v>
      </c>
      <c r="G1798">
        <v>2</v>
      </c>
      <c r="H1798" s="1">
        <v>4.6874999999999998E-3</v>
      </c>
      <c r="I1798">
        <v>2023</v>
      </c>
      <c r="J1798" t="s">
        <v>83</v>
      </c>
      <c r="K1798" s="2" t="str">
        <f>HYPERLINK("https://www.nba.com/stats/events?CFID=&amp;CFPARAMS=&amp;GameEventID=259&amp;GameID=0022300099&amp;Season=2023-24&amp;flag=1&amp;title=Leonard%207'%20driving%20floating%20Jump%20Shot%20(7%20PTS)", "7' driving floating Jump Shot (7 PTS)")</f>
        <v>7' driving floating Jump Shot (7 PTS)</v>
      </c>
      <c r="L1798" s="2" t="str">
        <f>HYPERLINK("https://www.nba.com/game/...-vs-...-0022300099/play-by-play?watchFullGame=true", "LAC vs SAS - Q2 06:45.00")</f>
        <v>LAC vs SAS - Q2 06:45.00</v>
      </c>
      <c r="M1798">
        <v>7.77</v>
      </c>
      <c r="N1798">
        <v>86.38</v>
      </c>
      <c r="O1798">
        <v>53.68</v>
      </c>
      <c r="P1798">
        <v>18</v>
      </c>
      <c r="Q1798">
        <v>75</v>
      </c>
      <c r="R1798">
        <v>86</v>
      </c>
      <c r="S1798">
        <v>53</v>
      </c>
    </row>
    <row r="1799" spans="1:19" hidden="1" x14ac:dyDescent="0.25">
      <c r="A1799">
        <v>22200945</v>
      </c>
      <c r="B1799" t="s">
        <v>18</v>
      </c>
      <c r="C1799" t="s">
        <v>19</v>
      </c>
      <c r="D1799">
        <v>19</v>
      </c>
      <c r="E1799">
        <v>19</v>
      </c>
      <c r="F1799">
        <v>0</v>
      </c>
      <c r="G1799">
        <v>1</v>
      </c>
      <c r="H1799" s="1">
        <v>2.4652777777777776E-3</v>
      </c>
      <c r="I1799">
        <v>2022</v>
      </c>
      <c r="J1799" t="s">
        <v>83</v>
      </c>
      <c r="K1799" s="2" t="str">
        <f>HYPERLINK("https://www.nba.com/stats/events?CFID=&amp;CFPARAMS=&amp;GameEventID=102&amp;GameID=0022200945&amp;Season=2022-23&amp;flag=1&amp;title=Leonard%207'%20floating%20Jump%20Shot%20(7%20PTS)", "7' floating Jump Shot (7 PTS)")</f>
        <v>7' floating Jump Shot (7 PTS)</v>
      </c>
      <c r="L1799" s="2" t="str">
        <f>HYPERLINK("https://www.nba.com/game/...-vs-...-0022200945/play-by-play?watchFullGame=true", "LAC vs GSW - Q1 03:33.00")</f>
        <v>LAC vs GSW - Q1 03:33.00</v>
      </c>
      <c r="M1799">
        <v>7.72</v>
      </c>
      <c r="N1799">
        <v>86.55</v>
      </c>
      <c r="O1799">
        <v>45.59</v>
      </c>
      <c r="P1799">
        <v>-22</v>
      </c>
      <c r="Q1799">
        <v>74</v>
      </c>
      <c r="R1799">
        <v>86</v>
      </c>
      <c r="S1799">
        <v>45</v>
      </c>
    </row>
    <row r="1800" spans="1:19" hidden="1" x14ac:dyDescent="0.25">
      <c r="A1800">
        <v>21900016</v>
      </c>
      <c r="B1800" t="s">
        <v>18</v>
      </c>
      <c r="C1800" t="s">
        <v>84</v>
      </c>
      <c r="D1800">
        <v>78</v>
      </c>
      <c r="E1800">
        <v>60</v>
      </c>
      <c r="F1800">
        <v>18</v>
      </c>
      <c r="G1800">
        <v>3</v>
      </c>
      <c r="H1800" s="1">
        <v>6.3310185185185188E-3</v>
      </c>
      <c r="I1800">
        <v>2019</v>
      </c>
      <c r="J1800" t="s">
        <v>83</v>
      </c>
      <c r="K1800" s="2" t="str">
        <f>HYPERLINK("https://www.nba.com/stats/events?CFID=&amp;CFPARAMS=&amp;GameEventID=417&amp;GameID=0021900016&amp;Season=2019-20&amp;flag=1&amp;title=[LAC]%20Leonard%20jumpshot:%20Made%20(15%20PTS)", "[LAC] Leonard jumpshot: Made (15 PTS)")</f>
        <v>[LAC] Leonard jumpshot: Made (15 PTS)</v>
      </c>
      <c r="L1800" s="2" t="str">
        <f>HYPERLINK("https://www.nba.com/game/...-vs-...-0021900016/play-by-play?watchFullGame=true", "LAC vs GSW - Q3 09:07.00")</f>
        <v>LAC vs GSW - Q3 09:07.00</v>
      </c>
      <c r="M1800">
        <v>7.71</v>
      </c>
      <c r="N1800">
        <v>86.81</v>
      </c>
      <c r="O1800">
        <v>49.33</v>
      </c>
      <c r="P1800">
        <v>-3</v>
      </c>
      <c r="Q1800">
        <v>71</v>
      </c>
      <c r="R1800">
        <v>86</v>
      </c>
      <c r="S1800">
        <v>49</v>
      </c>
    </row>
    <row r="1801" spans="1:19" hidden="1" x14ac:dyDescent="0.25">
      <c r="A1801">
        <v>22200649</v>
      </c>
      <c r="B1801" t="s">
        <v>18</v>
      </c>
      <c r="C1801" t="s">
        <v>19</v>
      </c>
      <c r="D1801">
        <v>23</v>
      </c>
      <c r="E1801">
        <v>27</v>
      </c>
      <c r="F1801">
        <v>4</v>
      </c>
      <c r="G1801">
        <v>1</v>
      </c>
      <c r="H1801" s="1">
        <v>1.8865740740740742E-3</v>
      </c>
      <c r="I1801">
        <v>2022</v>
      </c>
      <c r="J1801" t="s">
        <v>83</v>
      </c>
      <c r="K1801" s="2" t="str">
        <f>HYPERLINK("https://www.nba.com/stats/events?CFID=&amp;CFPARAMS=&amp;GameEventID=96&amp;GameID=0022200649&amp;Season=2022-23&amp;flag=1&amp;title=Leonard%207'%20pullup%20Jump%20Shot%20(8%20PTS)", "7' pullup Jump Shot (8 PTS)")</f>
        <v>7' pullup Jump Shot (8 PTS)</v>
      </c>
      <c r="L1801" s="2" t="str">
        <f>HYPERLINK("https://www.nba.com/game/...-vs-...-0022200649/play-by-play?watchFullGame=true", "LAC vs HOU - Q1 02:43.00")</f>
        <v>LAC vs HOU - Q1 02:43.00</v>
      </c>
      <c r="M1801">
        <v>7.7</v>
      </c>
      <c r="N1801">
        <v>86.65</v>
      </c>
      <c r="O1801">
        <v>54.9</v>
      </c>
      <c r="P1801">
        <v>25</v>
      </c>
      <c r="Q1801">
        <v>73</v>
      </c>
      <c r="R1801">
        <v>86</v>
      </c>
      <c r="S1801">
        <v>54</v>
      </c>
    </row>
    <row r="1802" spans="1:19" hidden="1" x14ac:dyDescent="0.25">
      <c r="A1802">
        <v>22301064</v>
      </c>
      <c r="B1802" t="s">
        <v>18</v>
      </c>
      <c r="C1802" t="s">
        <v>19</v>
      </c>
      <c r="D1802">
        <v>70</v>
      </c>
      <c r="E1802">
        <v>68</v>
      </c>
      <c r="F1802">
        <v>2</v>
      </c>
      <c r="G1802">
        <v>3</v>
      </c>
      <c r="H1802" s="1">
        <v>2.4305555555555556E-3</v>
      </c>
      <c r="I1802">
        <v>2023</v>
      </c>
      <c r="J1802" t="s">
        <v>83</v>
      </c>
      <c r="K1802" s="2" t="str">
        <f>HYPERLINK("https://www.nba.com/stats/events?CFID=&amp;CFPARAMS=&amp;GameEventID=417&amp;GameID=0022301064&amp;Season=2023-24&amp;flag=1&amp;title=Leonard%207'%20floating%20Jump%20Shot%20(17%20PTS)", "7' floating Jump Shot (17 PTS)")</f>
        <v>7' floating Jump Shot (17 PTS)</v>
      </c>
      <c r="L1802" s="2" t="str">
        <f>HYPERLINK("https://www.nba.com/game/...-vs-...-0022301064/play-by-play?watchFullGame=true", "LAC vs ORL - Q3 03:30.00")</f>
        <v>LAC vs ORL - Q3 03:30.00</v>
      </c>
      <c r="M1802">
        <v>7.66</v>
      </c>
      <c r="N1802">
        <v>86.28</v>
      </c>
      <c r="O1802">
        <v>50.98</v>
      </c>
      <c r="P1802">
        <v>5</v>
      </c>
      <c r="Q1802">
        <v>76</v>
      </c>
      <c r="R1802">
        <v>86</v>
      </c>
      <c r="S1802">
        <v>50</v>
      </c>
    </row>
    <row r="1803" spans="1:19" hidden="1" x14ac:dyDescent="0.25">
      <c r="A1803">
        <v>22300511</v>
      </c>
      <c r="B1803" t="s">
        <v>18</v>
      </c>
      <c r="C1803" t="s">
        <v>19</v>
      </c>
      <c r="D1803">
        <v>46</v>
      </c>
      <c r="E1803">
        <v>48</v>
      </c>
      <c r="F1803">
        <v>2</v>
      </c>
      <c r="G1803">
        <v>2</v>
      </c>
      <c r="H1803" s="1">
        <v>4.6064814814814814E-3</v>
      </c>
      <c r="I1803">
        <v>2023</v>
      </c>
      <c r="J1803" t="s">
        <v>83</v>
      </c>
      <c r="K1803" s="2" t="str">
        <f>HYPERLINK("https://www.nba.com/stats/events?CFID=&amp;CFPARAMS=&amp;GameEventID=220&amp;GameID=0022300511&amp;Season=2023-24&amp;flag=1&amp;title=Leonard%207'%20fadeaway%20Jump%20Shot%20(9%20PTS)%20(J.%20Harden%206%20AST)", "7' fadeaway Jump Shot (9 PTS) (J. Harden 6 AST)")</f>
        <v>7' fadeaway Jump Shot (9 PTS) (J. Harden 6 AST)</v>
      </c>
      <c r="L1803" s="2" t="str">
        <f>HYPERLINK("https://www.nba.com/game/...-vs-...-0022300511/play-by-play?watchFullGame=true", "LAC vs PHX - Q2 06:38.00")</f>
        <v>LAC vs PHX - Q2 06:38.00</v>
      </c>
      <c r="M1803">
        <v>7.66</v>
      </c>
      <c r="N1803">
        <v>86.65</v>
      </c>
      <c r="O1803">
        <v>54.66</v>
      </c>
      <c r="P1803">
        <v>23</v>
      </c>
      <c r="Q1803">
        <v>73</v>
      </c>
      <c r="R1803">
        <v>86</v>
      </c>
      <c r="S1803">
        <v>54</v>
      </c>
    </row>
    <row r="1804" spans="1:19" hidden="1" x14ac:dyDescent="0.25">
      <c r="A1804">
        <v>22000625</v>
      </c>
      <c r="B1804" t="s">
        <v>18</v>
      </c>
      <c r="C1804" t="s">
        <v>89</v>
      </c>
      <c r="D1804">
        <v>46</v>
      </c>
      <c r="E1804">
        <v>50</v>
      </c>
      <c r="F1804">
        <v>4</v>
      </c>
      <c r="G1804">
        <v>2</v>
      </c>
      <c r="H1804" s="1">
        <v>2.3032407407407407E-3</v>
      </c>
      <c r="I1804">
        <v>2020</v>
      </c>
      <c r="J1804" t="s">
        <v>83</v>
      </c>
      <c r="K1804" s="2" t="str">
        <f>HYPERLINK("https://www.nba.com/stats/events?CFID=&amp;CFPARAMS=&amp;GameEventID=278&amp;GameID=0022000625&amp;Season=2020-21&amp;flag=1&amp;title=Leonard%207'%20turnaround%20Hook%20(10%20PTS)", "7' turnaround Hook (10 PTS)")</f>
        <v>7' turnaround Hook (10 PTS)</v>
      </c>
      <c r="L1804" s="2" t="str">
        <f>HYPERLINK("https://www.nba.com/game/...-vs-...-0022000625/play-by-play?watchFullGame=true", "LAC vs DAL - Q2 03:19.00")</f>
        <v>LAC vs DAL - Q2 03:19.00</v>
      </c>
      <c r="M1804">
        <v>7.64</v>
      </c>
      <c r="N1804">
        <v>86.28</v>
      </c>
      <c r="O1804">
        <v>50.31</v>
      </c>
      <c r="P1804">
        <v>2</v>
      </c>
      <c r="Q1804">
        <v>76</v>
      </c>
      <c r="R1804">
        <v>86</v>
      </c>
      <c r="S1804">
        <v>50</v>
      </c>
    </row>
    <row r="1805" spans="1:19" hidden="1" x14ac:dyDescent="0.25">
      <c r="A1805">
        <v>22300343</v>
      </c>
      <c r="B1805" t="s">
        <v>18</v>
      </c>
      <c r="C1805" t="s">
        <v>19</v>
      </c>
      <c r="D1805">
        <v>54</v>
      </c>
      <c r="E1805">
        <v>54</v>
      </c>
      <c r="F1805">
        <v>0</v>
      </c>
      <c r="G1805">
        <v>2</v>
      </c>
      <c r="H1805" s="1">
        <v>3.8425925925925928E-3</v>
      </c>
      <c r="I1805">
        <v>2023</v>
      </c>
      <c r="J1805" t="s">
        <v>83</v>
      </c>
      <c r="K1805" s="2" t="str">
        <f>HYPERLINK("https://www.nba.com/stats/events?CFID=&amp;CFPARAMS=&amp;GameEventID=286&amp;GameID=0022300343&amp;Season=2023-24&amp;flag=1&amp;title=Leonard%207'%20turnaround%20fadeaway%20Jump%20Shot%20(14%20PTS)%20(J.%20Harden%205%20AST)", "7' turnaround fadeaway Jump Shot (14 PTS) (J. Harden 5 AST)")</f>
        <v>7' turnaround fadeaway Jump Shot (14 PTS) (J. Harden 5 AST)</v>
      </c>
      <c r="L1805" s="2" t="str">
        <f>HYPERLINK("https://www.nba.com/game/...-vs-...-0022300343/play-by-play?watchFullGame=true", "LAC vs NYK - Q2 05:32.00")</f>
        <v>LAC vs NYK - Q2 05:32.00</v>
      </c>
      <c r="M1805">
        <v>7.51</v>
      </c>
      <c r="N1805">
        <v>86.78</v>
      </c>
      <c r="O1805">
        <v>54.41</v>
      </c>
      <c r="P1805">
        <v>22</v>
      </c>
      <c r="Q1805">
        <v>72</v>
      </c>
      <c r="R1805">
        <v>86</v>
      </c>
      <c r="S1805">
        <v>54</v>
      </c>
    </row>
    <row r="1806" spans="1:19" hidden="1" x14ac:dyDescent="0.25">
      <c r="A1806">
        <v>22300372</v>
      </c>
      <c r="B1806" t="s">
        <v>18</v>
      </c>
      <c r="C1806" t="s">
        <v>19</v>
      </c>
      <c r="D1806">
        <v>10</v>
      </c>
      <c r="E1806">
        <v>11</v>
      </c>
      <c r="F1806">
        <v>1</v>
      </c>
      <c r="G1806">
        <v>1</v>
      </c>
      <c r="H1806" s="1">
        <v>5.185185185185185E-3</v>
      </c>
      <c r="I1806">
        <v>2023</v>
      </c>
      <c r="J1806" t="s">
        <v>83</v>
      </c>
      <c r="K1806" s="2" t="str">
        <f>HYPERLINK("https://www.nba.com/stats/events?CFID=&amp;CFPARAMS=&amp;GameEventID=47&amp;GameID=0022300372&amp;Season=2023-24&amp;flag=1&amp;title=Leonard%207'%20driving%20floating%20Jump%20Shot%20(2%20PTS)%20(J.%20Harden%203%20AST)", "7' driving floating Jump Shot (2 PTS) (J. Harden 3 AST)")</f>
        <v>7' driving floating Jump Shot (2 PTS) (J. Harden 3 AST)</v>
      </c>
      <c r="L1806" s="2" t="str">
        <f>HYPERLINK("https://www.nba.com/game/...-vs-...-0022300372/play-by-play?watchFullGame=true", "LAC vs DAL - Q1 07:28.00")</f>
        <v>LAC vs DAL - Q1 07:28.00</v>
      </c>
      <c r="M1806">
        <v>7.42</v>
      </c>
      <c r="N1806">
        <v>86.55</v>
      </c>
      <c r="O1806">
        <v>50.98</v>
      </c>
      <c r="P1806">
        <v>5</v>
      </c>
      <c r="Q1806">
        <v>74</v>
      </c>
      <c r="R1806">
        <v>86</v>
      </c>
      <c r="S1806">
        <v>50</v>
      </c>
    </row>
    <row r="1807" spans="1:19" hidden="1" x14ac:dyDescent="0.25">
      <c r="A1807">
        <v>42000176</v>
      </c>
      <c r="B1807" t="s">
        <v>18</v>
      </c>
      <c r="C1807" t="s">
        <v>19</v>
      </c>
      <c r="D1807">
        <v>48</v>
      </c>
      <c r="E1807">
        <v>45</v>
      </c>
      <c r="F1807">
        <v>3</v>
      </c>
      <c r="G1807">
        <v>2</v>
      </c>
      <c r="H1807" s="1">
        <v>1.574074074074074E-4</v>
      </c>
      <c r="I1807" t="s">
        <v>91</v>
      </c>
      <c r="J1807" t="s">
        <v>83</v>
      </c>
      <c r="K1807" s="2" t="str">
        <f>HYPERLINK("https://www.nba.com/stats/events?CFID=&amp;CFPARAMS=&amp;GameEventID=310&amp;GameID=0042000176&amp;Season=2020-21&amp;flag=1&amp;title=Leonard%207'%20driving%20floating%20Jump%20Shot%20(16%20PTS)", "7' driving floating Jump Shot (16 PTS)")</f>
        <v>7' driving floating Jump Shot (16 PTS)</v>
      </c>
      <c r="L1807" s="2" t="str">
        <f>HYPERLINK("https://www.nba.com/game/...-vs-...-0042000176/play-by-play?watchFullGame=true", "LAC vs DAL - Q2 00:13.60")</f>
        <v>LAC vs DAL - Q2 00:13.60</v>
      </c>
      <c r="M1807">
        <v>7.41</v>
      </c>
      <c r="N1807">
        <v>86.94</v>
      </c>
      <c r="O1807">
        <v>54.73</v>
      </c>
      <c r="P1807">
        <v>86</v>
      </c>
      <c r="Q1807">
        <v>54</v>
      </c>
      <c r="R1807">
        <v>86</v>
      </c>
      <c r="S1807">
        <v>54</v>
      </c>
    </row>
    <row r="1808" spans="1:19" hidden="1" x14ac:dyDescent="0.25">
      <c r="A1808">
        <v>22201069</v>
      </c>
      <c r="B1808" t="s">
        <v>18</v>
      </c>
      <c r="C1808" t="s">
        <v>19</v>
      </c>
      <c r="D1808">
        <v>16</v>
      </c>
      <c r="E1808">
        <v>11</v>
      </c>
      <c r="F1808">
        <v>5</v>
      </c>
      <c r="G1808">
        <v>1</v>
      </c>
      <c r="H1808" s="1">
        <v>4.7453703703703703E-3</v>
      </c>
      <c r="I1808">
        <v>2022</v>
      </c>
      <c r="J1808" t="s">
        <v>83</v>
      </c>
      <c r="K1808" s="2" t="str">
        <f>HYPERLINK("https://www.nba.com/stats/events?CFID=&amp;CFPARAMS=&amp;GameEventID=58&amp;GameID=0022201069&amp;Season=2022-23&amp;flag=1&amp;title=Leonard%207'%20driving%20floating%20Jump%20Shot%20(2%20PTS)", "7' driving floating Jump Shot (2 PTS)")</f>
        <v>7' driving floating Jump Shot (2 PTS)</v>
      </c>
      <c r="L1808" s="2" t="str">
        <f>HYPERLINK("https://www.nba.com/game/...-vs-...-0022201069/play-by-play?watchFullGame=true", "LAC vs POR - Q1 06:50.00")</f>
        <v>LAC vs POR - Q1 06:50.00</v>
      </c>
      <c r="M1808">
        <v>7.29</v>
      </c>
      <c r="N1808">
        <v>86.68</v>
      </c>
      <c r="O1808">
        <v>50.98</v>
      </c>
      <c r="P1808">
        <v>5</v>
      </c>
      <c r="Q1808">
        <v>73</v>
      </c>
      <c r="R1808">
        <v>86</v>
      </c>
      <c r="S1808">
        <v>50</v>
      </c>
    </row>
    <row r="1809" spans="1:19" hidden="1" x14ac:dyDescent="0.25">
      <c r="A1809">
        <v>22000720</v>
      </c>
      <c r="B1809" t="s">
        <v>18</v>
      </c>
      <c r="C1809" t="s">
        <v>19</v>
      </c>
      <c r="D1809">
        <v>85</v>
      </c>
      <c r="E1809">
        <v>78</v>
      </c>
      <c r="F1809">
        <v>7</v>
      </c>
      <c r="G1809">
        <v>4</v>
      </c>
      <c r="H1809" s="1">
        <v>3.6689814814814814E-3</v>
      </c>
      <c r="I1809">
        <v>2020</v>
      </c>
      <c r="J1809" t="s">
        <v>83</v>
      </c>
      <c r="K1809" s="2" t="str">
        <f>HYPERLINK("https://www.nba.com/stats/events?CFID=&amp;CFPARAMS=&amp;GameEventID=529&amp;GameID=0022000720&amp;Season=2020-21&amp;flag=1&amp;title=Leonard%207'%20driving%20floating%20Jump%20Shot%20(25%20PTS)%20(T.%20Mann%206%20AST)", "7' driving floating Jump Shot (25 PTS) (T. Mann 6 AST)")</f>
        <v>7' driving floating Jump Shot (25 PTS) (T. Mann 6 AST)</v>
      </c>
      <c r="L1809" s="2" t="str">
        <f>HYPERLINK("https://www.nba.com/game/...-vs-...-0022000720/play-by-play?watchFullGame=true", "LAC vs ORL - Q4 05:17.00")</f>
        <v>LAC vs ORL - Q4 05:17.00</v>
      </c>
      <c r="M1809">
        <v>7.28</v>
      </c>
      <c r="N1809">
        <v>86.68</v>
      </c>
      <c r="O1809">
        <v>50.8</v>
      </c>
      <c r="P1809">
        <v>4</v>
      </c>
      <c r="Q1809">
        <v>73</v>
      </c>
      <c r="R1809">
        <v>86</v>
      </c>
      <c r="S1809">
        <v>50</v>
      </c>
    </row>
    <row r="1810" spans="1:19" hidden="1" x14ac:dyDescent="0.25">
      <c r="A1810">
        <v>22000717</v>
      </c>
      <c r="B1810" t="s">
        <v>18</v>
      </c>
      <c r="C1810" t="s">
        <v>19</v>
      </c>
      <c r="D1810">
        <v>68</v>
      </c>
      <c r="E1810">
        <v>59</v>
      </c>
      <c r="F1810">
        <v>9</v>
      </c>
      <c r="G1810">
        <v>3</v>
      </c>
      <c r="H1810" s="1">
        <v>5.9953703703703705E-3</v>
      </c>
      <c r="I1810">
        <v>2020</v>
      </c>
      <c r="J1810" t="s">
        <v>83</v>
      </c>
      <c r="K1810" s="2" t="str">
        <f>HYPERLINK("https://www.nba.com/stats/events?CFID=&amp;CFPARAMS=&amp;GameEventID=338&amp;GameID=0022000717&amp;Season=2020-21&amp;flag=1&amp;title=Leonard%207'%20pullup%20Jump%20Shot%20(16%20PTS)", "7' pullup Jump Shot (16 PTS)")</f>
        <v>7' pullup Jump Shot (16 PTS)</v>
      </c>
      <c r="L1810" s="2" t="str">
        <f>HYPERLINK("https://www.nba.com/game/...-vs-...-0022000717/play-by-play?watchFullGame=true", "LAC vs MIL - Q3 08:38.00")</f>
        <v>LAC vs MIL - Q3 08:38.00</v>
      </c>
      <c r="M1810">
        <v>7.27</v>
      </c>
      <c r="N1810">
        <v>86.68</v>
      </c>
      <c r="O1810">
        <v>49.82</v>
      </c>
      <c r="P1810">
        <v>-1</v>
      </c>
      <c r="Q1810">
        <v>73</v>
      </c>
      <c r="R1810">
        <v>86</v>
      </c>
      <c r="S1810">
        <v>49</v>
      </c>
    </row>
    <row r="1811" spans="1:19" hidden="1" x14ac:dyDescent="0.25">
      <c r="A1811">
        <v>22300127</v>
      </c>
      <c r="B1811" t="s">
        <v>26</v>
      </c>
      <c r="C1811" t="s">
        <v>19</v>
      </c>
      <c r="D1811">
        <v>32</v>
      </c>
      <c r="E1811">
        <v>18</v>
      </c>
      <c r="F1811">
        <v>14</v>
      </c>
      <c r="G1811">
        <v>1</v>
      </c>
      <c r="H1811" s="1">
        <v>1.6435185185185185E-3</v>
      </c>
      <c r="I1811">
        <v>2023</v>
      </c>
      <c r="J1811" t="s">
        <v>83</v>
      </c>
      <c r="K1811" s="2" t="str">
        <f>HYPERLINK("https://www.nba.com/stats/events?CFID=&amp;CFPARAMS=&amp;GameEventID=119&amp;GameID=0022300127&amp;Season=2023-24&amp;flag=1&amp;title=Leonard%2024'%203PT%20%20(18%20PTS)%20(B.%20Hyland%202%20AST)", "24' 3PT  (18 PTS) (B. Hyland 2 AST)")</f>
        <v>24' 3PT  (18 PTS) (B. Hyland 2 AST)</v>
      </c>
      <c r="L1811" s="2" t="str">
        <f>HYPERLINK("https://www.nba.com/game/...-vs-...-0022300127/play-by-play?watchFullGame=true", "LAC vs LAL - Q1 02:22.00")</f>
        <v>LAC vs LAL - Q1 02:22.00</v>
      </c>
      <c r="M1811">
        <v>24.72</v>
      </c>
      <c r="N1811">
        <v>87.7</v>
      </c>
      <c r="O1811">
        <v>97.79</v>
      </c>
      <c r="P1811">
        <v>239</v>
      </c>
      <c r="Q1811">
        <v>63</v>
      </c>
      <c r="R1811">
        <v>87</v>
      </c>
      <c r="S1811">
        <v>97</v>
      </c>
    </row>
    <row r="1812" spans="1:19" hidden="1" x14ac:dyDescent="0.25">
      <c r="A1812">
        <v>42000171</v>
      </c>
      <c r="B1812" t="s">
        <v>26</v>
      </c>
      <c r="C1812" t="s">
        <v>19</v>
      </c>
      <c r="D1812">
        <v>22</v>
      </c>
      <c r="E1812">
        <v>27</v>
      </c>
      <c r="F1812">
        <v>5</v>
      </c>
      <c r="G1812">
        <v>1</v>
      </c>
      <c r="H1812" s="1">
        <v>2.1643518518518518E-3</v>
      </c>
      <c r="I1812" t="s">
        <v>91</v>
      </c>
      <c r="J1812" t="s">
        <v>83</v>
      </c>
      <c r="K1812" s="2" t="str">
        <f>HYPERLINK("https://www.nba.com/stats/events?CFID=&amp;CFPARAMS=&amp;GameEventID=116&amp;GameID=0042000171&amp;Season=2020-21&amp;flag=1&amp;title=Leonard%2024'%203PT%20%20(9%20PTS)%20(P.%20George%201%20AST)", "24' 3PT  (9 PTS) (P. George 1 AST)")</f>
        <v>24' 3PT  (9 PTS) (P. George 1 AST)</v>
      </c>
      <c r="L1812" s="2" t="str">
        <f>HYPERLINK("https://www.nba.com/game/...-vs-...-0042000171/play-by-play?watchFullGame=true", "LAC vs DAL - Q1 03:07.00")</f>
        <v>LAC vs DAL - Q1 03:07.00</v>
      </c>
      <c r="M1812">
        <v>24.08</v>
      </c>
      <c r="N1812">
        <v>87.07</v>
      </c>
      <c r="O1812">
        <v>96.15</v>
      </c>
      <c r="P1812">
        <v>87</v>
      </c>
      <c r="Q1812">
        <v>96</v>
      </c>
      <c r="R1812">
        <v>87</v>
      </c>
      <c r="S1812">
        <v>96</v>
      </c>
    </row>
    <row r="1813" spans="1:19" hidden="1" x14ac:dyDescent="0.25">
      <c r="A1813">
        <v>22400874</v>
      </c>
      <c r="B1813" t="s">
        <v>26</v>
      </c>
      <c r="C1813" t="s">
        <v>19</v>
      </c>
      <c r="D1813">
        <v>9</v>
      </c>
      <c r="E1813">
        <v>15</v>
      </c>
      <c r="F1813">
        <v>6</v>
      </c>
      <c r="G1813">
        <v>1</v>
      </c>
      <c r="H1813" s="1">
        <v>4.8148148148148152E-3</v>
      </c>
      <c r="I1813">
        <v>2024</v>
      </c>
      <c r="J1813" t="s">
        <v>83</v>
      </c>
      <c r="K1813" s="2" t="str">
        <f>HYPERLINK("https://www.nba.com/stats/events?CFID=&amp;CFPARAMS=&amp;GameEventID=59&amp;GameID=0022400874&amp;Season=2024-25&amp;flag=1&amp;title=Leonard%203PT%20%20(3%20PTS)%20(Dunn%201%20AST)", "3PT  (3 PTS) (K. Dunn 1 AST)")</f>
        <v>3PT  (3 PTS) (K. Dunn 1 AST)</v>
      </c>
      <c r="L1813" s="2" t="str">
        <f>HYPERLINK("https://www.nba.com/game/...-vs-...-0022400874/play-by-play?watchFullGame=true", "LAC vs LAL - Q1 06:56.00")</f>
        <v>LAC vs LAL - Q1 06:56.00</v>
      </c>
      <c r="M1813">
        <v>23.45</v>
      </c>
      <c r="N1813">
        <v>87.57</v>
      </c>
      <c r="O1813">
        <v>4.9000000000000004</v>
      </c>
      <c r="P1813">
        <v>-225</v>
      </c>
      <c r="Q1813">
        <v>64</v>
      </c>
      <c r="R1813">
        <v>87</v>
      </c>
      <c r="S1813">
        <v>4</v>
      </c>
    </row>
    <row r="1814" spans="1:19" hidden="1" x14ac:dyDescent="0.25">
      <c r="A1814">
        <v>22000366</v>
      </c>
      <c r="B1814" t="s">
        <v>18</v>
      </c>
      <c r="C1814" t="s">
        <v>19</v>
      </c>
      <c r="D1814">
        <v>47</v>
      </c>
      <c r="E1814">
        <v>45</v>
      </c>
      <c r="F1814">
        <v>2</v>
      </c>
      <c r="G1814">
        <v>2</v>
      </c>
      <c r="H1814" s="1">
        <v>2.1643518518518518E-3</v>
      </c>
      <c r="I1814">
        <v>2020</v>
      </c>
      <c r="J1814" t="s">
        <v>83</v>
      </c>
      <c r="K1814" s="2" t="str">
        <f>HYPERLINK("https://www.nba.com/stats/events?CFID=&amp;CFPARAMS=&amp;GameEventID=274&amp;GameID=0022000366&amp;Season=2020-21&amp;flag=1&amp;title=Leonard%2016'%20Jump%20Shot%20(6%20PTS)", "16' Jump Shot (6 PTS)")</f>
        <v>16' Jump Shot (6 PTS)</v>
      </c>
      <c r="L1814" s="2" t="str">
        <f>HYPERLINK("https://www.nba.com/game/...-vs-...-0022000366/play-by-play?watchFullGame=true", "LAC vs SAC - Q2 03:07.00")</f>
        <v>LAC vs SAC - Q2 03:07.00</v>
      </c>
      <c r="M1814">
        <v>16.89</v>
      </c>
      <c r="N1814">
        <v>87.34</v>
      </c>
      <c r="O1814">
        <v>18.940000000000001</v>
      </c>
      <c r="P1814">
        <v>-155</v>
      </c>
      <c r="Q1814">
        <v>67</v>
      </c>
      <c r="R1814">
        <v>87</v>
      </c>
      <c r="S1814">
        <v>18</v>
      </c>
    </row>
    <row r="1815" spans="1:19" hidden="1" x14ac:dyDescent="0.25">
      <c r="A1815">
        <v>41900156</v>
      </c>
      <c r="B1815" t="s">
        <v>18</v>
      </c>
      <c r="C1815" t="s">
        <v>84</v>
      </c>
      <c r="D1815">
        <v>97</v>
      </c>
      <c r="E1815">
        <v>87</v>
      </c>
      <c r="F1815">
        <v>10</v>
      </c>
      <c r="G1815">
        <v>4</v>
      </c>
      <c r="H1815" s="1">
        <v>4.7800925925925927E-3</v>
      </c>
      <c r="I1815" t="s">
        <v>86</v>
      </c>
      <c r="J1815" t="s">
        <v>83</v>
      </c>
      <c r="K1815" s="2" t="str">
        <f>HYPERLINK("https://www.nba.com/stats/events?CFID=&amp;CFPARAMS=&amp;GameEventID=543&amp;GameID=0041900156&amp;Season=2019-20&amp;flag=1&amp;title=Leonard%2016'%20jumpshot%20(31%20PTS)", "16' jumpshot (31 PTS)")</f>
        <v>16' jumpshot (31 PTS)</v>
      </c>
      <c r="L1815" s="2" t="str">
        <f>HYPERLINK("https://www.nba.com/game/...-vs-...-0041900156/play-by-play?watchFullGame=true", "LAC vs DAL - Q4 06:53.00")</f>
        <v>LAC vs DAL - Q4 06:53.00</v>
      </c>
      <c r="M1815">
        <v>15.75</v>
      </c>
      <c r="N1815">
        <v>87.6</v>
      </c>
      <c r="O1815">
        <v>78.260000000000005</v>
      </c>
      <c r="P1815">
        <v>141</v>
      </c>
      <c r="Q1815">
        <v>64</v>
      </c>
      <c r="R1815">
        <v>87</v>
      </c>
      <c r="S1815">
        <v>78</v>
      </c>
    </row>
    <row r="1816" spans="1:19" hidden="1" x14ac:dyDescent="0.25">
      <c r="A1816">
        <v>22300257</v>
      </c>
      <c r="B1816" t="s">
        <v>26</v>
      </c>
      <c r="C1816" t="s">
        <v>19</v>
      </c>
      <c r="D1816">
        <v>47</v>
      </c>
      <c r="E1816">
        <v>47</v>
      </c>
      <c r="F1816">
        <v>0</v>
      </c>
      <c r="G1816">
        <v>2</v>
      </c>
      <c r="H1816" s="1">
        <v>3.2291666666666666E-3</v>
      </c>
      <c r="I1816">
        <v>2023</v>
      </c>
      <c r="J1816" t="s">
        <v>83</v>
      </c>
      <c r="K1816" s="2" t="str">
        <f>HYPERLINK("https://www.nba.com/stats/events?CFID=&amp;CFPARAMS=&amp;GameEventID=272&amp;GameID=0022300257&amp;Season=2023-24&amp;flag=1&amp;title=Leonard%203PT%20%20(12%20PTS)%20(P.%20George%203%20AST)", "3PT  (12 PTS) (P. George 3 AST)")</f>
        <v>3PT  (12 PTS) (P. George 3 AST)</v>
      </c>
      <c r="L1816" s="2" t="str">
        <f>HYPERLINK("https://www.nba.com/game/...-vs-...-0022300257/play-by-play?watchFullGame=true", "LAC vs DEN - Q2 04:39.00")</f>
        <v>LAC vs DEN - Q2 04:39.00</v>
      </c>
      <c r="M1816">
        <v>23.94</v>
      </c>
      <c r="N1816">
        <v>87.96</v>
      </c>
      <c r="O1816">
        <v>96.32</v>
      </c>
      <c r="P1816">
        <v>232</v>
      </c>
      <c r="Q1816">
        <v>61</v>
      </c>
      <c r="R1816">
        <v>87</v>
      </c>
      <c r="S1816">
        <v>96</v>
      </c>
    </row>
    <row r="1817" spans="1:19" hidden="1" x14ac:dyDescent="0.25">
      <c r="A1817">
        <v>21900068</v>
      </c>
      <c r="B1817" t="s">
        <v>18</v>
      </c>
      <c r="C1817" t="s">
        <v>84</v>
      </c>
      <c r="D1817">
        <v>82</v>
      </c>
      <c r="E1817">
        <v>75</v>
      </c>
      <c r="F1817">
        <v>7</v>
      </c>
      <c r="G1817">
        <v>4</v>
      </c>
      <c r="H1817" s="1">
        <v>8.0902777777777778E-3</v>
      </c>
      <c r="I1817">
        <v>2019</v>
      </c>
      <c r="J1817" t="s">
        <v>83</v>
      </c>
      <c r="K1817" s="2" t="str">
        <f>HYPERLINK("https://www.nba.com/stats/events?CFID=&amp;CFPARAMS=&amp;GameEventID=540&amp;GameID=0021900068&amp;Season=2019-20&amp;flag=1&amp;title=[LAC]%20Leonard%20jumpshot:%20Made%20(25%20PTS)", "[LAC] Leonard jumpshot: Made (25 PTS)")</f>
        <v>[LAC] Leonard jumpshot: Made (25 PTS)</v>
      </c>
      <c r="L1817" s="2" t="str">
        <f>HYPERLINK("https://www.nba.com/game/...-vs-...-0021900068/play-by-play?watchFullGame=true", "LAC vs SAS - Q4 11:39.00")</f>
        <v>LAC vs SAS - Q4 11:39.00</v>
      </c>
      <c r="M1817">
        <v>14.96</v>
      </c>
      <c r="N1817">
        <v>87.17</v>
      </c>
      <c r="O1817">
        <v>23.95</v>
      </c>
      <c r="P1817">
        <v>-130</v>
      </c>
      <c r="Q1817">
        <v>68</v>
      </c>
      <c r="R1817">
        <v>87</v>
      </c>
      <c r="S1817">
        <v>23</v>
      </c>
    </row>
    <row r="1818" spans="1:19" hidden="1" x14ac:dyDescent="0.25">
      <c r="A1818">
        <v>21900157</v>
      </c>
      <c r="B1818" t="s">
        <v>18</v>
      </c>
      <c r="C1818" t="s">
        <v>84</v>
      </c>
      <c r="D1818">
        <v>19</v>
      </c>
      <c r="E1818">
        <v>31</v>
      </c>
      <c r="F1818">
        <v>12</v>
      </c>
      <c r="G1818">
        <v>2</v>
      </c>
      <c r="H1818" s="1">
        <v>7.6273148148148151E-3</v>
      </c>
      <c r="I1818">
        <v>2019</v>
      </c>
      <c r="J1818" t="s">
        <v>83</v>
      </c>
      <c r="K1818" s="2" t="str">
        <f>HYPERLINK("https://www.nba.com/stats/events?CFID=&amp;CFPARAMS=&amp;GameEventID=199&amp;GameID=0021900157&amp;Season=2019-20&amp;flag=1&amp;title=Leonard%2015'%20jumpshot%20(9%20PTS)", "15' jumpshot (9 PTS)")</f>
        <v>15' jumpshot (9 PTS)</v>
      </c>
      <c r="L1818" s="2" t="str">
        <f>HYPERLINK("https://www.nba.com/game/...-vs-...-0021900157/play-by-play?watchFullGame=true", "LAC vs HOU - Q2 10:59.00")</f>
        <v>LAC vs HOU - Q2 10:59.00</v>
      </c>
      <c r="M1818">
        <v>14.95</v>
      </c>
      <c r="N1818">
        <v>87.3</v>
      </c>
      <c r="O1818">
        <v>76.16</v>
      </c>
      <c r="P1818">
        <v>131</v>
      </c>
      <c r="Q1818">
        <v>67</v>
      </c>
      <c r="R1818">
        <v>87</v>
      </c>
      <c r="S1818">
        <v>76</v>
      </c>
    </row>
    <row r="1819" spans="1:19" hidden="1" x14ac:dyDescent="0.25">
      <c r="A1819">
        <v>42200171</v>
      </c>
      <c r="B1819" t="s">
        <v>18</v>
      </c>
      <c r="C1819" t="s">
        <v>19</v>
      </c>
      <c r="D1819">
        <v>18</v>
      </c>
      <c r="E1819">
        <v>12</v>
      </c>
      <c r="F1819">
        <v>6</v>
      </c>
      <c r="G1819">
        <v>1</v>
      </c>
      <c r="H1819" s="1">
        <v>3.7268518518518519E-3</v>
      </c>
      <c r="I1819" t="s">
        <v>96</v>
      </c>
      <c r="J1819" t="s">
        <v>83</v>
      </c>
      <c r="K1819" s="2" t="str">
        <f>HYPERLINK("https://www.nba.com/stats/events?CFID=&amp;CFPARAMS=&amp;GameEventID=66&amp;GameID=0042200171&amp;Season=2022-23&amp;flag=1&amp;title=Leonard%2013'%20turnaround%20fadeaway%20Jump%20Shot%20(5%20PTS)", "13' turnaround fadeaway Jump Shot (5 PTS)")</f>
        <v>13' turnaround fadeaway Jump Shot (5 PTS)</v>
      </c>
      <c r="L1819" s="2" t="str">
        <f>HYPERLINK("https://www.nba.com/game/...-vs-...-0042200171/play-by-play?watchFullGame=true", "LAC vs PHX - Q1 05:22.00")</f>
        <v>LAC vs PHX - Q1 05:22.00</v>
      </c>
      <c r="M1819">
        <v>13.17</v>
      </c>
      <c r="N1819">
        <v>87.86</v>
      </c>
      <c r="O1819">
        <v>73.28</v>
      </c>
      <c r="P1819">
        <v>87</v>
      </c>
      <c r="Q1819">
        <v>73</v>
      </c>
      <c r="R1819">
        <v>87</v>
      </c>
      <c r="S1819">
        <v>73</v>
      </c>
    </row>
    <row r="1820" spans="1:19" hidden="1" x14ac:dyDescent="0.25">
      <c r="A1820">
        <v>22200810</v>
      </c>
      <c r="B1820" t="s">
        <v>18</v>
      </c>
      <c r="C1820" t="s">
        <v>19</v>
      </c>
      <c r="D1820">
        <v>12</v>
      </c>
      <c r="E1820">
        <v>17</v>
      </c>
      <c r="F1820">
        <v>5</v>
      </c>
      <c r="G1820">
        <v>1</v>
      </c>
      <c r="H1820" s="1">
        <v>4.2245370370370371E-3</v>
      </c>
      <c r="I1820">
        <v>2022</v>
      </c>
      <c r="J1820" t="s">
        <v>83</v>
      </c>
      <c r="K1820" s="2" t="str">
        <f>HYPERLINK("https://www.nba.com/stats/events?CFID=&amp;CFPARAMS=&amp;GameEventID=51&amp;GameID=0022200810&amp;Season=2022-23&amp;flag=1&amp;title=Leonard%2011'%20fadeaway%20Jump%20Shot%20(5%20PTS)%20(P.%20George%202%20AST)", "11' fadeaway Jump Shot (5 PTS) (P. George 2 AST)")</f>
        <v>11' fadeaway Jump Shot (5 PTS) (P. George 2 AST)</v>
      </c>
      <c r="L1820" s="2" t="str">
        <f>HYPERLINK("https://www.nba.com/game/...-vs-...-0022200810/play-by-play?watchFullGame=true", "LAC vs BKN - Q1 06:05.00")</f>
        <v>LAC vs BKN - Q1 06:05.00</v>
      </c>
      <c r="M1820">
        <v>11.79</v>
      </c>
      <c r="N1820">
        <v>87.07</v>
      </c>
      <c r="O1820">
        <v>30.88</v>
      </c>
      <c r="P1820">
        <v>-96</v>
      </c>
      <c r="Q1820">
        <v>69</v>
      </c>
      <c r="R1820">
        <v>87</v>
      </c>
      <c r="S1820">
        <v>30</v>
      </c>
    </row>
    <row r="1821" spans="1:19" hidden="1" x14ac:dyDescent="0.25">
      <c r="A1821">
        <v>22300037</v>
      </c>
      <c r="B1821" t="s">
        <v>18</v>
      </c>
      <c r="C1821" t="s">
        <v>19</v>
      </c>
      <c r="D1821">
        <v>89</v>
      </c>
      <c r="E1821">
        <v>92</v>
      </c>
      <c r="F1821">
        <v>3</v>
      </c>
      <c r="G1821">
        <v>4</v>
      </c>
      <c r="H1821" s="1">
        <v>5.092592592592593E-3</v>
      </c>
      <c r="I1821">
        <v>2023</v>
      </c>
      <c r="J1821" t="s">
        <v>83</v>
      </c>
      <c r="K1821" s="2" t="str">
        <f>HYPERLINK("https://www.nba.com/stats/events?CFID=&amp;CFPARAMS=&amp;GameEventID=593&amp;GameID=0022300037&amp;Season=2023-24&amp;flag=1&amp;title=Leonard%2010'%20turnaround%20fadeaway%20Jump%20Shot%20(24%20PTS)", "10' turnaround fadeaway Jump Shot (24 PTS)")</f>
        <v>10' turnaround fadeaway Jump Shot (24 PTS)</v>
      </c>
      <c r="L1821" s="2" t="str">
        <f>HYPERLINK("https://www.nba.com/game/...-vs-...-0022300037/play-by-play?watchFullGame=true", "LAC vs HOU - Q4 07:20.00")</f>
        <v>LAC vs HOU - Q4 07:20.00</v>
      </c>
      <c r="M1821">
        <v>10.48</v>
      </c>
      <c r="N1821">
        <v>87.17</v>
      </c>
      <c r="O1821">
        <v>34.07</v>
      </c>
      <c r="P1821">
        <v>-80</v>
      </c>
      <c r="Q1821">
        <v>68</v>
      </c>
      <c r="R1821">
        <v>87</v>
      </c>
      <c r="S1821">
        <v>34</v>
      </c>
    </row>
    <row r="1822" spans="1:19" hidden="1" x14ac:dyDescent="0.25">
      <c r="A1822">
        <v>22200438</v>
      </c>
      <c r="B1822" t="s">
        <v>18</v>
      </c>
      <c r="C1822" t="s">
        <v>19</v>
      </c>
      <c r="D1822">
        <v>92</v>
      </c>
      <c r="E1822">
        <v>87</v>
      </c>
      <c r="F1822">
        <v>5</v>
      </c>
      <c r="G1822">
        <v>4</v>
      </c>
      <c r="H1822" s="1">
        <v>2.4537037037037036E-3</v>
      </c>
      <c r="I1822">
        <v>2022</v>
      </c>
      <c r="J1822" t="s">
        <v>83</v>
      </c>
      <c r="K1822" s="2" t="str">
        <f>HYPERLINK("https://www.nba.com/stats/events?CFID=&amp;CFPARAMS=&amp;GameEventID=581&amp;GameID=0022200438&amp;Season=2022-23&amp;flag=1&amp;title=Leonard%209'%20pullup%20Jump%20Shot%20(25%20PTS)", "9' pullup Jump Shot (25 PTS)")</f>
        <v>9' pullup Jump Shot (25 PTS)</v>
      </c>
      <c r="L1822" s="2" t="str">
        <f>HYPERLINK("https://www.nba.com/game/...-vs-...-0022200438/play-by-play?watchFullGame=true", "LAC vs WAS - Q4 03:32.00")</f>
        <v>LAC vs WAS - Q4 03:32.00</v>
      </c>
      <c r="M1822">
        <v>9.52</v>
      </c>
      <c r="N1822">
        <v>87.83</v>
      </c>
      <c r="O1822">
        <v>64.459999999999994</v>
      </c>
      <c r="P1822">
        <v>72</v>
      </c>
      <c r="Q1822">
        <v>62</v>
      </c>
      <c r="R1822">
        <v>87</v>
      </c>
      <c r="S1822">
        <v>64</v>
      </c>
    </row>
    <row r="1823" spans="1:19" hidden="1" x14ac:dyDescent="0.25">
      <c r="A1823">
        <v>41900153</v>
      </c>
      <c r="B1823" t="s">
        <v>18</v>
      </c>
      <c r="C1823" t="s">
        <v>84</v>
      </c>
      <c r="D1823">
        <v>80</v>
      </c>
      <c r="E1823">
        <v>68</v>
      </c>
      <c r="F1823">
        <v>12</v>
      </c>
      <c r="G1823">
        <v>3</v>
      </c>
      <c r="H1823" s="1">
        <v>3.4837962962962965E-3</v>
      </c>
      <c r="I1823" t="s">
        <v>86</v>
      </c>
      <c r="J1823" t="s">
        <v>83</v>
      </c>
      <c r="K1823" s="2" t="str">
        <f>HYPERLINK("https://www.nba.com/stats/events?CFID=&amp;CFPARAMS=&amp;GameEventID=419&amp;GameID=0041900153&amp;Season=2019-20&amp;flag=1&amp;title=Leonard%209'%20jumpshot%20(20%20PTS)", "9' jumpshot (20 PTS)")</f>
        <v>9' jumpshot (20 PTS)</v>
      </c>
      <c r="L1823" s="2" t="str">
        <f>HYPERLINK("https://www.nba.com/game/...-vs-...-0041900153/play-by-play?watchFullGame=true", "LAC vs DAL - Q3 05:01.00")</f>
        <v>LAC vs DAL - Q3 05:01.00</v>
      </c>
      <c r="M1823">
        <v>8.7100000000000009</v>
      </c>
      <c r="N1823">
        <v>87.6</v>
      </c>
      <c r="O1823">
        <v>39.53</v>
      </c>
      <c r="P1823">
        <v>-52</v>
      </c>
      <c r="Q1823">
        <v>64</v>
      </c>
      <c r="R1823">
        <v>87</v>
      </c>
      <c r="S1823">
        <v>39</v>
      </c>
    </row>
    <row r="1824" spans="1:19" hidden="1" x14ac:dyDescent="0.25">
      <c r="A1824">
        <v>22000788</v>
      </c>
      <c r="B1824" t="s">
        <v>18</v>
      </c>
      <c r="C1824" t="s">
        <v>19</v>
      </c>
      <c r="D1824">
        <v>56</v>
      </c>
      <c r="E1824">
        <v>56</v>
      </c>
      <c r="F1824">
        <v>0</v>
      </c>
      <c r="G1824">
        <v>3</v>
      </c>
      <c r="H1824" s="1">
        <v>8.1481481481481474E-3</v>
      </c>
      <c r="I1824">
        <v>2020</v>
      </c>
      <c r="J1824" t="s">
        <v>83</v>
      </c>
      <c r="K1824" s="2" t="str">
        <f>HYPERLINK("https://www.nba.com/stats/events?CFID=&amp;CFPARAMS=&amp;GameEventID=284&amp;GameID=0022000788&amp;Season=2020-21&amp;flag=1&amp;title=Leonard%208'%20pullup%20Jump%20Shot%20(10%20PTS)%20(P.%20George%202%20AST)", "8' pullup Jump Shot (10 PTS) (P. George 2 AST)")</f>
        <v>8' pullup Jump Shot (10 PTS) (P. George 2 AST)</v>
      </c>
      <c r="L1824" s="2" t="str">
        <f>HYPERLINK("https://www.nba.com/game/...-vs-...-0022000788/play-by-play?watchFullGame=true", "LAC vs PHX - Q3 11:44.00")</f>
        <v>LAC vs PHX - Q3 11:44.00</v>
      </c>
      <c r="M1824">
        <v>8.61</v>
      </c>
      <c r="N1824">
        <v>87.2</v>
      </c>
      <c r="O1824">
        <v>60.61</v>
      </c>
      <c r="P1824">
        <v>53</v>
      </c>
      <c r="Q1824">
        <v>68</v>
      </c>
      <c r="R1824">
        <v>87</v>
      </c>
      <c r="S1824">
        <v>60</v>
      </c>
    </row>
    <row r="1825" spans="1:19" hidden="1" x14ac:dyDescent="0.25">
      <c r="A1825">
        <v>22001019</v>
      </c>
      <c r="B1825" t="s">
        <v>18</v>
      </c>
      <c r="C1825" t="s">
        <v>19</v>
      </c>
      <c r="D1825">
        <v>19</v>
      </c>
      <c r="E1825">
        <v>18</v>
      </c>
      <c r="F1825">
        <v>1</v>
      </c>
      <c r="G1825">
        <v>1</v>
      </c>
      <c r="H1825" s="1">
        <v>1.6666666666666668E-3</v>
      </c>
      <c r="I1825">
        <v>2020</v>
      </c>
      <c r="J1825" t="s">
        <v>83</v>
      </c>
      <c r="K1825" s="2" t="str">
        <f>HYPERLINK("https://www.nba.com/stats/events?CFID=&amp;CFPARAMS=&amp;GameEventID=104&amp;GameID=0022001019&amp;Season=2020-21&amp;flag=1&amp;title=Leonard%208'%20turnaround%20Jump%20Shot%20(9%20PTS)", "8' turnaround Jump Shot (9 PTS)")</f>
        <v>8' turnaround Jump Shot (9 PTS)</v>
      </c>
      <c r="L1825" s="2" t="str">
        <f>HYPERLINK("https://www.nba.com/game/...-vs-...-0022001019/play-by-play?watchFullGame=true", "LAC vs NYK - Q1 02:24.00")</f>
        <v>LAC vs NYK - Q1 02:24.00</v>
      </c>
      <c r="M1825">
        <v>8.1999999999999993</v>
      </c>
      <c r="N1825">
        <v>87.99</v>
      </c>
      <c r="O1825">
        <v>61.1</v>
      </c>
      <c r="P1825">
        <v>55</v>
      </c>
      <c r="Q1825">
        <v>60</v>
      </c>
      <c r="R1825">
        <v>87</v>
      </c>
      <c r="S1825">
        <v>61</v>
      </c>
    </row>
    <row r="1826" spans="1:19" hidden="1" x14ac:dyDescent="0.25">
      <c r="A1826">
        <v>22300873</v>
      </c>
      <c r="B1826" t="s">
        <v>18</v>
      </c>
      <c r="C1826" t="s">
        <v>19</v>
      </c>
      <c r="D1826">
        <v>55</v>
      </c>
      <c r="E1826">
        <v>54</v>
      </c>
      <c r="F1826">
        <v>1</v>
      </c>
      <c r="G1826">
        <v>3</v>
      </c>
      <c r="H1826" s="1">
        <v>5.5324074074074078E-3</v>
      </c>
      <c r="I1826">
        <v>2023</v>
      </c>
      <c r="J1826" t="s">
        <v>83</v>
      </c>
      <c r="K1826" s="2" t="str">
        <f>HYPERLINK("https://www.nba.com/stats/events?CFID=&amp;CFPARAMS=&amp;GameEventID=314&amp;GameID=0022300873&amp;Season=2023-24&amp;flag=1&amp;title=Leonard%207'%20driving%20floating%20bank%20Jump%20Shot%20(19%20PTS)%20(I.%20Zubac%201%20AST)", "7' driving floating bank Jump Shot (19 PTS) (I. Zubac 1 AST)")</f>
        <v>7' driving floating bank Jump Shot (19 PTS) (I. Zubac 1 AST)</v>
      </c>
      <c r="L1826" s="2" t="str">
        <f>HYPERLINK("https://www.nba.com/game/...-vs-...-0022300873/play-by-play?watchFullGame=true", "LAC vs MIN - Q3 07:58.00")</f>
        <v>LAC vs MIN - Q3 07:58.00</v>
      </c>
      <c r="M1826">
        <v>7.88</v>
      </c>
      <c r="N1826">
        <v>87.07</v>
      </c>
      <c r="O1826">
        <v>57.6</v>
      </c>
      <c r="P1826">
        <v>38</v>
      </c>
      <c r="Q1826">
        <v>69</v>
      </c>
      <c r="R1826">
        <v>87</v>
      </c>
      <c r="S1826">
        <v>57</v>
      </c>
    </row>
    <row r="1827" spans="1:19" hidden="1" x14ac:dyDescent="0.25">
      <c r="A1827">
        <v>21900603</v>
      </c>
      <c r="B1827" t="s">
        <v>18</v>
      </c>
      <c r="C1827" t="s">
        <v>84</v>
      </c>
      <c r="D1827">
        <v>76</v>
      </c>
      <c r="E1827">
        <v>59</v>
      </c>
      <c r="F1827">
        <v>17</v>
      </c>
      <c r="G1827">
        <v>3</v>
      </c>
      <c r="H1827" s="1">
        <v>6.3541666666666668E-3</v>
      </c>
      <c r="I1827">
        <v>2019</v>
      </c>
      <c r="J1827" t="s">
        <v>83</v>
      </c>
      <c r="K1827" s="2" t="str">
        <f>HYPERLINK("https://www.nba.com/stats/events?CFID=&amp;CFPARAMS=&amp;GameEventID=345&amp;GameID=0021900603&amp;Season=2019-20&amp;flag=1&amp;title=Leonard%208'%20jumpshot%20(32%20PTS)", "8' jumpshot (32 PTS)")</f>
        <v>8' jumpshot (32 PTS)</v>
      </c>
      <c r="L1827" s="2" t="str">
        <f>HYPERLINK("https://www.nba.com/game/...-vs-...-0021900603/play-by-play?watchFullGame=true", "LAC vs CLE - Q3 09:09.00")</f>
        <v>LAC vs CLE - Q3 09:09.00</v>
      </c>
      <c r="M1827">
        <v>7.86</v>
      </c>
      <c r="N1827">
        <v>87.43</v>
      </c>
      <c r="O1827">
        <v>43.31</v>
      </c>
      <c r="P1827">
        <v>-33</v>
      </c>
      <c r="Q1827">
        <v>66</v>
      </c>
      <c r="R1827">
        <v>87</v>
      </c>
      <c r="S1827">
        <v>43</v>
      </c>
    </row>
    <row r="1828" spans="1:19" hidden="1" x14ac:dyDescent="0.25">
      <c r="A1828">
        <v>21900618</v>
      </c>
      <c r="B1828" t="s">
        <v>18</v>
      </c>
      <c r="C1828" t="s">
        <v>84</v>
      </c>
      <c r="D1828">
        <v>9</v>
      </c>
      <c r="E1828">
        <v>7</v>
      </c>
      <c r="F1828">
        <v>2</v>
      </c>
      <c r="G1828">
        <v>1</v>
      </c>
      <c r="H1828" s="1">
        <v>6.8865740740740745E-3</v>
      </c>
      <c r="I1828">
        <v>2019</v>
      </c>
      <c r="J1828" t="s">
        <v>83</v>
      </c>
      <c r="K1828" s="2" t="str">
        <f>HYPERLINK("https://www.nba.com/stats/events?CFID=&amp;CFPARAMS=&amp;GameEventID=20&amp;GameID=0021900618&amp;Season=2019-20&amp;flag=1&amp;title=Leonard%207'%20jumpshot%20(4%20PTS)", "7' jumpshot (4 PTS)")</f>
        <v>7' jumpshot (4 PTS)</v>
      </c>
      <c r="L1828" s="2" t="str">
        <f>HYPERLINK("https://www.nba.com/game/...-vs-...-0021900618/play-by-play?watchFullGame=true", "LAC vs ORL - Q1 09:55.00")</f>
        <v>LAC vs ORL - Q1 09:55.00</v>
      </c>
      <c r="M1828">
        <v>7.36</v>
      </c>
      <c r="N1828">
        <v>87.17</v>
      </c>
      <c r="O1828">
        <v>49.69</v>
      </c>
      <c r="P1828">
        <v>-2</v>
      </c>
      <c r="Q1828">
        <v>68</v>
      </c>
      <c r="R1828">
        <v>87</v>
      </c>
      <c r="S1828">
        <v>49</v>
      </c>
    </row>
    <row r="1829" spans="1:19" hidden="1" x14ac:dyDescent="0.25">
      <c r="A1829">
        <v>22200438</v>
      </c>
      <c r="B1829" t="s">
        <v>18</v>
      </c>
      <c r="C1829" t="s">
        <v>19</v>
      </c>
      <c r="D1829">
        <v>98</v>
      </c>
      <c r="E1829">
        <v>89</v>
      </c>
      <c r="F1829">
        <v>9</v>
      </c>
      <c r="G1829">
        <v>4</v>
      </c>
      <c r="H1829" s="1">
        <v>1.3888888888888889E-3</v>
      </c>
      <c r="I1829">
        <v>2022</v>
      </c>
      <c r="J1829" t="s">
        <v>83</v>
      </c>
      <c r="K1829" s="2" t="str">
        <f>HYPERLINK("https://www.nba.com/stats/events?CFID=&amp;CFPARAMS=&amp;GameEventID=593&amp;GameID=0022200438&amp;Season=2022-23&amp;flag=1&amp;title=Leonard%207'%20floating%20Jump%20Shot%20(31%20PTS)", "7' floating Jump Shot (31 PTS)")</f>
        <v>7' floating Jump Shot (31 PTS)</v>
      </c>
      <c r="L1829" s="2" t="str">
        <f>HYPERLINK("https://www.nba.com/game/...-vs-...-0022200438/play-by-play?watchFullGame=true", "LAC vs WAS - Q4 02:00.00")</f>
        <v>LAC vs WAS - Q4 02:00.00</v>
      </c>
      <c r="M1829">
        <v>7.33</v>
      </c>
      <c r="N1829">
        <v>87.17</v>
      </c>
      <c r="O1829">
        <v>44.61</v>
      </c>
      <c r="P1829">
        <v>-27</v>
      </c>
      <c r="Q1829">
        <v>68</v>
      </c>
      <c r="R1829">
        <v>87</v>
      </c>
      <c r="S1829">
        <v>44</v>
      </c>
    </row>
    <row r="1830" spans="1:19" hidden="1" x14ac:dyDescent="0.25">
      <c r="A1830">
        <v>22200918</v>
      </c>
      <c r="B1830" t="s">
        <v>18</v>
      </c>
      <c r="C1830" t="s">
        <v>19</v>
      </c>
      <c r="D1830">
        <v>44</v>
      </c>
      <c r="E1830">
        <v>57</v>
      </c>
      <c r="F1830">
        <v>13</v>
      </c>
      <c r="G1830">
        <v>2</v>
      </c>
      <c r="H1830" s="1">
        <v>2.662037037037037E-3</v>
      </c>
      <c r="I1830">
        <v>2022</v>
      </c>
      <c r="J1830" t="s">
        <v>83</v>
      </c>
      <c r="K1830" s="2" t="str">
        <f>HYPERLINK("https://www.nba.com/stats/events?CFID=&amp;CFPARAMS=&amp;GameEventID=253&amp;GameID=0022200918&amp;Season=2022-23&amp;flag=1&amp;title=Leonard%207'%20driving%20floating%20Jump%20Shot%20(9%20PTS)%20(P.%20George%202%20AST)", "7' driving floating Jump Shot (9 PTS) (P. George 2 AST)")</f>
        <v>7' driving floating Jump Shot (9 PTS) (P. George 2 AST)</v>
      </c>
      <c r="L1830" s="2" t="str">
        <f>HYPERLINK("https://www.nba.com/game/...-vs-...-0022200918/play-by-play?watchFullGame=true", "LAC vs DEN - Q2 03:50.00")</f>
        <v>LAC vs DEN - Q2 03:50.00</v>
      </c>
      <c r="M1830">
        <v>7.11</v>
      </c>
      <c r="N1830">
        <v>87.07</v>
      </c>
      <c r="O1830">
        <v>46.57</v>
      </c>
      <c r="P1830">
        <v>-17</v>
      </c>
      <c r="Q1830">
        <v>69</v>
      </c>
      <c r="R1830">
        <v>87</v>
      </c>
      <c r="S1830">
        <v>46</v>
      </c>
    </row>
    <row r="1831" spans="1:19" hidden="1" x14ac:dyDescent="0.25">
      <c r="A1831">
        <v>22400943</v>
      </c>
      <c r="B1831" t="s">
        <v>18</v>
      </c>
      <c r="C1831" t="s">
        <v>87</v>
      </c>
      <c r="D1831">
        <v>11</v>
      </c>
      <c r="E1831">
        <v>17</v>
      </c>
      <c r="F1831">
        <v>6</v>
      </c>
      <c r="G1831">
        <v>1</v>
      </c>
      <c r="H1831" s="1">
        <v>4.4675925925925924E-3</v>
      </c>
      <c r="I1831">
        <v>2024</v>
      </c>
      <c r="J1831" t="s">
        <v>83</v>
      </c>
      <c r="K1831" s="2" t="str">
        <f>HYPERLINK("https://www.nba.com/stats/events?CFID=&amp;CFPARAMS=&amp;GameEventID=62&amp;GameID=0022400943&amp;Season=2024-25&amp;flag=1&amp;title=Leonard%207'%20driving%20finger%20roll%20Layup%20(7%20PTS)%20(I.%20Zubac%201%20AST)", "7' driving finger roll Layup (7 PTS) (I. Zubac 1 AST)")</f>
        <v>7' driving finger roll Layup (7 PTS) (I. Zubac 1 AST)</v>
      </c>
      <c r="L1831" s="2" t="str">
        <f>HYPERLINK("https://www.nba.com/game/...-vs-...-0022400943/play-by-play?watchFullGame=true", "LAC vs NOP - Q1 06:26.00")</f>
        <v>LAC vs NOP - Q1 06:26.00</v>
      </c>
      <c r="M1831">
        <v>7.09</v>
      </c>
      <c r="N1831">
        <v>87.34</v>
      </c>
      <c r="O1831">
        <v>45.1</v>
      </c>
      <c r="P1831">
        <v>-25</v>
      </c>
      <c r="Q1831">
        <v>67</v>
      </c>
      <c r="R1831">
        <v>87</v>
      </c>
      <c r="S1831">
        <v>45</v>
      </c>
    </row>
    <row r="1832" spans="1:19" hidden="1" x14ac:dyDescent="0.25">
      <c r="A1832">
        <v>22200423</v>
      </c>
      <c r="B1832" t="s">
        <v>18</v>
      </c>
      <c r="C1832" t="s">
        <v>89</v>
      </c>
      <c r="D1832">
        <v>4</v>
      </c>
      <c r="E1832">
        <v>7</v>
      </c>
      <c r="F1832">
        <v>3</v>
      </c>
      <c r="G1832">
        <v>1</v>
      </c>
      <c r="H1832" s="1">
        <v>6.1111111111111114E-3</v>
      </c>
      <c r="I1832">
        <v>2022</v>
      </c>
      <c r="J1832" t="s">
        <v>83</v>
      </c>
      <c r="K1832" s="2" t="str">
        <f>HYPERLINK("https://www.nba.com/stats/events?CFID=&amp;CFPARAMS=&amp;GameEventID=28&amp;GameID=0022200423&amp;Season=2022-23&amp;flag=1&amp;title=Leonard%206'%20driving%20Hook%20(4%20PTS)", "6' driving Hook (4 PTS)")</f>
        <v>6' driving Hook (4 PTS)</v>
      </c>
      <c r="L1832" s="2" t="str">
        <f>HYPERLINK("https://www.nba.com/game/...-vs-...-0022200423/play-by-play?watchFullGame=true", "LAC vs MIN - Q1 08:48.00")</f>
        <v>LAC vs MIN - Q1 08:48.00</v>
      </c>
      <c r="M1832">
        <v>6.98</v>
      </c>
      <c r="N1832">
        <v>87.04</v>
      </c>
      <c r="O1832">
        <v>48.28</v>
      </c>
      <c r="P1832">
        <v>-9</v>
      </c>
      <c r="Q1832">
        <v>69</v>
      </c>
      <c r="R1832">
        <v>87</v>
      </c>
      <c r="S1832">
        <v>48</v>
      </c>
    </row>
    <row r="1833" spans="1:19" hidden="1" x14ac:dyDescent="0.25">
      <c r="A1833">
        <v>21900458</v>
      </c>
      <c r="B1833" t="s">
        <v>18</v>
      </c>
      <c r="C1833" t="s">
        <v>84</v>
      </c>
      <c r="D1833">
        <v>96</v>
      </c>
      <c r="E1833">
        <v>101</v>
      </c>
      <c r="F1833">
        <v>5</v>
      </c>
      <c r="G1833">
        <v>4</v>
      </c>
      <c r="H1833" s="1">
        <v>4.43287037037037E-3</v>
      </c>
      <c r="I1833">
        <v>2019</v>
      </c>
      <c r="J1833" t="s">
        <v>83</v>
      </c>
      <c r="K1833" s="2" t="str">
        <f>HYPERLINK("https://www.nba.com/stats/events?CFID=&amp;CFPARAMS=&amp;GameEventID=618&amp;GameID=0021900458&amp;Season=2019-20&amp;flag=1&amp;title=Leonard%207'%20jumpshot%20(28%20PTS)", "7' jumpshot (28 PTS)")</f>
        <v>7' jumpshot (28 PTS)</v>
      </c>
      <c r="L1833" s="2" t="str">
        <f>HYPERLINK("https://www.nba.com/game/...-vs-...-0021900458/play-by-play?watchFullGame=true", "LAC vs LAL - Q4 06:23.00")</f>
        <v>LAC vs LAL - Q4 06:23.00</v>
      </c>
      <c r="M1833">
        <v>6.86</v>
      </c>
      <c r="N1833">
        <v>87.7</v>
      </c>
      <c r="O1833">
        <v>50.42</v>
      </c>
      <c r="P1833">
        <v>2</v>
      </c>
      <c r="Q1833">
        <v>63</v>
      </c>
      <c r="R1833">
        <v>87</v>
      </c>
      <c r="S1833">
        <v>50</v>
      </c>
    </row>
    <row r="1834" spans="1:19" hidden="1" x14ac:dyDescent="0.25">
      <c r="A1834">
        <v>22200509</v>
      </c>
      <c r="B1834" t="s">
        <v>18</v>
      </c>
      <c r="C1834" t="s">
        <v>89</v>
      </c>
      <c r="D1834">
        <v>15</v>
      </c>
      <c r="E1834">
        <v>10</v>
      </c>
      <c r="F1834">
        <v>5</v>
      </c>
      <c r="G1834">
        <v>1</v>
      </c>
      <c r="H1834" s="1">
        <v>4.4444444444444444E-3</v>
      </c>
      <c r="I1834">
        <v>2022</v>
      </c>
      <c r="J1834" t="s">
        <v>83</v>
      </c>
      <c r="K1834" s="2" t="str">
        <f>HYPERLINK("https://www.nba.com/stats/events?CFID=&amp;CFPARAMS=&amp;GameEventID=66&amp;GameID=0022200509&amp;Season=2022-23&amp;flag=1&amp;title=Leonard%206'%20driving%20Hook%20(2%20PTS)%20(P.%20George%201%20AST)", "6' driving Hook (2 PTS) (P. George 1 AST)")</f>
        <v>6' driving Hook (2 PTS) (P. George 1 AST)</v>
      </c>
      <c r="L1834" s="2" t="str">
        <f>HYPERLINK("https://www.nba.com/game/...-vs-...-0022200509/play-by-play?watchFullGame=true", "LAC vs TOR - Q1 06:24.00")</f>
        <v>LAC vs TOR - Q1 06:24.00</v>
      </c>
      <c r="M1834">
        <v>6.78</v>
      </c>
      <c r="N1834">
        <v>87.2</v>
      </c>
      <c r="O1834">
        <v>49.75</v>
      </c>
      <c r="P1834">
        <v>-1</v>
      </c>
      <c r="Q1834">
        <v>68</v>
      </c>
      <c r="R1834">
        <v>87</v>
      </c>
      <c r="S1834">
        <v>49</v>
      </c>
    </row>
    <row r="1835" spans="1:19" hidden="1" x14ac:dyDescent="0.25">
      <c r="A1835">
        <v>22300099</v>
      </c>
      <c r="B1835" t="s">
        <v>18</v>
      </c>
      <c r="C1835" t="s">
        <v>19</v>
      </c>
      <c r="D1835">
        <v>46</v>
      </c>
      <c r="E1835">
        <v>26</v>
      </c>
      <c r="F1835">
        <v>20</v>
      </c>
      <c r="G1835">
        <v>2</v>
      </c>
      <c r="H1835" s="1">
        <v>3.0902777777777777E-3</v>
      </c>
      <c r="I1835">
        <v>2023</v>
      </c>
      <c r="J1835" t="s">
        <v>83</v>
      </c>
      <c r="K1835" s="2" t="str">
        <f>HYPERLINK("https://www.nba.com/stats/events?CFID=&amp;CFPARAMS=&amp;GameEventID=287&amp;GameID=0022300099&amp;Season=2023-24&amp;flag=1&amp;title=Leonard%206'%20fadeaway%20Jump%20Shot%20(10%20PTS)", "6' fadeaway Jump Shot (10 PTS)")</f>
        <v>6' fadeaway Jump Shot (10 PTS)</v>
      </c>
      <c r="L1835" s="2" t="str">
        <f>HYPERLINK("https://www.nba.com/game/...-vs-...-0022300099/play-by-play?watchFullGame=true", "LAC vs SAS - Q2 04:27.00")</f>
        <v>LAC vs SAS - Q2 04:27.00</v>
      </c>
      <c r="M1835">
        <v>6.71</v>
      </c>
      <c r="N1835">
        <v>87.3</v>
      </c>
      <c r="O1835">
        <v>49.02</v>
      </c>
      <c r="P1835">
        <v>-5</v>
      </c>
      <c r="Q1835">
        <v>67</v>
      </c>
      <c r="R1835">
        <v>87</v>
      </c>
      <c r="S1835">
        <v>49</v>
      </c>
    </row>
    <row r="1836" spans="1:19" hidden="1" x14ac:dyDescent="0.25">
      <c r="A1836">
        <v>22300014</v>
      </c>
      <c r="B1836" t="s">
        <v>18</v>
      </c>
      <c r="C1836" t="s">
        <v>19</v>
      </c>
      <c r="D1836">
        <v>2</v>
      </c>
      <c r="E1836">
        <v>0</v>
      </c>
      <c r="F1836">
        <v>2</v>
      </c>
      <c r="G1836">
        <v>1</v>
      </c>
      <c r="H1836" s="1">
        <v>7.905092592592592E-3</v>
      </c>
      <c r="I1836">
        <v>2023</v>
      </c>
      <c r="J1836" t="s">
        <v>83</v>
      </c>
      <c r="K1836" s="2" t="str">
        <f>HYPERLINK("https://www.nba.com/stats/events?CFID=&amp;CFPARAMS=&amp;GameEventID=9&amp;GameID=0022300014&amp;Season=2023-24&amp;flag=1&amp;title=Leonard%206'%20turnaround%20Jump%20Shot%20(2%20PTS)%20(J.%20Harden%201%20AST)", "6' turnaround Jump Shot (2 PTS) (J. Harden 1 AST)")</f>
        <v>6' turnaround Jump Shot (2 PTS) (J. Harden 1 AST)</v>
      </c>
      <c r="L1836" s="2" t="str">
        <f>HYPERLINK("https://www.nba.com/game/...-vs-...-0022300014/play-by-play?watchFullGame=true", "LAC vs DAL - Q1 11:23.00")</f>
        <v>LAC vs DAL - Q1 11:23.00</v>
      </c>
      <c r="M1836">
        <v>6.66</v>
      </c>
      <c r="N1836">
        <v>87.34</v>
      </c>
      <c r="O1836">
        <v>50.74</v>
      </c>
      <c r="P1836">
        <v>4</v>
      </c>
      <c r="Q1836">
        <v>67</v>
      </c>
      <c r="R1836">
        <v>87</v>
      </c>
      <c r="S1836">
        <v>50</v>
      </c>
    </row>
    <row r="1837" spans="1:19" hidden="1" x14ac:dyDescent="0.25">
      <c r="A1837">
        <v>22300827</v>
      </c>
      <c r="B1837" t="s">
        <v>18</v>
      </c>
      <c r="C1837" t="s">
        <v>89</v>
      </c>
      <c r="D1837">
        <v>13</v>
      </c>
      <c r="E1837">
        <v>14</v>
      </c>
      <c r="F1837">
        <v>1</v>
      </c>
      <c r="G1837">
        <v>1</v>
      </c>
      <c r="H1837" s="1">
        <v>5.0000000000000001E-3</v>
      </c>
      <c r="I1837">
        <v>2023</v>
      </c>
      <c r="J1837" t="s">
        <v>83</v>
      </c>
      <c r="K1837" s="2" t="str">
        <f>HYPERLINK("https://www.nba.com/stats/events?CFID=&amp;CFPARAMS=&amp;GameEventID=53&amp;GameID=0022300827&amp;Season=2023-24&amp;flag=1&amp;title=Leonard%206'%20Hook%20(2%20PTS)%20(T.%20Mann%201%20AST)", "6' Hook (2 PTS) (T. Mann 1 AST)")</f>
        <v>6' Hook (2 PTS) (T. Mann 1 AST)</v>
      </c>
      <c r="L1837" s="2" t="str">
        <f>HYPERLINK("https://www.nba.com/game/...-vs-...-0022300827/play-by-play?watchFullGame=true", "LAC vs SAC - Q1 07:12.00")</f>
        <v>LAC vs SAC - Q1 07:12.00</v>
      </c>
      <c r="M1837">
        <v>6.31</v>
      </c>
      <c r="N1837">
        <v>87.7</v>
      </c>
      <c r="O1837">
        <v>50.49</v>
      </c>
      <c r="P1837">
        <v>2</v>
      </c>
      <c r="Q1837">
        <v>63</v>
      </c>
      <c r="R1837">
        <v>87</v>
      </c>
      <c r="S1837">
        <v>50</v>
      </c>
    </row>
    <row r="1838" spans="1:19" hidden="1" x14ac:dyDescent="0.25">
      <c r="A1838">
        <v>22200352</v>
      </c>
      <c r="B1838" t="s">
        <v>18</v>
      </c>
      <c r="C1838" t="s">
        <v>89</v>
      </c>
      <c r="D1838">
        <v>11</v>
      </c>
      <c r="E1838">
        <v>8</v>
      </c>
      <c r="F1838">
        <v>3</v>
      </c>
      <c r="G1838">
        <v>1</v>
      </c>
      <c r="H1838" s="1">
        <v>5.2546296296296299E-3</v>
      </c>
      <c r="I1838">
        <v>2022</v>
      </c>
      <c r="J1838" t="s">
        <v>83</v>
      </c>
      <c r="K1838" s="2" t="str">
        <f>HYPERLINK("https://www.nba.com/stats/events?CFID=&amp;CFPARAMS=&amp;GameEventID=50&amp;GameID=0022200352&amp;Season=2022-23&amp;flag=1&amp;title=Leonard%206'%20driving%20Hook%20(2%20PTS)", "6' driving Hook (2 PTS)")</f>
        <v>6' driving Hook (2 PTS)</v>
      </c>
      <c r="L1838" s="2" t="str">
        <f>HYPERLINK("https://www.nba.com/game/...-vs-...-0022200352/play-by-play?watchFullGame=true", "LAC vs CHA - Q1 07:34.00")</f>
        <v>LAC vs CHA - Q1 07:34.00</v>
      </c>
      <c r="M1838">
        <v>6.16</v>
      </c>
      <c r="N1838">
        <v>87.86</v>
      </c>
      <c r="O1838">
        <v>50</v>
      </c>
      <c r="P1838">
        <v>87</v>
      </c>
      <c r="Q1838">
        <v>62</v>
      </c>
      <c r="R1838">
        <v>87</v>
      </c>
      <c r="S1838">
        <v>50</v>
      </c>
    </row>
    <row r="1839" spans="1:19" hidden="1" x14ac:dyDescent="0.25">
      <c r="A1839">
        <v>42000175</v>
      </c>
      <c r="B1839" t="s">
        <v>26</v>
      </c>
      <c r="C1839" t="s">
        <v>19</v>
      </c>
      <c r="D1839">
        <v>51</v>
      </c>
      <c r="E1839">
        <v>49</v>
      </c>
      <c r="F1839">
        <v>2</v>
      </c>
      <c r="G1839">
        <v>2</v>
      </c>
      <c r="H1839" s="1">
        <v>1.8518518518518519E-3</v>
      </c>
      <c r="I1839" t="s">
        <v>91</v>
      </c>
      <c r="J1839" t="s">
        <v>83</v>
      </c>
      <c r="K1839" s="2" t="str">
        <f>HYPERLINK("https://www.nba.com/stats/events?CFID=&amp;CFPARAMS=&amp;GameEventID=303&amp;GameID=0042000175&amp;Season=2020-21&amp;flag=1&amp;title=Leonard%2025'%203PT%20running%20(11%20PTS)%20(P.%20George%205%20AST)", "25' 3PT running (11 PTS) (P. George 5 AST)")</f>
        <v>25' 3PT running (11 PTS) (P. George 5 AST)</v>
      </c>
      <c r="L1839" s="2" t="str">
        <f>HYPERLINK("https://www.nba.com/game/...-vs-...-0042000175/play-by-play?watchFullGame=true", "LAC vs DAL - Q2 02:40.00")</f>
        <v>LAC vs DAL - Q2 02:40.00</v>
      </c>
      <c r="M1839">
        <v>25.07</v>
      </c>
      <c r="N1839">
        <v>88.39</v>
      </c>
      <c r="O1839">
        <v>98.84</v>
      </c>
      <c r="P1839">
        <v>88</v>
      </c>
      <c r="Q1839">
        <v>98</v>
      </c>
      <c r="R1839">
        <v>88</v>
      </c>
      <c r="S1839">
        <v>98</v>
      </c>
    </row>
    <row r="1840" spans="1:19" hidden="1" x14ac:dyDescent="0.25">
      <c r="A1840">
        <v>22000188</v>
      </c>
      <c r="B1840" t="s">
        <v>26</v>
      </c>
      <c r="C1840" t="s">
        <v>19</v>
      </c>
      <c r="D1840">
        <v>3</v>
      </c>
      <c r="E1840">
        <v>3</v>
      </c>
      <c r="F1840">
        <v>0</v>
      </c>
      <c r="G1840">
        <v>1</v>
      </c>
      <c r="H1840" s="1">
        <v>7.9282407407407409E-3</v>
      </c>
      <c r="I1840">
        <v>2020</v>
      </c>
      <c r="J1840" t="s">
        <v>83</v>
      </c>
      <c r="K1840" s="2" t="str">
        <f>HYPERLINK("https://www.nba.com/stats/events?CFID=&amp;CFPARAMS=&amp;GameEventID=11&amp;GameID=0022000188&amp;Season=2020-21&amp;flag=1&amp;title=Leonard%2024'%203PT%20%20(3%20PTS)%20(N.%20Batum%201%20AST)", "24' 3PT  (3 PTS) (N. Batum 1 AST)")</f>
        <v>24' 3PT  (3 PTS) (N. Batum 1 AST)</v>
      </c>
      <c r="L1840" s="2" t="str">
        <f>HYPERLINK("https://www.nba.com/game/...-vs-...-0022000188/play-by-play?watchFullGame=true", "LAC vs SAC - Q1 11:25.00")</f>
        <v>LAC vs SAC - Q1 11:25.00</v>
      </c>
      <c r="M1840">
        <v>24.32</v>
      </c>
      <c r="N1840">
        <v>88.78</v>
      </c>
      <c r="O1840">
        <v>2.52</v>
      </c>
      <c r="P1840">
        <v>-237</v>
      </c>
      <c r="Q1840">
        <v>53</v>
      </c>
      <c r="R1840">
        <v>88</v>
      </c>
      <c r="S1840">
        <v>2</v>
      </c>
    </row>
    <row r="1841" spans="1:19" hidden="1" x14ac:dyDescent="0.25">
      <c r="A1841">
        <v>21900618</v>
      </c>
      <c r="B1841" t="s">
        <v>26</v>
      </c>
      <c r="C1841" t="s">
        <v>84</v>
      </c>
      <c r="D1841">
        <v>18</v>
      </c>
      <c r="E1841">
        <v>16</v>
      </c>
      <c r="F1841">
        <v>2</v>
      </c>
      <c r="G1841">
        <v>1</v>
      </c>
      <c r="H1841" s="1">
        <v>4.9421296296296297E-3</v>
      </c>
      <c r="I1841">
        <v>2019</v>
      </c>
      <c r="J1841" t="s">
        <v>83</v>
      </c>
      <c r="K1841" s="2" t="str">
        <f>HYPERLINK("https://www.nba.com/stats/events?CFID=&amp;CFPARAMS=&amp;GameEventID=44&amp;GameID=0021900618&amp;Season=2019-20&amp;flag=1&amp;title=Leonard%2024'%203PT%20%20(10%20PTS)%20(P.%20Beverley%204%20AST)", "24' 3PT  (10 PTS) (P. Beverley 4 AST)")</f>
        <v>24' 3PT  (10 PTS) (P. Beverley 4 AST)</v>
      </c>
      <c r="L1841" s="2" t="str">
        <f>HYPERLINK("https://www.nba.com/game/...-vs-...-0021900618/play-by-play?watchFullGame=true", "LAC vs ORL - Q1 07:07.00")</f>
        <v>LAC vs ORL - Q1 07:07.00</v>
      </c>
      <c r="M1841">
        <v>24.31</v>
      </c>
      <c r="N1841">
        <v>88.35</v>
      </c>
      <c r="O1841">
        <v>96.99</v>
      </c>
      <c r="P1841">
        <v>235</v>
      </c>
      <c r="Q1841">
        <v>57</v>
      </c>
      <c r="R1841">
        <v>88</v>
      </c>
      <c r="S1841">
        <v>96</v>
      </c>
    </row>
    <row r="1842" spans="1:19" hidden="1" x14ac:dyDescent="0.25">
      <c r="A1842">
        <v>22300343</v>
      </c>
      <c r="B1842" t="s">
        <v>26</v>
      </c>
      <c r="C1842" t="s">
        <v>19</v>
      </c>
      <c r="D1842">
        <v>16</v>
      </c>
      <c r="E1842">
        <v>10</v>
      </c>
      <c r="F1842">
        <v>6</v>
      </c>
      <c r="G1842">
        <v>1</v>
      </c>
      <c r="H1842" s="1">
        <v>5.185185185185185E-3</v>
      </c>
      <c r="I1842">
        <v>2023</v>
      </c>
      <c r="J1842" t="s">
        <v>83</v>
      </c>
      <c r="K1842" s="2" t="str">
        <f>HYPERLINK("https://www.nba.com/stats/events?CFID=&amp;CFPARAMS=&amp;GameEventID=64&amp;GameID=0022300343&amp;Season=2023-24&amp;flag=1&amp;title=Leonard%203PT%20%20(5%20PTS)%20(P.%20George%203%20AST)", "3PT  (5 PTS) (P. George 3 AST)")</f>
        <v>3PT  (5 PTS) (P. George 3 AST)</v>
      </c>
      <c r="L1842" s="2" t="str">
        <f>HYPERLINK("https://www.nba.com/game/...-vs-...-0022300343/play-by-play?watchFullGame=true", "LAC vs NYK - Q1 07:28.00")</f>
        <v>LAC vs NYK - Q1 07:28.00</v>
      </c>
      <c r="M1842">
        <v>23.91</v>
      </c>
      <c r="N1842">
        <v>88.62</v>
      </c>
      <c r="O1842">
        <v>3.43</v>
      </c>
      <c r="P1842">
        <v>-233</v>
      </c>
      <c r="Q1842">
        <v>55</v>
      </c>
      <c r="R1842">
        <v>88</v>
      </c>
      <c r="S1842">
        <v>3</v>
      </c>
    </row>
    <row r="1843" spans="1:19" hidden="1" x14ac:dyDescent="0.25">
      <c r="A1843">
        <v>22000091</v>
      </c>
      <c r="B1843" t="s">
        <v>18</v>
      </c>
      <c r="C1843" t="s">
        <v>19</v>
      </c>
      <c r="D1843">
        <v>77</v>
      </c>
      <c r="E1843">
        <v>60</v>
      </c>
      <c r="F1843">
        <v>17</v>
      </c>
      <c r="G1843">
        <v>3</v>
      </c>
      <c r="H1843" s="1">
        <v>4.1203703703703706E-3</v>
      </c>
      <c r="I1843">
        <v>2020</v>
      </c>
      <c r="J1843" t="s">
        <v>83</v>
      </c>
      <c r="K1843" s="2" t="str">
        <f>HYPERLINK("https://www.nba.com/stats/events?CFID=&amp;CFPARAMS=&amp;GameEventID=366&amp;GameID=0022000091&amp;Season=2020-21&amp;flag=1&amp;title=Leonard%2015'%20turnaround%20Jump%20Shot%20(11%20PTS)", "15' turnaround Jump Shot (11 PTS)")</f>
        <v>15' turnaround Jump Shot (11 PTS)</v>
      </c>
      <c r="L1843" s="2" t="str">
        <f>HYPERLINK("https://www.nba.com/game/...-vs-...-0022000091/play-by-play?watchFullGame=true", "LAC vs PHX - Q3 05:56.00")</f>
        <v>LAC vs PHX - Q3 05:56.00</v>
      </c>
      <c r="M1843">
        <v>15.79</v>
      </c>
      <c r="N1843">
        <v>88.91</v>
      </c>
      <c r="O1843">
        <v>20.170000000000002</v>
      </c>
      <c r="P1843">
        <v>-149</v>
      </c>
      <c r="Q1843">
        <v>52</v>
      </c>
      <c r="R1843">
        <v>88</v>
      </c>
      <c r="S1843">
        <v>20</v>
      </c>
    </row>
    <row r="1844" spans="1:19" hidden="1" x14ac:dyDescent="0.25">
      <c r="A1844">
        <v>22201041</v>
      </c>
      <c r="B1844" t="s">
        <v>18</v>
      </c>
      <c r="C1844" t="s">
        <v>19</v>
      </c>
      <c r="D1844">
        <v>69</v>
      </c>
      <c r="E1844">
        <v>70</v>
      </c>
      <c r="F1844">
        <v>1</v>
      </c>
      <c r="G1844">
        <v>3</v>
      </c>
      <c r="H1844" s="1">
        <v>6.099537037037037E-3</v>
      </c>
      <c r="I1844">
        <v>2022</v>
      </c>
      <c r="J1844" t="s">
        <v>83</v>
      </c>
      <c r="K1844" s="2" t="str">
        <f>HYPERLINK("https://www.nba.com/stats/events?CFID=&amp;CFPARAMS=&amp;GameEventID=366&amp;GameID=0022201041&amp;Season=2022-23&amp;flag=1&amp;title=Leonard%2015'%20pullup%20Jump%20Shot%20(22%20PTS)", "15' pullup Jump Shot (22 PTS)")</f>
        <v>15' pullup Jump Shot (22 PTS)</v>
      </c>
      <c r="L1844" s="2" t="str">
        <f>HYPERLINK("https://www.nba.com/game/...-vs-...-0022201041/play-by-play?watchFullGame=true", "LAC vs GSW - Q3 08:47.00")</f>
        <v>LAC vs GSW - Q3 08:47.00</v>
      </c>
      <c r="M1844">
        <v>15.34</v>
      </c>
      <c r="N1844">
        <v>88.62</v>
      </c>
      <c r="O1844">
        <v>78.680000000000007</v>
      </c>
      <c r="P1844">
        <v>143</v>
      </c>
      <c r="Q1844">
        <v>55</v>
      </c>
      <c r="R1844">
        <v>88</v>
      </c>
      <c r="S1844">
        <v>78</v>
      </c>
    </row>
    <row r="1845" spans="1:19" hidden="1" x14ac:dyDescent="0.25">
      <c r="A1845">
        <v>22300964</v>
      </c>
      <c r="B1845" t="s">
        <v>18</v>
      </c>
      <c r="C1845" t="s">
        <v>19</v>
      </c>
      <c r="D1845">
        <v>9</v>
      </c>
      <c r="E1845">
        <v>7</v>
      </c>
      <c r="F1845">
        <v>2</v>
      </c>
      <c r="G1845">
        <v>1</v>
      </c>
      <c r="H1845" s="1">
        <v>3.9351851851851848E-3</v>
      </c>
      <c r="I1845">
        <v>2023</v>
      </c>
      <c r="J1845" t="s">
        <v>83</v>
      </c>
      <c r="K1845" s="2" t="str">
        <f>HYPERLINK("https://www.nba.com/stats/events?CFID=&amp;CFPARAMS=&amp;GameEventID=62&amp;GameID=0022300964&amp;Season=2023-24&amp;flag=1&amp;title=Leonard%2015'%20Jump%20Shot%20(5%20PTS)", "15' Jump Shot (5 PTS)")</f>
        <v>15' Jump Shot (5 PTS)</v>
      </c>
      <c r="L1845" s="2" t="str">
        <f>HYPERLINK("https://www.nba.com/game/...-vs-...-0022300964/play-by-play?watchFullGame=true", "LAC vs NOP - Q1 05:40.00")</f>
        <v>LAC vs NOP - Q1 05:40.00</v>
      </c>
      <c r="M1845">
        <v>15.75</v>
      </c>
      <c r="N1845">
        <v>88.78</v>
      </c>
      <c r="O1845">
        <v>79.66</v>
      </c>
      <c r="P1845">
        <v>148</v>
      </c>
      <c r="Q1845">
        <v>53</v>
      </c>
      <c r="R1845">
        <v>88</v>
      </c>
      <c r="S1845">
        <v>79</v>
      </c>
    </row>
    <row r="1846" spans="1:19" hidden="1" x14ac:dyDescent="0.25">
      <c r="A1846">
        <v>22300676</v>
      </c>
      <c r="B1846" t="s">
        <v>18</v>
      </c>
      <c r="C1846" t="s">
        <v>19</v>
      </c>
      <c r="D1846">
        <v>32</v>
      </c>
      <c r="E1846">
        <v>29</v>
      </c>
      <c r="F1846">
        <v>3</v>
      </c>
      <c r="G1846">
        <v>1</v>
      </c>
      <c r="H1846" s="1">
        <v>1.4120370370370369E-3</v>
      </c>
      <c r="I1846">
        <v>2023</v>
      </c>
      <c r="J1846" t="s">
        <v>83</v>
      </c>
      <c r="K1846" s="2" t="str">
        <f>HYPERLINK("https://www.nba.com/stats/events?CFID=&amp;CFPARAMS=&amp;GameEventID=127&amp;GameID=0022300676&amp;Season=2023-24&amp;flag=1&amp;title=Leonard%2019'%20Jump%20Shot%20(11%20PTS)", "19' Jump Shot (11 PTS)")</f>
        <v>19' Jump Shot (11 PTS)</v>
      </c>
      <c r="L1846" s="2" t="str">
        <f>HYPERLINK("https://www.nba.com/game/...-vs-...-0022300676/play-by-play?watchFullGame=true", "LAC vs WAS - Q1 02:02.00")</f>
        <v>LAC vs WAS - Q1 02:02.00</v>
      </c>
      <c r="M1846">
        <v>19.940000000000001</v>
      </c>
      <c r="N1846">
        <v>88.39</v>
      </c>
      <c r="O1846">
        <v>88.24</v>
      </c>
      <c r="P1846">
        <v>191</v>
      </c>
      <c r="Q1846">
        <v>57</v>
      </c>
      <c r="R1846">
        <v>88</v>
      </c>
      <c r="S1846">
        <v>88</v>
      </c>
    </row>
    <row r="1847" spans="1:19" hidden="1" x14ac:dyDescent="0.25">
      <c r="A1847">
        <v>22000576</v>
      </c>
      <c r="B1847" t="s">
        <v>26</v>
      </c>
      <c r="C1847" t="s">
        <v>19</v>
      </c>
      <c r="D1847">
        <v>25</v>
      </c>
      <c r="E1847">
        <v>25</v>
      </c>
      <c r="F1847">
        <v>0</v>
      </c>
      <c r="G1847">
        <v>1</v>
      </c>
      <c r="H1847" s="1">
        <v>4.3865740740740741E-4</v>
      </c>
      <c r="I1847">
        <v>2020</v>
      </c>
      <c r="J1847" t="s">
        <v>83</v>
      </c>
      <c r="K1847" s="2" t="str">
        <f>HYPERLINK("https://www.nba.com/stats/events?CFID=&amp;CFPARAMS=&amp;GameEventID=149&amp;GameID=0022000576&amp;Season=2020-21&amp;flag=1&amp;title=Leonard%203PT%20%20(11%20PTS)%20(R.%20Jackson%201%20AST)", "3PT  (11 PTS) (R. Jackson 1 AST)")</f>
        <v>3PT  (11 PTS) (R. Jackson 1 AST)</v>
      </c>
      <c r="L1847" s="2" t="str">
        <f>HYPERLINK("https://www.nba.com/game/...-vs-...-0022000576/play-by-play?watchFullGame=true", "LAC vs GSW - Q1 00:37.90")</f>
        <v>LAC vs GSW - Q1 00:37.90</v>
      </c>
      <c r="M1847">
        <v>23.79</v>
      </c>
      <c r="N1847">
        <v>88.26</v>
      </c>
      <c r="O1847">
        <v>96.15</v>
      </c>
      <c r="P1847">
        <v>231</v>
      </c>
      <c r="Q1847">
        <v>58</v>
      </c>
      <c r="R1847">
        <v>88</v>
      </c>
      <c r="S1847">
        <v>96</v>
      </c>
    </row>
    <row r="1848" spans="1:19" hidden="1" x14ac:dyDescent="0.25">
      <c r="A1848">
        <v>22300982</v>
      </c>
      <c r="B1848" t="s">
        <v>26</v>
      </c>
      <c r="C1848" t="s">
        <v>19</v>
      </c>
      <c r="D1848">
        <v>12</v>
      </c>
      <c r="E1848">
        <v>11</v>
      </c>
      <c r="F1848">
        <v>1</v>
      </c>
      <c r="G1848">
        <v>1</v>
      </c>
      <c r="H1848" s="1">
        <v>4.5833333333333334E-3</v>
      </c>
      <c r="I1848">
        <v>2023</v>
      </c>
      <c r="J1848" t="s">
        <v>83</v>
      </c>
      <c r="K1848" s="2" t="str">
        <f>HYPERLINK("https://www.nba.com/stats/events?CFID=&amp;CFPARAMS=&amp;GameEventID=65&amp;GameID=0022300982&amp;Season=2023-24&amp;flag=1&amp;title=Leonard%203PT%20%20(10%20PTS)%20(J.%20Harden%202%20AST)", "3PT  (10 PTS) (J. Harden 2 AST)")</f>
        <v>3PT  (10 PTS) (J. Harden 2 AST)</v>
      </c>
      <c r="L1848" s="2" t="str">
        <f>HYPERLINK("https://www.nba.com/game/...-vs-...-0022300982/play-by-play?watchFullGame=true", "LAC vs ATL - Q1 06:36.00")</f>
        <v>LAC vs ATL - Q1 06:36.00</v>
      </c>
      <c r="M1848">
        <v>23.85</v>
      </c>
      <c r="N1848">
        <v>88.88</v>
      </c>
      <c r="O1848">
        <v>96.57</v>
      </c>
      <c r="P1848">
        <v>233</v>
      </c>
      <c r="Q1848">
        <v>52</v>
      </c>
      <c r="R1848">
        <v>88</v>
      </c>
      <c r="S1848">
        <v>96</v>
      </c>
    </row>
    <row r="1849" spans="1:19" hidden="1" x14ac:dyDescent="0.25">
      <c r="A1849">
        <v>22000775</v>
      </c>
      <c r="B1849" t="s">
        <v>18</v>
      </c>
      <c r="C1849" t="s">
        <v>19</v>
      </c>
      <c r="D1849">
        <v>64</v>
      </c>
      <c r="E1849">
        <v>39</v>
      </c>
      <c r="F1849">
        <v>25</v>
      </c>
      <c r="G1849">
        <v>2</v>
      </c>
      <c r="H1849" s="1">
        <v>5.4513888888888893E-3</v>
      </c>
      <c r="I1849">
        <v>2020</v>
      </c>
      <c r="J1849" t="s">
        <v>83</v>
      </c>
      <c r="K1849" s="2" t="str">
        <f>HYPERLINK("https://www.nba.com/stats/events?CFID=&amp;CFPARAMS=&amp;GameEventID=228&amp;GameID=0022000775&amp;Season=2020-21&amp;flag=1&amp;title=Leonard%2013'%20pullup%20Jump%20Shot%20(9%20PTS)%20(D.%20Cousins%202%20AST)", "13' pullup Jump Shot (9 PTS) (D. Cousins 2 AST)")</f>
        <v>13' pullup Jump Shot (9 PTS) (D. Cousins 2 AST)</v>
      </c>
      <c r="L1849" s="2" t="str">
        <f>HYPERLINK("https://www.nba.com/game/...-vs-...-0022000775/play-by-play?watchFullGame=true", "LAC vs POR - Q2 07:51.00")</f>
        <v>LAC vs POR - Q2 07:51.00</v>
      </c>
      <c r="M1849">
        <v>13.87</v>
      </c>
      <c r="N1849">
        <v>88.39</v>
      </c>
      <c r="O1849">
        <v>75.31</v>
      </c>
      <c r="P1849">
        <v>127</v>
      </c>
      <c r="Q1849">
        <v>57</v>
      </c>
      <c r="R1849">
        <v>88</v>
      </c>
      <c r="S1849">
        <v>75</v>
      </c>
    </row>
    <row r="1850" spans="1:19" hidden="1" x14ac:dyDescent="0.25">
      <c r="A1850">
        <v>22400697</v>
      </c>
      <c r="B1850" t="s">
        <v>18</v>
      </c>
      <c r="C1850" t="s">
        <v>19</v>
      </c>
      <c r="D1850">
        <v>18</v>
      </c>
      <c r="E1850">
        <v>21</v>
      </c>
      <c r="F1850">
        <v>3</v>
      </c>
      <c r="G1850">
        <v>1</v>
      </c>
      <c r="H1850" s="1">
        <v>3.5300925925925925E-3</v>
      </c>
      <c r="I1850">
        <v>2024</v>
      </c>
      <c r="J1850" t="s">
        <v>83</v>
      </c>
      <c r="K1850" s="2" t="str">
        <f>HYPERLINK("https://www.nba.com/stats/events?CFID=&amp;CFPARAMS=&amp;GameEventID=73&amp;GameID=0022400697&amp;Season=2024-25&amp;flag=1&amp;title=Leonard%2011'%20pullup%20Jump%20Shot%20(3%20PTS)", "11' pullup Jump Shot (3 PTS)")</f>
        <v>11' pullup Jump Shot (3 PTS)</v>
      </c>
      <c r="L1850" s="2" t="str">
        <f>HYPERLINK("https://www.nba.com/game/...-vs-...-0022400697/play-by-play?watchFullGame=true", "LAC vs TOR - Q1 05:05.00")</f>
        <v>LAC vs TOR - Q1 05:05.00</v>
      </c>
      <c r="M1850">
        <v>11.08</v>
      </c>
      <c r="N1850">
        <v>88.91</v>
      </c>
      <c r="O1850">
        <v>69.61</v>
      </c>
      <c r="P1850">
        <v>98</v>
      </c>
      <c r="Q1850">
        <v>52</v>
      </c>
      <c r="R1850">
        <v>88</v>
      </c>
      <c r="S1850">
        <v>69</v>
      </c>
    </row>
    <row r="1851" spans="1:19" hidden="1" x14ac:dyDescent="0.25">
      <c r="A1851">
        <v>22200525</v>
      </c>
      <c r="B1851" t="s">
        <v>18</v>
      </c>
      <c r="C1851" t="s">
        <v>89</v>
      </c>
      <c r="D1851">
        <v>5</v>
      </c>
      <c r="E1851">
        <v>2</v>
      </c>
      <c r="F1851">
        <v>3</v>
      </c>
      <c r="G1851">
        <v>1</v>
      </c>
      <c r="H1851" s="1">
        <v>6.3194444444444444E-3</v>
      </c>
      <c r="I1851">
        <v>2022</v>
      </c>
      <c r="J1851" t="s">
        <v>83</v>
      </c>
      <c r="K1851" s="2" t="str">
        <f>HYPERLINK("https://www.nba.com/stats/events?CFID=&amp;CFPARAMS=&amp;GameEventID=33&amp;GameID=0022200525&amp;Season=2022-23&amp;flag=1&amp;title=Leonard%209'%20driving%20Hook%20(2%20PTS)", "9' driving Hook (2 PTS)")</f>
        <v>9' driving Hook (2 PTS)</v>
      </c>
      <c r="L1851" s="2" t="str">
        <f>HYPERLINK("https://www.nba.com/game/...-vs-...-0022200525/play-by-play?watchFullGame=true", "LAC vs BOS - Q1 09:06.00")</f>
        <v>LAC vs BOS - Q1 09:06.00</v>
      </c>
      <c r="M1851">
        <v>9.36</v>
      </c>
      <c r="N1851">
        <v>88.26</v>
      </c>
      <c r="O1851">
        <v>64.709999999999994</v>
      </c>
      <c r="P1851">
        <v>74</v>
      </c>
      <c r="Q1851">
        <v>58</v>
      </c>
      <c r="R1851">
        <v>88</v>
      </c>
      <c r="S1851">
        <v>64</v>
      </c>
    </row>
    <row r="1852" spans="1:19" hidden="1" x14ac:dyDescent="0.25">
      <c r="A1852">
        <v>22300458</v>
      </c>
      <c r="B1852" t="s">
        <v>18</v>
      </c>
      <c r="C1852" t="s">
        <v>19</v>
      </c>
      <c r="D1852">
        <v>50</v>
      </c>
      <c r="E1852">
        <v>50</v>
      </c>
      <c r="F1852">
        <v>0</v>
      </c>
      <c r="G1852">
        <v>2</v>
      </c>
      <c r="H1852" s="1">
        <v>2.3726851851851851E-3</v>
      </c>
      <c r="I1852">
        <v>2023</v>
      </c>
      <c r="J1852" t="s">
        <v>83</v>
      </c>
      <c r="K1852" s="2" t="str">
        <f>HYPERLINK("https://www.nba.com/stats/events?CFID=&amp;CFPARAMS=&amp;GameEventID=249&amp;GameID=0022300458&amp;Season=2023-24&amp;flag=1&amp;title=Leonard%208'%20driving%20floating%20Jump%20Shot%20(12%20PTS)", "8' driving floating Jump Shot (12 PTS)")</f>
        <v>8' driving floating Jump Shot (12 PTS)</v>
      </c>
      <c r="L1852" s="2" t="str">
        <f>HYPERLINK("https://www.nba.com/game/...-vs-...-0022300458/play-by-play?watchFullGame=true", "LAC vs MIA - Q2 03:25.00")</f>
        <v>LAC vs MIA - Q2 03:25.00</v>
      </c>
      <c r="M1852">
        <v>8.75</v>
      </c>
      <c r="N1852">
        <v>88.17</v>
      </c>
      <c r="O1852">
        <v>62.98</v>
      </c>
      <c r="P1852">
        <v>65</v>
      </c>
      <c r="Q1852">
        <v>59</v>
      </c>
      <c r="R1852">
        <v>88</v>
      </c>
      <c r="S1852">
        <v>62</v>
      </c>
    </row>
    <row r="1853" spans="1:19" hidden="1" x14ac:dyDescent="0.25">
      <c r="A1853">
        <v>22300014</v>
      </c>
      <c r="B1853" t="s">
        <v>18</v>
      </c>
      <c r="C1853" t="s">
        <v>19</v>
      </c>
      <c r="D1853">
        <v>14</v>
      </c>
      <c r="E1853">
        <v>5</v>
      </c>
      <c r="F1853">
        <v>9</v>
      </c>
      <c r="G1853">
        <v>1</v>
      </c>
      <c r="H1853" s="1">
        <v>5.8217592592592592E-3</v>
      </c>
      <c r="I1853">
        <v>2023</v>
      </c>
      <c r="J1853" t="s">
        <v>83</v>
      </c>
      <c r="K1853" s="2" t="str">
        <f>HYPERLINK("https://www.nba.com/stats/events?CFID=&amp;CFPARAMS=&amp;GameEventID=51&amp;GameID=0022300014&amp;Season=2023-24&amp;flag=1&amp;title=Leonard%208'%20pullup%20Jump%20Shot%20(7%20PTS)", "8' pullup Jump Shot (7 PTS)")</f>
        <v>8' pullup Jump Shot (7 PTS)</v>
      </c>
      <c r="L1853" s="2" t="str">
        <f>HYPERLINK("https://www.nba.com/game/...-vs-...-0022300014/play-by-play?watchFullGame=true", "LAC vs DAL - Q1 08:23.00")</f>
        <v>LAC vs DAL - Q1 08:23.00</v>
      </c>
      <c r="M1853">
        <v>8.6300000000000008</v>
      </c>
      <c r="N1853">
        <v>88.52</v>
      </c>
      <c r="O1853">
        <v>63.24</v>
      </c>
      <c r="P1853">
        <v>66</v>
      </c>
      <c r="Q1853">
        <v>55</v>
      </c>
      <c r="R1853">
        <v>88</v>
      </c>
      <c r="S1853">
        <v>63</v>
      </c>
    </row>
    <row r="1854" spans="1:19" hidden="1" x14ac:dyDescent="0.25">
      <c r="A1854">
        <v>22000387</v>
      </c>
      <c r="B1854" t="s">
        <v>18</v>
      </c>
      <c r="C1854" t="s">
        <v>19</v>
      </c>
      <c r="D1854">
        <v>45</v>
      </c>
      <c r="E1854">
        <v>50</v>
      </c>
      <c r="F1854">
        <v>5</v>
      </c>
      <c r="G1854">
        <v>2</v>
      </c>
      <c r="H1854" s="1">
        <v>1.9444444444444444E-3</v>
      </c>
      <c r="I1854">
        <v>2020</v>
      </c>
      <c r="J1854" t="s">
        <v>83</v>
      </c>
      <c r="K1854" s="2" t="str">
        <f>HYPERLINK("https://www.nba.com/stats/events?CFID=&amp;CFPARAMS=&amp;GameEventID=284&amp;GameID=0022000387&amp;Season=2020-21&amp;flag=1&amp;title=Leonard%207'%20pullup%20Jump%20Shot%20(16%20PTS)", "7' pullup Jump Shot (16 PTS)")</f>
        <v>7' pullup Jump Shot (16 PTS)</v>
      </c>
      <c r="L1854" s="2" t="str">
        <f>HYPERLINK("https://www.nba.com/game/...-vs-...-0022000387/play-by-play?watchFullGame=true", "LAC vs MIN - Q2 02:48.00")</f>
        <v>LAC vs MIN - Q2 02:48.00</v>
      </c>
      <c r="M1854">
        <v>7.41</v>
      </c>
      <c r="N1854">
        <v>88.78</v>
      </c>
      <c r="O1854">
        <v>60.36</v>
      </c>
      <c r="P1854">
        <v>52</v>
      </c>
      <c r="Q1854">
        <v>53</v>
      </c>
      <c r="R1854">
        <v>88</v>
      </c>
      <c r="S1854">
        <v>60</v>
      </c>
    </row>
    <row r="1855" spans="1:19" hidden="1" x14ac:dyDescent="0.25">
      <c r="A1855">
        <v>22000324</v>
      </c>
      <c r="B1855" t="s">
        <v>18</v>
      </c>
      <c r="C1855" t="s">
        <v>19</v>
      </c>
      <c r="D1855">
        <v>72</v>
      </c>
      <c r="E1855">
        <v>72</v>
      </c>
      <c r="F1855">
        <v>0</v>
      </c>
      <c r="G1855">
        <v>3</v>
      </c>
      <c r="H1855" s="1">
        <v>3.5995370370370369E-3</v>
      </c>
      <c r="I1855">
        <v>2020</v>
      </c>
      <c r="J1855" t="s">
        <v>83</v>
      </c>
      <c r="K1855" s="2" t="str">
        <f>HYPERLINK("https://www.nba.com/stats/events?CFID=&amp;CFPARAMS=&amp;GameEventID=365&amp;GameID=0022000324&amp;Season=2020-21&amp;flag=1&amp;title=Leonard%207'%20driving%20floating%20bank%20Jump%20Shot%20(18%20PTS)%20(P.%20George%203%20AST)", "7' driving floating bank Jump Shot (18 PTS) (P. George 3 AST)")</f>
        <v>7' driving floating bank Jump Shot (18 PTS) (P. George 3 AST)</v>
      </c>
      <c r="L1855" s="2" t="str">
        <f>HYPERLINK("https://www.nba.com/game/...-vs-...-0022000324/play-by-play?watchFullGame=true", "LAC vs BKN - Q3 05:11.00")</f>
        <v>LAC vs BKN - Q3 05:11.00</v>
      </c>
      <c r="M1855">
        <v>7.23</v>
      </c>
      <c r="N1855">
        <v>88.91</v>
      </c>
      <c r="O1855">
        <v>60.12</v>
      </c>
      <c r="P1855">
        <v>51</v>
      </c>
      <c r="Q1855">
        <v>52</v>
      </c>
      <c r="R1855">
        <v>88</v>
      </c>
      <c r="S1855">
        <v>60</v>
      </c>
    </row>
    <row r="1856" spans="1:19" hidden="1" x14ac:dyDescent="0.25">
      <c r="A1856">
        <v>22400571</v>
      </c>
      <c r="B1856" t="s">
        <v>18</v>
      </c>
      <c r="C1856" t="s">
        <v>19</v>
      </c>
      <c r="D1856">
        <v>37</v>
      </c>
      <c r="E1856">
        <v>28</v>
      </c>
      <c r="F1856">
        <v>9</v>
      </c>
      <c r="G1856">
        <v>2</v>
      </c>
      <c r="H1856" s="1">
        <v>4.8726851851851848E-3</v>
      </c>
      <c r="I1856">
        <v>2024</v>
      </c>
      <c r="J1856" t="s">
        <v>83</v>
      </c>
      <c r="K1856" s="2" t="str">
        <f>HYPERLINK("https://www.nba.com/stats/events?CFID=&amp;CFPARAMS=&amp;GameEventID=218&amp;GameID=0022400571&amp;Season=2024-25&amp;flag=1&amp;title=Leonard%206'%20driving%20floating%20Jump%20Shot%20(10%20PTS)", "6' driving floating Jump Shot (10 PTS)")</f>
        <v>6' driving floating Jump Shot (10 PTS)</v>
      </c>
      <c r="L1856" s="2" t="str">
        <f>HYPERLINK("https://www.nba.com/game/...-vs-...-0022400571/play-by-play?watchFullGame=true", "LAC vs BKN - Q2 07:01.00")</f>
        <v>LAC vs BKN - Q2 07:01.00</v>
      </c>
      <c r="M1856">
        <v>6.89</v>
      </c>
      <c r="N1856">
        <v>88.12</v>
      </c>
      <c r="O1856">
        <v>42.89</v>
      </c>
      <c r="P1856">
        <v>-36</v>
      </c>
      <c r="Q1856">
        <v>59</v>
      </c>
      <c r="R1856">
        <v>88</v>
      </c>
      <c r="S1856">
        <v>42</v>
      </c>
    </row>
    <row r="1857" spans="1:19" hidden="1" x14ac:dyDescent="0.25">
      <c r="A1857">
        <v>41900236</v>
      </c>
      <c r="B1857" t="s">
        <v>18</v>
      </c>
      <c r="C1857" t="s">
        <v>84</v>
      </c>
      <c r="D1857">
        <v>95</v>
      </c>
      <c r="E1857">
        <v>109</v>
      </c>
      <c r="F1857">
        <v>14</v>
      </c>
      <c r="G1857">
        <v>4</v>
      </c>
      <c r="H1857" s="1">
        <v>1.2962962962962963E-3</v>
      </c>
      <c r="I1857" t="s">
        <v>85</v>
      </c>
      <c r="J1857" t="s">
        <v>83</v>
      </c>
      <c r="K1857" s="2" t="str">
        <f>HYPERLINK("https://www.nba.com/stats/events?CFID=&amp;CFPARAMS=&amp;GameEventID=621&amp;GameID=0041900236&amp;Season=2019-20&amp;flag=1&amp;title=Leonard%207'%20jumpshot%20(25%20PTS)", "7' jumpshot (25 PTS)")</f>
        <v>7' jumpshot (25 PTS)</v>
      </c>
      <c r="L1857" s="2" t="str">
        <f>HYPERLINK("https://www.nba.com/game/...-vs-...-0041900236/play-by-play?watchFullGame=true", "LAC vs DEN - Q4 01:52.00")</f>
        <v>LAC vs DEN - Q4 01:52.00</v>
      </c>
      <c r="M1857">
        <v>6.8</v>
      </c>
      <c r="N1857">
        <v>88.78</v>
      </c>
      <c r="O1857">
        <v>56.93</v>
      </c>
      <c r="P1857">
        <v>35</v>
      </c>
      <c r="Q1857">
        <v>53</v>
      </c>
      <c r="R1857">
        <v>88</v>
      </c>
      <c r="S1857">
        <v>56</v>
      </c>
    </row>
    <row r="1858" spans="1:19" hidden="1" x14ac:dyDescent="0.25">
      <c r="A1858">
        <v>22200719</v>
      </c>
      <c r="B1858" t="s">
        <v>18</v>
      </c>
      <c r="C1858" t="s">
        <v>89</v>
      </c>
      <c r="D1858">
        <v>64</v>
      </c>
      <c r="E1858">
        <v>46</v>
      </c>
      <c r="F1858">
        <v>18</v>
      </c>
      <c r="G1858">
        <v>2</v>
      </c>
      <c r="H1858" s="1">
        <v>1.8981481481481482E-3</v>
      </c>
      <c r="I1858">
        <v>2022</v>
      </c>
      <c r="J1858" t="s">
        <v>83</v>
      </c>
      <c r="K1858" s="2" t="str">
        <f>HYPERLINK("https://www.nba.com/stats/events?CFID=&amp;CFPARAMS=&amp;GameEventID=290&amp;GameID=0022200719&amp;Season=2022-23&amp;flag=1&amp;title=Leonard%206'%20driving%20Hook%20(10%20PTS)", "6' driving Hook (10 PTS)")</f>
        <v>6' driving Hook (10 PTS)</v>
      </c>
      <c r="L1858" s="2" t="str">
        <f>HYPERLINK("https://www.nba.com/game/...-vs-...-0022200719/play-by-play?watchFullGame=true", "LAC vs LAL - Q2 02:44.00")</f>
        <v>LAC vs LAL - Q2 02:44.00</v>
      </c>
      <c r="M1858">
        <v>6.47</v>
      </c>
      <c r="N1858">
        <v>88.22</v>
      </c>
      <c r="O1858">
        <v>55.64</v>
      </c>
      <c r="P1858">
        <v>28</v>
      </c>
      <c r="Q1858">
        <v>58</v>
      </c>
      <c r="R1858">
        <v>88</v>
      </c>
      <c r="S1858">
        <v>55</v>
      </c>
    </row>
    <row r="1859" spans="1:19" hidden="1" x14ac:dyDescent="0.25">
      <c r="A1859">
        <v>21900377</v>
      </c>
      <c r="B1859" t="s">
        <v>18</v>
      </c>
      <c r="C1859" t="s">
        <v>90</v>
      </c>
      <c r="D1859">
        <v>56</v>
      </c>
      <c r="E1859">
        <v>51</v>
      </c>
      <c r="F1859">
        <v>5</v>
      </c>
      <c r="G1859">
        <v>2</v>
      </c>
      <c r="H1859" s="1">
        <v>1.9097222222222222E-3</v>
      </c>
      <c r="I1859">
        <v>2019</v>
      </c>
      <c r="J1859" t="s">
        <v>83</v>
      </c>
      <c r="K1859" s="2" t="str">
        <f>HYPERLINK("https://www.nba.com/stats/events?CFID=&amp;CFPARAMS=&amp;GameEventID=297&amp;GameID=0021900377&amp;Season=2019-20&amp;flag=1&amp;title=Leonard%206'%20layup%20(24%20PTS)", "6' layup (24 PTS)")</f>
        <v>6' layup (24 PTS)</v>
      </c>
      <c r="L1859" s="2" t="str">
        <f>HYPERLINK("https://www.nba.com/game/...-vs-...-0021900377/play-by-play?watchFullGame=true", "LAC vs MIN - Q2 02:45.00")</f>
        <v>LAC vs MIN - Q2 02:45.00</v>
      </c>
      <c r="M1859">
        <v>6.43</v>
      </c>
      <c r="N1859">
        <v>88.39</v>
      </c>
      <c r="O1859">
        <v>53.26</v>
      </c>
      <c r="P1859">
        <v>16</v>
      </c>
      <c r="Q1859">
        <v>57</v>
      </c>
      <c r="R1859">
        <v>88</v>
      </c>
      <c r="S1859">
        <v>53</v>
      </c>
    </row>
    <row r="1860" spans="1:19" hidden="1" x14ac:dyDescent="0.25">
      <c r="A1860">
        <v>21900419</v>
      </c>
      <c r="B1860" t="s">
        <v>18</v>
      </c>
      <c r="C1860" t="s">
        <v>84</v>
      </c>
      <c r="D1860">
        <v>51</v>
      </c>
      <c r="E1860">
        <v>43</v>
      </c>
      <c r="F1860">
        <v>8</v>
      </c>
      <c r="G1860">
        <v>2</v>
      </c>
      <c r="H1860" s="1">
        <v>4.4560185185185189E-3</v>
      </c>
      <c r="I1860">
        <v>2019</v>
      </c>
      <c r="J1860" t="s">
        <v>83</v>
      </c>
      <c r="K1860" s="2" t="str">
        <f>HYPERLINK("https://www.nba.com/stats/events?CFID=&amp;CFPARAMS=&amp;GameEventID=225&amp;GameID=0021900419&amp;Season=2019-20&amp;flag=1&amp;title=Leonard%206'%20jumpshot%20(13%20PTS)", "6' jumpshot (13 PTS)")</f>
        <v>6' jumpshot (13 PTS)</v>
      </c>
      <c r="L1860" s="2" t="str">
        <f>HYPERLINK("https://www.nba.com/game/...-vs-...-0021900419/play-by-play?watchFullGame=true", "LAC vs HOU - Q2 06:25.00")</f>
        <v>LAC vs HOU - Q2 06:25.00</v>
      </c>
      <c r="M1860">
        <v>6.39</v>
      </c>
      <c r="N1860">
        <v>88.35</v>
      </c>
      <c r="O1860">
        <v>52.63</v>
      </c>
      <c r="P1860">
        <v>13</v>
      </c>
      <c r="Q1860">
        <v>57</v>
      </c>
      <c r="R1860">
        <v>88</v>
      </c>
      <c r="S1860">
        <v>52</v>
      </c>
    </row>
    <row r="1861" spans="1:19" hidden="1" x14ac:dyDescent="0.25">
      <c r="A1861">
        <v>22300553</v>
      </c>
      <c r="B1861" t="s">
        <v>18</v>
      </c>
      <c r="C1861" t="s">
        <v>19</v>
      </c>
      <c r="D1861">
        <v>49</v>
      </c>
      <c r="E1861">
        <v>57</v>
      </c>
      <c r="F1861">
        <v>8</v>
      </c>
      <c r="G1861">
        <v>3</v>
      </c>
      <c r="H1861" s="1">
        <v>5.9837962962962961E-3</v>
      </c>
      <c r="I1861">
        <v>2023</v>
      </c>
      <c r="J1861" t="s">
        <v>83</v>
      </c>
      <c r="K1861" s="2" t="str">
        <f>HYPERLINK("https://www.nba.com/stats/events?CFID=&amp;CFPARAMS=&amp;GameEventID=331&amp;GameID=0022300553&amp;Season=2023-24&amp;flag=1&amp;title=Leonard%206'%20driving%20floating%20Jump%20Shot%20(16%20PTS)%20(J.%20Harden%205%20AST)", "6' driving floating Jump Shot (16 PTS) (J. Harden 5 AST)")</f>
        <v>6' driving floating Jump Shot (16 PTS) (J. Harden 5 AST)</v>
      </c>
      <c r="L1861" s="2" t="str">
        <f>HYPERLINK("https://www.nba.com/game/...-vs-...-0022300553/play-by-play?watchFullGame=true", "LAC vs MIN - Q3 08:37.00")</f>
        <v>LAC vs MIN - Q3 08:37.00</v>
      </c>
      <c r="M1861">
        <v>6.33</v>
      </c>
      <c r="N1861">
        <v>88.52</v>
      </c>
      <c r="O1861">
        <v>56.13</v>
      </c>
      <c r="P1861">
        <v>31</v>
      </c>
      <c r="Q1861">
        <v>55</v>
      </c>
      <c r="R1861">
        <v>88</v>
      </c>
      <c r="S1861">
        <v>56</v>
      </c>
    </row>
    <row r="1862" spans="1:19" hidden="1" x14ac:dyDescent="0.25">
      <c r="A1862">
        <v>41900153</v>
      </c>
      <c r="B1862" t="s">
        <v>18</v>
      </c>
      <c r="C1862" t="s">
        <v>84</v>
      </c>
      <c r="D1862">
        <v>93</v>
      </c>
      <c r="E1862">
        <v>77</v>
      </c>
      <c r="F1862">
        <v>16</v>
      </c>
      <c r="G1862">
        <v>3</v>
      </c>
      <c r="H1862" s="1">
        <v>1.5740740740740741E-3</v>
      </c>
      <c r="I1862" t="s">
        <v>86</v>
      </c>
      <c r="J1862" t="s">
        <v>83</v>
      </c>
      <c r="K1862" s="2" t="str">
        <f>HYPERLINK("https://www.nba.com/stats/events?CFID=&amp;CFPARAMS=&amp;GameEventID=458&amp;GameID=0041900153&amp;Season=2019-20&amp;flag=1&amp;title=Leonard%206'%20jumpshot%20(25%20PTS)", "6' jumpshot (25 PTS)")</f>
        <v>6' jumpshot (25 PTS)</v>
      </c>
      <c r="L1862" s="2" t="str">
        <f>HYPERLINK("https://www.nba.com/game/...-vs-...-0041900153/play-by-play?watchFullGame=true", "LAC vs DAL - Q3 02:16.00")</f>
        <v>LAC vs DAL - Q3 02:16.00</v>
      </c>
      <c r="M1862">
        <v>6.11</v>
      </c>
      <c r="N1862">
        <v>88.52</v>
      </c>
      <c r="O1862">
        <v>49.09</v>
      </c>
      <c r="P1862">
        <v>-5</v>
      </c>
      <c r="Q1862">
        <v>55</v>
      </c>
      <c r="R1862">
        <v>88</v>
      </c>
      <c r="S1862">
        <v>49</v>
      </c>
    </row>
    <row r="1863" spans="1:19" hidden="1" x14ac:dyDescent="0.25">
      <c r="A1863">
        <v>21900406</v>
      </c>
      <c r="B1863" t="s">
        <v>18</v>
      </c>
      <c r="C1863" t="s">
        <v>84</v>
      </c>
      <c r="D1863">
        <v>73</v>
      </c>
      <c r="E1863">
        <v>60</v>
      </c>
      <c r="F1863">
        <v>13</v>
      </c>
      <c r="G1863">
        <v>3</v>
      </c>
      <c r="H1863" s="1">
        <v>3.3333333333333335E-3</v>
      </c>
      <c r="I1863">
        <v>2019</v>
      </c>
      <c r="J1863" t="s">
        <v>83</v>
      </c>
      <c r="K1863" s="2" t="str">
        <f>HYPERLINK("https://www.nba.com/stats/events?CFID=&amp;CFPARAMS=&amp;GameEventID=448&amp;GameID=0021900406&amp;Season=2019-20&amp;flag=1&amp;title=Leonard%206'%20jumpshot%20(14%20PTS)", "6' jumpshot (14 PTS)")</f>
        <v>6' jumpshot (14 PTS)</v>
      </c>
      <c r="L1863" s="2" t="str">
        <f>HYPERLINK("https://www.nba.com/game/...-vs-...-0021900406/play-by-play?watchFullGame=true", "LAC vs PHX - Q3 04:48.00")</f>
        <v>LAC vs PHX - Q3 04:48.00</v>
      </c>
      <c r="M1863">
        <v>5.96</v>
      </c>
      <c r="N1863">
        <v>88.88</v>
      </c>
      <c r="O1863">
        <v>53.12</v>
      </c>
      <c r="P1863">
        <v>16</v>
      </c>
      <c r="Q1863">
        <v>52</v>
      </c>
      <c r="R1863">
        <v>88</v>
      </c>
      <c r="S1863">
        <v>53</v>
      </c>
    </row>
    <row r="1864" spans="1:19" hidden="1" x14ac:dyDescent="0.25">
      <c r="A1864">
        <v>22200991</v>
      </c>
      <c r="B1864" t="s">
        <v>18</v>
      </c>
      <c r="C1864" t="s">
        <v>19</v>
      </c>
      <c r="D1864">
        <v>35</v>
      </c>
      <c r="E1864">
        <v>38</v>
      </c>
      <c r="F1864">
        <v>3</v>
      </c>
      <c r="G1864">
        <v>2</v>
      </c>
      <c r="H1864" s="1">
        <v>2.8240740740740739E-3</v>
      </c>
      <c r="I1864">
        <v>2022</v>
      </c>
      <c r="J1864" t="s">
        <v>83</v>
      </c>
      <c r="K1864" s="2" t="str">
        <f>HYPERLINK("https://www.nba.com/stats/events?CFID=&amp;CFPARAMS=&amp;GameEventID=248&amp;GameID=0022200991&amp;Season=2022-23&amp;flag=1&amp;title=Leonard%20running%20pullup%20Jump%20Shot%20(11%20PTS)", "Running pullup Jump Shot (11 PTS)")</f>
        <v>Running pullup Jump Shot (11 PTS)</v>
      </c>
      <c r="L1864" s="2" t="str">
        <f>HYPERLINK("https://www.nba.com/game/...-vs-...-0022200991/play-by-play?watchFullGame=true", "LAC vs TOR - Q2 04:04.00")</f>
        <v>LAC vs TOR - Q2 04:04.00</v>
      </c>
      <c r="M1864">
        <v>5.75</v>
      </c>
      <c r="N1864">
        <v>88.62</v>
      </c>
      <c r="O1864">
        <v>53.68</v>
      </c>
      <c r="P1864">
        <v>18</v>
      </c>
      <c r="Q1864">
        <v>55</v>
      </c>
      <c r="R1864">
        <v>88</v>
      </c>
      <c r="S1864">
        <v>53</v>
      </c>
    </row>
    <row r="1865" spans="1:19" hidden="1" x14ac:dyDescent="0.25">
      <c r="A1865">
        <v>22300099</v>
      </c>
      <c r="B1865" t="s">
        <v>18</v>
      </c>
      <c r="C1865" t="s">
        <v>89</v>
      </c>
      <c r="D1865">
        <v>14</v>
      </c>
      <c r="E1865">
        <v>7</v>
      </c>
      <c r="F1865">
        <v>7</v>
      </c>
      <c r="G1865">
        <v>1</v>
      </c>
      <c r="H1865" s="1">
        <v>4.4675925925925924E-3</v>
      </c>
      <c r="I1865">
        <v>2023</v>
      </c>
      <c r="J1865" t="s">
        <v>83</v>
      </c>
      <c r="K1865" s="2" t="str">
        <f>HYPERLINK("https://www.nba.com/stats/events?CFID=&amp;CFPARAMS=&amp;GameEventID=76&amp;GameID=0022300099&amp;Season=2023-24&amp;flag=1&amp;title=Leonard%20driving%20Hook%20(5%20PTS)", "Driving Hook (5 PTS)")</f>
        <v>Driving Hook (5 PTS)</v>
      </c>
      <c r="L1865" s="2" t="str">
        <f>HYPERLINK("https://www.nba.com/game/...-vs-...-0022300099/play-by-play?watchFullGame=true", "LAC vs SAS - Q1 06:26.00")</f>
        <v>LAC vs SAS - Q1 06:26.00</v>
      </c>
      <c r="M1865">
        <v>5.7</v>
      </c>
      <c r="N1865">
        <v>88.35</v>
      </c>
      <c r="O1865">
        <v>49.75</v>
      </c>
      <c r="P1865">
        <v>-1</v>
      </c>
      <c r="Q1865">
        <v>57</v>
      </c>
      <c r="R1865">
        <v>88</v>
      </c>
      <c r="S1865">
        <v>49</v>
      </c>
    </row>
    <row r="1866" spans="1:19" hidden="1" x14ac:dyDescent="0.25">
      <c r="A1866">
        <v>22200389</v>
      </c>
      <c r="B1866" t="s">
        <v>18</v>
      </c>
      <c r="C1866" t="s">
        <v>19</v>
      </c>
      <c r="D1866">
        <v>20</v>
      </c>
      <c r="E1866">
        <v>22</v>
      </c>
      <c r="F1866">
        <v>2</v>
      </c>
      <c r="G1866">
        <v>1</v>
      </c>
      <c r="H1866" s="1">
        <v>2.6157407407407405E-3</v>
      </c>
      <c r="I1866">
        <v>2022</v>
      </c>
      <c r="J1866" t="s">
        <v>83</v>
      </c>
      <c r="K1866" s="2" t="str">
        <f>HYPERLINK("https://www.nba.com/stats/events?CFID=&amp;CFPARAMS=&amp;GameEventID=94&amp;GameID=0022200389&amp;Season=2022-23&amp;flag=1&amp;title=Leonard%20driving%20floating%20Jump%20Shot%20(4%20PTS)%20(P.%20George%201%20AST)", "Driving floating Jump Shot (4 PTS) (P. George 1 AST)")</f>
        <v>Driving floating Jump Shot (4 PTS) (P. George 1 AST)</v>
      </c>
      <c r="L1866" s="2" t="str">
        <f>HYPERLINK("https://www.nba.com/game/...-vs-...-0022200389/play-by-play?watchFullGame=true", "LAC vs WAS - Q1 03:46.00")</f>
        <v>LAC vs WAS - Q1 03:46.00</v>
      </c>
      <c r="M1866">
        <v>5.59</v>
      </c>
      <c r="N1866">
        <v>88.52</v>
      </c>
      <c r="O1866">
        <v>51.47</v>
      </c>
      <c r="P1866">
        <v>7</v>
      </c>
      <c r="Q1866">
        <v>55</v>
      </c>
      <c r="R1866">
        <v>88</v>
      </c>
      <c r="S1866">
        <v>51</v>
      </c>
    </row>
    <row r="1867" spans="1:19" hidden="1" x14ac:dyDescent="0.25">
      <c r="A1867">
        <v>22400889</v>
      </c>
      <c r="B1867" t="s">
        <v>18</v>
      </c>
      <c r="C1867" t="s">
        <v>88</v>
      </c>
      <c r="D1867">
        <v>56</v>
      </c>
      <c r="E1867">
        <v>43</v>
      </c>
      <c r="F1867">
        <v>13</v>
      </c>
      <c r="G1867">
        <v>2</v>
      </c>
      <c r="H1867" s="1">
        <v>1.724537037037037E-3</v>
      </c>
      <c r="I1867">
        <v>2024</v>
      </c>
      <c r="J1867" t="s">
        <v>83</v>
      </c>
      <c r="K1867" s="2" t="str">
        <f>HYPERLINK("https://www.nba.com/stats/events?CFID=&amp;CFPARAMS=&amp;GameEventID=267&amp;GameID=0022400889&amp;Season=2024-25&amp;flag=1&amp;title=Leonard%20driving%20DUNK%20(11%20PTS)", "Driving DUNK (11 PTS)")</f>
        <v>Driving DUNK (11 PTS)</v>
      </c>
      <c r="L1867" s="2" t="str">
        <f>HYPERLINK("https://www.nba.com/game/...-vs-...-0022400889/play-by-play?watchFullGame=true", "LAC vs PHX - Q2 02:29.00")</f>
        <v>LAC vs PHX - Q2 02:29.00</v>
      </c>
      <c r="M1867">
        <v>5.51</v>
      </c>
      <c r="N1867">
        <v>88.57</v>
      </c>
      <c r="O1867">
        <v>49.51</v>
      </c>
      <c r="P1867">
        <v>-2</v>
      </c>
      <c r="Q1867">
        <v>55</v>
      </c>
      <c r="R1867">
        <v>88</v>
      </c>
      <c r="S1867">
        <v>49</v>
      </c>
    </row>
    <row r="1868" spans="1:19" hidden="1" x14ac:dyDescent="0.25">
      <c r="A1868">
        <v>22400783</v>
      </c>
      <c r="B1868" t="s">
        <v>18</v>
      </c>
      <c r="C1868" t="s">
        <v>88</v>
      </c>
      <c r="D1868">
        <v>119</v>
      </c>
      <c r="E1868">
        <v>102</v>
      </c>
      <c r="F1868">
        <v>17</v>
      </c>
      <c r="G1868">
        <v>4</v>
      </c>
      <c r="H1868" s="1">
        <v>3.3680555555555556E-3</v>
      </c>
      <c r="I1868">
        <v>2024</v>
      </c>
      <c r="J1868" t="s">
        <v>83</v>
      </c>
      <c r="K1868" s="2" t="str">
        <f>HYPERLINK("https://www.nba.com/stats/events?CFID=&amp;CFPARAMS=&amp;GameEventID=631&amp;GameID=0022400783&amp;Season=2024-25&amp;flag=1&amp;title=Leonard%20driving%20DUNK%20(23%20PTS)%20(I.%20Zubac%203%20AST)", "Driving DUNK (23 PTS) (I. Zubac 3 AST)")</f>
        <v>Driving DUNK (23 PTS) (I. Zubac 3 AST)</v>
      </c>
      <c r="L1868" s="2" t="str">
        <f>HYPERLINK("https://www.nba.com/game/...-vs-...-0022400783/play-by-play?watchFullGame=true", "LAC vs MEM - Q4 04:51.00")</f>
        <v>LAC vs MEM - Q4 04:51.00</v>
      </c>
      <c r="M1868">
        <v>5.59</v>
      </c>
      <c r="N1868">
        <v>88.57</v>
      </c>
      <c r="O1868">
        <v>52.02</v>
      </c>
      <c r="P1868">
        <v>10</v>
      </c>
      <c r="Q1868">
        <v>55</v>
      </c>
      <c r="R1868">
        <v>88</v>
      </c>
      <c r="S1868">
        <v>52</v>
      </c>
    </row>
    <row r="1869" spans="1:19" hidden="1" x14ac:dyDescent="0.25">
      <c r="A1869">
        <v>42000172</v>
      </c>
      <c r="B1869" t="s">
        <v>26</v>
      </c>
      <c r="C1869" t="s">
        <v>19</v>
      </c>
      <c r="D1869">
        <v>9</v>
      </c>
      <c r="E1869">
        <v>12</v>
      </c>
      <c r="F1869">
        <v>3</v>
      </c>
      <c r="G1869">
        <v>1</v>
      </c>
      <c r="H1869" s="1">
        <v>5.9606481481481481E-3</v>
      </c>
      <c r="I1869" t="s">
        <v>91</v>
      </c>
      <c r="J1869" t="s">
        <v>83</v>
      </c>
      <c r="K1869" s="2" t="str">
        <f>HYPERLINK("https://www.nba.com/stats/events?CFID=&amp;CFPARAMS=&amp;GameEventID=29&amp;GameID=0042000172&amp;Season=2020-21&amp;flag=1&amp;title=Leonard%2024'%203PT%20%20(3%20PTS)%20(P.%20George%201%20AST)", "24' 3PT  (3 PTS) (P. George 1 AST)")</f>
        <v>24' 3PT  (3 PTS) (P. George 1 AST)</v>
      </c>
      <c r="L1869" s="2" t="str">
        <f>HYPERLINK("https://www.nba.com/game/...-vs-...-0042000172/play-by-play?watchFullGame=true", "LAC vs DAL - Q1 08:35.00")</f>
        <v>LAC vs DAL - Q1 08:35.00</v>
      </c>
      <c r="M1869">
        <v>24.57</v>
      </c>
      <c r="N1869">
        <v>89.04</v>
      </c>
      <c r="O1869">
        <v>98.11</v>
      </c>
      <c r="P1869">
        <v>89</v>
      </c>
      <c r="Q1869">
        <v>98</v>
      </c>
      <c r="R1869">
        <v>89</v>
      </c>
      <c r="S1869">
        <v>98</v>
      </c>
    </row>
    <row r="1870" spans="1:19" hidden="1" x14ac:dyDescent="0.25">
      <c r="A1870">
        <v>22400679</v>
      </c>
      <c r="B1870" t="s">
        <v>26</v>
      </c>
      <c r="C1870" t="s">
        <v>19</v>
      </c>
      <c r="D1870">
        <v>14</v>
      </c>
      <c r="E1870">
        <v>6</v>
      </c>
      <c r="F1870">
        <v>8</v>
      </c>
      <c r="G1870">
        <v>1</v>
      </c>
      <c r="H1870" s="1">
        <v>4.8379629629629632E-3</v>
      </c>
      <c r="I1870">
        <v>2024</v>
      </c>
      <c r="J1870" t="s">
        <v>83</v>
      </c>
      <c r="K1870" s="2" t="str">
        <f>HYPERLINK("https://www.nba.com/stats/events?CFID=&amp;CFPARAMS=&amp;GameEventID=53&amp;GameID=0022400679&amp;Season=2024-25&amp;flag=1&amp;title=Leonard%2024'%203PT%20pullup%20(3%20PTS)%20(J.%20Harden%202%20AST)", "24' 3PT pullup (3 PTS) (J. Harden 2 AST)")</f>
        <v>24' 3PT pullup (3 PTS) (J. Harden 2 AST)</v>
      </c>
      <c r="L1870" s="2" t="str">
        <f>HYPERLINK("https://www.nba.com/game/...-vs-...-0022400679/play-by-play?watchFullGame=true", "LAC vs CHA - Q1 06:58.00")</f>
        <v>LAC vs CHA - Q1 06:58.00</v>
      </c>
      <c r="M1870">
        <v>24.3</v>
      </c>
      <c r="N1870">
        <v>89.04</v>
      </c>
      <c r="O1870">
        <v>2.4500000000000002</v>
      </c>
      <c r="P1870">
        <v>-238</v>
      </c>
      <c r="Q1870">
        <v>50</v>
      </c>
      <c r="R1870">
        <v>89</v>
      </c>
      <c r="S1870">
        <v>2</v>
      </c>
    </row>
    <row r="1871" spans="1:19" hidden="1" x14ac:dyDescent="0.25">
      <c r="A1871">
        <v>22200701</v>
      </c>
      <c r="B1871" t="s">
        <v>26</v>
      </c>
      <c r="C1871" t="s">
        <v>19</v>
      </c>
      <c r="D1871">
        <v>36</v>
      </c>
      <c r="E1871">
        <v>42</v>
      </c>
      <c r="F1871">
        <v>6</v>
      </c>
      <c r="G1871">
        <v>2</v>
      </c>
      <c r="H1871" s="1">
        <v>2.9398148148148148E-3</v>
      </c>
      <c r="I1871">
        <v>2022</v>
      </c>
      <c r="J1871" t="s">
        <v>83</v>
      </c>
      <c r="K1871" s="2" t="str">
        <f>HYPERLINK("https://www.nba.com/stats/events?CFID=&amp;CFPARAMS=&amp;GameEventID=245&amp;GameID=0022200701&amp;Season=2022-23&amp;flag=1&amp;title=Leonard%203PT%20pullup%20(10%20PTS)%20(M.%20Morris%20Sr.%202%20AST)", "3PT pullup (10 PTS) (M. Morris Sr. 2 AST)")</f>
        <v>3PT pullup (10 PTS) (M. Morris Sr. 2 AST)</v>
      </c>
      <c r="L1871" s="2" t="str">
        <f>HYPERLINK("https://www.nba.com/game/...-vs-...-0022200701/play-by-play?watchFullGame=true", "LAC vs DAL - Q2 04:14.00")</f>
        <v>LAC vs DAL - Q2 04:14.00</v>
      </c>
      <c r="M1871">
        <v>23.29</v>
      </c>
      <c r="N1871">
        <v>89.31</v>
      </c>
      <c r="O1871">
        <v>4.41</v>
      </c>
      <c r="P1871">
        <v>-228</v>
      </c>
      <c r="Q1871">
        <v>48</v>
      </c>
      <c r="R1871">
        <v>89</v>
      </c>
      <c r="S1871">
        <v>4</v>
      </c>
    </row>
    <row r="1872" spans="1:19" hidden="1" x14ac:dyDescent="0.25">
      <c r="A1872">
        <v>22300749</v>
      </c>
      <c r="B1872" t="s">
        <v>26</v>
      </c>
      <c r="C1872" t="s">
        <v>19</v>
      </c>
      <c r="D1872">
        <v>12</v>
      </c>
      <c r="E1872">
        <v>2</v>
      </c>
      <c r="F1872">
        <v>10</v>
      </c>
      <c r="G1872">
        <v>1</v>
      </c>
      <c r="H1872" s="1">
        <v>6.030092592592593E-3</v>
      </c>
      <c r="I1872">
        <v>2023</v>
      </c>
      <c r="J1872" t="s">
        <v>83</v>
      </c>
      <c r="K1872" s="2" t="str">
        <f>HYPERLINK("https://www.nba.com/stats/events?CFID=&amp;CFPARAMS=&amp;GameEventID=36&amp;GameID=0022300749&amp;Season=2023-24&amp;flag=1&amp;title=Leonard%203PT%20%20(3%20PTS)%20(T.%20Mann%201%20AST)", "3PT  (3 PTS) (T. Mann 1 AST)")</f>
        <v>3PT  (3 PTS) (T. Mann 1 AST)</v>
      </c>
      <c r="L1872" s="2" t="str">
        <f>HYPERLINK("https://www.nba.com/game/...-vs-...-0022300749/play-by-play?watchFullGame=true", "LAC vs DET - Q1 08:41.00")</f>
        <v>LAC vs DET - Q1 08:41.00</v>
      </c>
      <c r="M1872">
        <v>23.27</v>
      </c>
      <c r="N1872">
        <v>89.44</v>
      </c>
      <c r="O1872">
        <v>4.41</v>
      </c>
      <c r="P1872">
        <v>-228</v>
      </c>
      <c r="Q1872">
        <v>47</v>
      </c>
      <c r="R1872">
        <v>89</v>
      </c>
      <c r="S1872">
        <v>4</v>
      </c>
    </row>
    <row r="1873" spans="1:19" hidden="1" x14ac:dyDescent="0.25">
      <c r="A1873">
        <v>22300160</v>
      </c>
      <c r="B1873" t="s">
        <v>18</v>
      </c>
      <c r="C1873" t="s">
        <v>19</v>
      </c>
      <c r="D1873">
        <v>12</v>
      </c>
      <c r="E1873">
        <v>11</v>
      </c>
      <c r="F1873">
        <v>1</v>
      </c>
      <c r="G1873">
        <v>1</v>
      </c>
      <c r="H1873" s="1">
        <v>3.7499999999999999E-3</v>
      </c>
      <c r="I1873">
        <v>2023</v>
      </c>
      <c r="J1873" t="s">
        <v>83</v>
      </c>
      <c r="K1873" s="2" t="str">
        <f>HYPERLINK("https://www.nba.com/stats/events?CFID=&amp;CFPARAMS=&amp;GameEventID=76&amp;GameID=0022300160&amp;Season=2023-24&amp;flag=1&amp;title=Leonard%2015'%20running%20Jump%20Shot%20(2%20PTS)%20(J.%20Harden%201%20AST)", "15' running Jump Shot (2 PTS) (J. Harden 1 AST)")</f>
        <v>15' running Jump Shot (2 PTS) (J. Harden 1 AST)</v>
      </c>
      <c r="L1873" s="2" t="str">
        <f>HYPERLINK("https://www.nba.com/game/...-vs-...-0022300160/play-by-play?watchFullGame=true", "LAC vs BKN - Q1 05:24.00")</f>
        <v>LAC vs BKN - Q1 05:24.00</v>
      </c>
      <c r="M1873">
        <v>15.59</v>
      </c>
      <c r="N1873">
        <v>89.7</v>
      </c>
      <c r="O1873">
        <v>79.900000000000006</v>
      </c>
      <c r="P1873">
        <v>150</v>
      </c>
      <c r="Q1873">
        <v>44</v>
      </c>
      <c r="R1873">
        <v>89</v>
      </c>
      <c r="S1873">
        <v>79</v>
      </c>
    </row>
    <row r="1874" spans="1:19" hidden="1" x14ac:dyDescent="0.25">
      <c r="A1874">
        <v>22300309</v>
      </c>
      <c r="B1874" t="s">
        <v>18</v>
      </c>
      <c r="C1874" t="s">
        <v>19</v>
      </c>
      <c r="D1874">
        <v>67</v>
      </c>
      <c r="E1874">
        <v>41</v>
      </c>
      <c r="F1874">
        <v>26</v>
      </c>
      <c r="G1874">
        <v>2</v>
      </c>
      <c r="H1874" s="1">
        <v>2.0717592592592593E-3</v>
      </c>
      <c r="I1874">
        <v>2023</v>
      </c>
      <c r="J1874" t="s">
        <v>83</v>
      </c>
      <c r="K1874" s="2" t="str">
        <f>HYPERLINK("https://www.nba.com/stats/events?CFID=&amp;CFPARAMS=&amp;GameEventID=285&amp;GameID=0022300309&amp;Season=2023-24&amp;flag=1&amp;title=Leonard%2019'%20Jump%20Shot%20(17%20PTS)%20(J.%20Harden%205%20AST)", "19' Jump Shot (17 PTS) (J. Harden 5 AST)")</f>
        <v>19' Jump Shot (17 PTS) (J. Harden 5 AST)</v>
      </c>
      <c r="L1874" s="2" t="str">
        <f>HYPERLINK("https://www.nba.com/game/...-vs-...-0022300309/play-by-play?watchFullGame=true", "LAC vs SAC - Q2 02:59.00")</f>
        <v>LAC vs SAC - Q2 02:59.00</v>
      </c>
      <c r="M1874">
        <v>19.39</v>
      </c>
      <c r="N1874">
        <v>89.67</v>
      </c>
      <c r="O1874">
        <v>87.75</v>
      </c>
      <c r="P1874">
        <v>189</v>
      </c>
      <c r="Q1874">
        <v>45</v>
      </c>
      <c r="R1874">
        <v>89</v>
      </c>
      <c r="S1874">
        <v>87</v>
      </c>
    </row>
    <row r="1875" spans="1:19" hidden="1" x14ac:dyDescent="0.25">
      <c r="A1875">
        <v>22001019</v>
      </c>
      <c r="B1875" t="s">
        <v>26</v>
      </c>
      <c r="C1875" t="s">
        <v>19</v>
      </c>
      <c r="D1875">
        <v>3</v>
      </c>
      <c r="E1875">
        <v>0</v>
      </c>
      <c r="F1875">
        <v>3</v>
      </c>
      <c r="G1875">
        <v>1</v>
      </c>
      <c r="H1875" s="1">
        <v>7.5578703703703702E-3</v>
      </c>
      <c r="I1875">
        <v>2020</v>
      </c>
      <c r="J1875" t="s">
        <v>83</v>
      </c>
      <c r="K1875" s="2" t="str">
        <f>HYPERLINK("https://www.nba.com/stats/events?CFID=&amp;CFPARAMS=&amp;GameEventID=15&amp;GameID=0022001019&amp;Season=2020-21&amp;flag=1&amp;title=Leonard%203PT%20step%20back%20(3%20PTS)%20(R.%20Jackson%201%20AST)", "3PT step back (3 PTS) (R. Jackson 1 AST)")</f>
        <v>3PT step back (3 PTS) (R. Jackson 1 AST)</v>
      </c>
      <c r="L1875" s="2" t="str">
        <f>HYPERLINK("https://www.nba.com/game/...-vs-...-0022001019/play-by-play?watchFullGame=true", "LAC vs NYK - Q1 10:53.00")</f>
        <v>LAC vs NYK - Q1 10:53.00</v>
      </c>
      <c r="M1875">
        <v>23.59</v>
      </c>
      <c r="N1875">
        <v>89.18</v>
      </c>
      <c r="O1875">
        <v>96.15</v>
      </c>
      <c r="P1875">
        <v>231</v>
      </c>
      <c r="Q1875">
        <v>49</v>
      </c>
      <c r="R1875">
        <v>89</v>
      </c>
      <c r="S1875">
        <v>96</v>
      </c>
    </row>
    <row r="1876" spans="1:19" hidden="1" x14ac:dyDescent="0.25">
      <c r="A1876">
        <v>22400793</v>
      </c>
      <c r="B1876" t="s">
        <v>18</v>
      </c>
      <c r="C1876" t="s">
        <v>19</v>
      </c>
      <c r="D1876">
        <v>91</v>
      </c>
      <c r="E1876">
        <v>80</v>
      </c>
      <c r="F1876">
        <v>11</v>
      </c>
      <c r="G1876">
        <v>4</v>
      </c>
      <c r="H1876" s="1">
        <v>7.8935185185185185E-3</v>
      </c>
      <c r="I1876">
        <v>2024</v>
      </c>
      <c r="J1876" t="s">
        <v>83</v>
      </c>
      <c r="K1876" s="2" t="str">
        <f>HYPERLINK("https://www.nba.com/stats/events?CFID=&amp;CFPARAMS=&amp;GameEventID=485&amp;GameID=0022400793&amp;Season=2024-25&amp;flag=1&amp;title=Leonard%2014'%20turnaround%20fadeaway%20Jump%20Shot%20(22%20PTS)", "14' turnaround fadeaway Jump Shot (22 PTS)")</f>
        <v>14' turnaround fadeaway Jump Shot (22 PTS)</v>
      </c>
      <c r="L1876" s="2" t="str">
        <f>HYPERLINK("https://www.nba.com/game/...-vs-...-0022400793/play-by-play?watchFullGame=true", "LAC vs MIL - Q4 11:22.00")</f>
        <v>LAC vs MIL - Q4 11:22.00</v>
      </c>
      <c r="M1876">
        <v>14.13</v>
      </c>
      <c r="N1876">
        <v>89.18</v>
      </c>
      <c r="O1876">
        <v>76.47</v>
      </c>
      <c r="P1876">
        <v>132</v>
      </c>
      <c r="Q1876">
        <v>49</v>
      </c>
      <c r="R1876">
        <v>89</v>
      </c>
      <c r="S1876">
        <v>76</v>
      </c>
    </row>
    <row r="1877" spans="1:19" hidden="1" x14ac:dyDescent="0.25">
      <c r="A1877">
        <v>22000328</v>
      </c>
      <c r="B1877" t="s">
        <v>18</v>
      </c>
      <c r="C1877" t="s">
        <v>19</v>
      </c>
      <c r="D1877">
        <v>112</v>
      </c>
      <c r="E1877">
        <v>93</v>
      </c>
      <c r="F1877">
        <v>19</v>
      </c>
      <c r="G1877">
        <v>4</v>
      </c>
      <c r="H1877" s="1">
        <v>3.1597222222222222E-3</v>
      </c>
      <c r="I1877">
        <v>2020</v>
      </c>
      <c r="J1877" t="s">
        <v>83</v>
      </c>
      <c r="K1877" s="2" t="str">
        <f>HYPERLINK("https://www.nba.com/stats/events?CFID=&amp;CFPARAMS=&amp;GameEventID=528&amp;GameID=0022000328&amp;Season=2020-21&amp;flag=1&amp;title=Leonard%2013'%20turnaround%20fadeaway%20Jump%20Shot%20(24%20PTS)", "13' turnaround fadeaway Jump Shot (24 PTS)")</f>
        <v>13' turnaround fadeaway Jump Shot (24 PTS)</v>
      </c>
      <c r="L1877" s="2" t="str">
        <f>HYPERLINK("https://www.nba.com/game/...-vs-...-0022000328/play-by-play?watchFullGame=true", "LAC vs CLE - Q4 04:33.00")</f>
        <v>LAC vs CLE - Q4 04:33.00</v>
      </c>
      <c r="M1877">
        <v>13.89</v>
      </c>
      <c r="N1877">
        <v>89.83</v>
      </c>
      <c r="O1877">
        <v>23.6</v>
      </c>
      <c r="P1877">
        <v>-132</v>
      </c>
      <c r="Q1877">
        <v>43</v>
      </c>
      <c r="R1877">
        <v>89</v>
      </c>
      <c r="S1877">
        <v>23</v>
      </c>
    </row>
    <row r="1878" spans="1:19" hidden="1" x14ac:dyDescent="0.25">
      <c r="A1878">
        <v>21900224</v>
      </c>
      <c r="B1878" t="s">
        <v>18</v>
      </c>
      <c r="C1878" t="s">
        <v>84</v>
      </c>
      <c r="D1878">
        <v>53</v>
      </c>
      <c r="E1878">
        <v>49</v>
      </c>
      <c r="F1878">
        <v>4</v>
      </c>
      <c r="G1878">
        <v>2</v>
      </c>
      <c r="H1878" s="1">
        <v>9.9537037037037042E-4</v>
      </c>
      <c r="I1878">
        <v>2019</v>
      </c>
      <c r="J1878" t="s">
        <v>83</v>
      </c>
      <c r="K1878" s="2" t="str">
        <f>HYPERLINK("https://www.nba.com/stats/events?CFID=&amp;CFPARAMS=&amp;GameEventID=324&amp;GameID=0021900224&amp;Season=2019-20&amp;flag=1&amp;title=Leonard%2014'%20jumpshot%20(13%20PTS)", "14' jumpshot (13 PTS)")</f>
        <v>14' jumpshot (13 PTS)</v>
      </c>
      <c r="L1878" s="2" t="str">
        <f>HYPERLINK("https://www.nba.com/game/...-vs-...-0021900224/play-by-play?watchFullGame=true", "LAC vs HOU - Q2 01:26.00")</f>
        <v>LAC vs HOU - Q2 01:26.00</v>
      </c>
      <c r="M1878">
        <v>13.77</v>
      </c>
      <c r="N1878">
        <v>89.54</v>
      </c>
      <c r="O1878">
        <v>24.44</v>
      </c>
      <c r="P1878">
        <v>-128</v>
      </c>
      <c r="Q1878">
        <v>46</v>
      </c>
      <c r="R1878">
        <v>89</v>
      </c>
      <c r="S1878">
        <v>24</v>
      </c>
    </row>
    <row r="1879" spans="1:19" hidden="1" x14ac:dyDescent="0.25">
      <c r="A1879">
        <v>22300511</v>
      </c>
      <c r="B1879" t="s">
        <v>18</v>
      </c>
      <c r="C1879" t="s">
        <v>19</v>
      </c>
      <c r="D1879">
        <v>13</v>
      </c>
      <c r="E1879">
        <v>8</v>
      </c>
      <c r="F1879">
        <v>5</v>
      </c>
      <c r="G1879">
        <v>1</v>
      </c>
      <c r="H1879" s="1">
        <v>5.6481481481481478E-3</v>
      </c>
      <c r="I1879">
        <v>2023</v>
      </c>
      <c r="J1879" t="s">
        <v>83</v>
      </c>
      <c r="K1879" s="2" t="str">
        <f>HYPERLINK("https://www.nba.com/stats/events?CFID=&amp;CFPARAMS=&amp;GameEventID=48&amp;GameID=0022300511&amp;Season=2023-24&amp;flag=1&amp;title=Leonard%2010'%20fadeaway%20Jump%20Shot%20(4%20PTS)%20(T.%20Mann%201%20AST)", "10' fadeaway Jump Shot (4 PTS) (T. Mann 1 AST)")</f>
        <v>10' fadeaway Jump Shot (4 PTS) (T. Mann 1 AST)</v>
      </c>
      <c r="L1879" s="2" t="str">
        <f>HYPERLINK("https://www.nba.com/game/...-vs-...-0022300511/play-by-play?watchFullGame=true", "LAC vs PHX - Q1 08:08.00")</f>
        <v>LAC vs PHX - Q1 08:08.00</v>
      </c>
      <c r="M1879">
        <v>10.17</v>
      </c>
      <c r="N1879">
        <v>89.54</v>
      </c>
      <c r="O1879">
        <v>68.14</v>
      </c>
      <c r="P1879">
        <v>91</v>
      </c>
      <c r="Q1879">
        <v>46</v>
      </c>
      <c r="R1879">
        <v>89</v>
      </c>
      <c r="S1879">
        <v>68</v>
      </c>
    </row>
    <row r="1880" spans="1:19" hidden="1" x14ac:dyDescent="0.25">
      <c r="A1880">
        <v>21900419</v>
      </c>
      <c r="B1880" t="s">
        <v>18</v>
      </c>
      <c r="C1880" t="s">
        <v>84</v>
      </c>
      <c r="D1880">
        <v>25</v>
      </c>
      <c r="E1880">
        <v>22</v>
      </c>
      <c r="F1880">
        <v>3</v>
      </c>
      <c r="G1880">
        <v>1</v>
      </c>
      <c r="H1880" s="1">
        <v>1.3657407407407407E-3</v>
      </c>
      <c r="I1880">
        <v>2019</v>
      </c>
      <c r="J1880" t="s">
        <v>83</v>
      </c>
      <c r="K1880" s="2" t="str">
        <f>HYPERLINK("https://www.nba.com/stats/events?CFID=&amp;CFPARAMS=&amp;GameEventID=130&amp;GameID=0021900419&amp;Season=2019-20&amp;flag=1&amp;title=Leonard%208'%20jumpshot%20(11%20PTS)", "8' jumpshot (11 PTS)")</f>
        <v>8' jumpshot (11 PTS)</v>
      </c>
      <c r="L1880" s="2" t="str">
        <f>HYPERLINK("https://www.nba.com/game/...-vs-...-0021900419/play-by-play?watchFullGame=true", "LAC vs HOU - Q1 01:58.00")</f>
        <v>LAC vs HOU - Q1 01:58.00</v>
      </c>
      <c r="M1880">
        <v>8.1999999999999993</v>
      </c>
      <c r="N1880">
        <v>89.8</v>
      </c>
      <c r="O1880">
        <v>63.17</v>
      </c>
      <c r="P1880">
        <v>66</v>
      </c>
      <c r="Q1880">
        <v>43</v>
      </c>
      <c r="R1880">
        <v>89</v>
      </c>
      <c r="S1880">
        <v>63</v>
      </c>
    </row>
    <row r="1881" spans="1:19" hidden="1" x14ac:dyDescent="0.25">
      <c r="A1881">
        <v>22000799</v>
      </c>
      <c r="B1881" t="s">
        <v>18</v>
      </c>
      <c r="C1881" t="s">
        <v>19</v>
      </c>
      <c r="D1881">
        <v>47</v>
      </c>
      <c r="E1881">
        <v>43</v>
      </c>
      <c r="F1881">
        <v>4</v>
      </c>
      <c r="G1881">
        <v>2</v>
      </c>
      <c r="H1881" s="1">
        <v>3.8888888888888888E-3</v>
      </c>
      <c r="I1881">
        <v>2020</v>
      </c>
      <c r="J1881" t="s">
        <v>83</v>
      </c>
      <c r="K1881" s="2" t="str">
        <f>HYPERLINK("https://www.nba.com/stats/events?CFID=&amp;CFPARAMS=&amp;GameEventID=256&amp;GameID=0022000799&amp;Season=2020-21&amp;flag=1&amp;title=Leonard%207'%20fadeaway%20bank%20Jump%20Shot%20(9%20PTS)%20(R.%20Jackson%204%20AST)", "7' fadeaway bank Jump Shot (9 PTS) (R. Jackson 4 AST)")</f>
        <v>7' fadeaway bank Jump Shot (9 PTS) (R. Jackson 4 AST)</v>
      </c>
      <c r="L1881" s="2" t="str">
        <f>HYPERLINK("https://www.nba.com/game/...-vs-...-0022000799/play-by-play?watchFullGame=true", "LAC vs HOU - Q2 05:36.00")</f>
        <v>LAC vs HOU - Q2 05:36.00</v>
      </c>
      <c r="M1881">
        <v>7.19</v>
      </c>
      <c r="N1881">
        <v>89.18</v>
      </c>
      <c r="O1881">
        <v>39.53</v>
      </c>
      <c r="P1881">
        <v>-52</v>
      </c>
      <c r="Q1881">
        <v>49</v>
      </c>
      <c r="R1881">
        <v>89</v>
      </c>
      <c r="S1881">
        <v>39</v>
      </c>
    </row>
    <row r="1882" spans="1:19" hidden="1" x14ac:dyDescent="0.25">
      <c r="A1882">
        <v>22300646</v>
      </c>
      <c r="B1882" t="s">
        <v>18</v>
      </c>
      <c r="C1882" t="s">
        <v>87</v>
      </c>
      <c r="D1882">
        <v>4</v>
      </c>
      <c r="E1882">
        <v>2</v>
      </c>
      <c r="F1882">
        <v>2</v>
      </c>
      <c r="G1882">
        <v>1</v>
      </c>
      <c r="H1882" s="1">
        <v>7.1527777777777779E-3</v>
      </c>
      <c r="I1882">
        <v>2023</v>
      </c>
      <c r="J1882" t="s">
        <v>83</v>
      </c>
      <c r="K1882" s="2" t="str">
        <f>HYPERLINK("https://www.nba.com/stats/events?CFID=&amp;CFPARAMS=&amp;GameEventID=22&amp;GameID=0022300646&amp;Season=2023-24&amp;flag=1&amp;title=Leonard%206'%20driving%20Layup%20(2%20PTS)%20(T.%20Mann%201%20AST)", "6' driving Layup (2 PTS) (T. Mann 1 AST)")</f>
        <v>6' driving Layup (2 PTS) (T. Mann 1 AST)</v>
      </c>
      <c r="L1882" s="2" t="str">
        <f>HYPERLINK("https://www.nba.com/game/...-vs-...-0022300646/play-by-play?watchFullGame=true", "LAC vs BOS - Q1 10:18.00")</f>
        <v>LAC vs BOS - Q1 10:18.00</v>
      </c>
      <c r="M1882">
        <v>6.17</v>
      </c>
      <c r="N1882">
        <v>89.7</v>
      </c>
      <c r="O1882">
        <v>58.58</v>
      </c>
      <c r="P1882">
        <v>43</v>
      </c>
      <c r="Q1882">
        <v>44</v>
      </c>
      <c r="R1882">
        <v>89</v>
      </c>
      <c r="S1882">
        <v>58</v>
      </c>
    </row>
    <row r="1883" spans="1:19" hidden="1" x14ac:dyDescent="0.25">
      <c r="A1883">
        <v>22300827</v>
      </c>
      <c r="B1883" t="s">
        <v>18</v>
      </c>
      <c r="C1883" t="s">
        <v>19</v>
      </c>
      <c r="D1883">
        <v>28</v>
      </c>
      <c r="E1883">
        <v>24</v>
      </c>
      <c r="F1883">
        <v>4</v>
      </c>
      <c r="G1883">
        <v>1</v>
      </c>
      <c r="H1883" s="1">
        <v>9.0277777777777774E-4</v>
      </c>
      <c r="I1883">
        <v>2023</v>
      </c>
      <c r="J1883" t="s">
        <v>83</v>
      </c>
      <c r="K1883" s="2" t="str">
        <f>HYPERLINK("https://www.nba.com/stats/events?CFID=&amp;CFPARAMS=&amp;GameEventID=134&amp;GameID=0022300827&amp;Season=2023-24&amp;flag=1&amp;title=Leonard%20driving%20floating%20bank%20Jump%20Shot%20(8%20PTS)", "Driving floating bank Jump Shot (8 PTS)")</f>
        <v>Driving floating bank Jump Shot (8 PTS)</v>
      </c>
      <c r="L1883" s="2" t="str">
        <f>HYPERLINK("https://www.nba.com/game/...-vs-...-0022300827/play-by-play?watchFullGame=true", "LAC vs SAC - Q1 01:18.00")</f>
        <v>LAC vs SAC - Q1 01:18.00</v>
      </c>
      <c r="M1883">
        <v>5.96</v>
      </c>
      <c r="N1883">
        <v>89.54</v>
      </c>
      <c r="O1883">
        <v>57.6</v>
      </c>
      <c r="P1883">
        <v>38</v>
      </c>
      <c r="Q1883">
        <v>46</v>
      </c>
      <c r="R1883">
        <v>89</v>
      </c>
      <c r="S1883">
        <v>57</v>
      </c>
    </row>
    <row r="1884" spans="1:19" hidden="1" x14ac:dyDescent="0.25">
      <c r="A1884">
        <v>42000172</v>
      </c>
      <c r="B1884" t="s">
        <v>18</v>
      </c>
      <c r="C1884" t="s">
        <v>89</v>
      </c>
      <c r="D1884">
        <v>49</v>
      </c>
      <c r="E1884">
        <v>52</v>
      </c>
      <c r="F1884">
        <v>3</v>
      </c>
      <c r="G1884">
        <v>2</v>
      </c>
      <c r="H1884" s="1">
        <v>4.6990740740740743E-3</v>
      </c>
      <c r="I1884" t="s">
        <v>91</v>
      </c>
      <c r="J1884" t="s">
        <v>83</v>
      </c>
      <c r="K1884" s="2" t="str">
        <f>HYPERLINK("https://www.nba.com/stats/events?CFID=&amp;CFPARAMS=&amp;GameEventID=208&amp;GameID=0042000172&amp;Season=2020-21&amp;flag=1&amp;title=Leonard%20Hook%20(22%20PTS)", "Hook (22 PTS)")</f>
        <v>Hook (22 PTS)</v>
      </c>
      <c r="L1884" s="2" t="str">
        <f>HYPERLINK("https://www.nba.com/game/...-vs-...-0042000172/play-by-play?watchFullGame=true", "LAC vs DAL - Q2 06:46.00")</f>
        <v>LAC vs DAL - Q2 06:46.00</v>
      </c>
      <c r="M1884">
        <v>5.33</v>
      </c>
      <c r="N1884">
        <v>89.57</v>
      </c>
      <c r="O1884">
        <v>44.43</v>
      </c>
      <c r="P1884">
        <v>89</v>
      </c>
      <c r="Q1884">
        <v>44</v>
      </c>
      <c r="R1884">
        <v>89</v>
      </c>
      <c r="S1884">
        <v>44</v>
      </c>
    </row>
    <row r="1885" spans="1:19" hidden="1" x14ac:dyDescent="0.25">
      <c r="A1885">
        <v>21900224</v>
      </c>
      <c r="B1885" t="s">
        <v>18</v>
      </c>
      <c r="C1885" t="s">
        <v>90</v>
      </c>
      <c r="D1885">
        <v>38</v>
      </c>
      <c r="E1885">
        <v>29</v>
      </c>
      <c r="F1885">
        <v>9</v>
      </c>
      <c r="G1885">
        <v>2</v>
      </c>
      <c r="H1885" s="1">
        <v>6.2152777777777779E-3</v>
      </c>
      <c r="I1885">
        <v>2019</v>
      </c>
      <c r="J1885" t="s">
        <v>83</v>
      </c>
      <c r="K1885" s="2" t="str">
        <f>HYPERLINK("https://www.nba.com/stats/events?CFID=&amp;CFPARAMS=&amp;GameEventID=203&amp;GameID=0021900224&amp;Season=2019-20&amp;flag=1&amp;title=Leonard%20layup%20(8%20PTS)", "Layup (8 PTS)")</f>
        <v>Layup (8 PTS)</v>
      </c>
      <c r="L1885" s="2" t="str">
        <f>HYPERLINK("https://www.nba.com/game/...-vs-...-0021900224/play-by-play?watchFullGame=true", "LAC vs HOU - Q2 08:57.00")</f>
        <v>LAC vs HOU - Q2 08:57.00</v>
      </c>
      <c r="M1885">
        <v>5.3</v>
      </c>
      <c r="N1885">
        <v>89.54</v>
      </c>
      <c r="O1885">
        <v>52.63</v>
      </c>
      <c r="P1885">
        <v>13</v>
      </c>
      <c r="Q1885">
        <v>46</v>
      </c>
      <c r="R1885">
        <v>89</v>
      </c>
      <c r="S1885">
        <v>52</v>
      </c>
    </row>
    <row r="1886" spans="1:19" hidden="1" x14ac:dyDescent="0.25">
      <c r="A1886">
        <v>22400943</v>
      </c>
      <c r="B1886" t="s">
        <v>18</v>
      </c>
      <c r="C1886" t="s">
        <v>19</v>
      </c>
      <c r="D1886">
        <v>13</v>
      </c>
      <c r="E1886">
        <v>19</v>
      </c>
      <c r="F1886">
        <v>6</v>
      </c>
      <c r="G1886">
        <v>1</v>
      </c>
      <c r="H1886" s="1">
        <v>3.5532407407407409E-3</v>
      </c>
      <c r="I1886">
        <v>2024</v>
      </c>
      <c r="J1886" t="s">
        <v>83</v>
      </c>
      <c r="K1886" s="2" t="str">
        <f>HYPERLINK("https://www.nba.com/stats/events?CFID=&amp;CFPARAMS=&amp;GameEventID=70&amp;GameID=0022400943&amp;Season=2024-25&amp;flag=1&amp;title=Leonard%20fadeaway%20Jump%20Shot%20(9%20PTS)", "Fadeaway Jump Shot (9 PTS)")</f>
        <v>Fadeaway Jump Shot (9 PTS)</v>
      </c>
      <c r="L1886" s="2" t="str">
        <f>HYPERLINK("https://www.nba.com/game/...-vs-...-0022400943/play-by-play?watchFullGame=true", "LAC vs NOP - Q1 05:07.00")</f>
        <v>LAC vs NOP - Q1 05:07.00</v>
      </c>
      <c r="M1886">
        <v>5.29</v>
      </c>
      <c r="N1886">
        <v>89.83</v>
      </c>
      <c r="O1886">
        <v>56.13</v>
      </c>
      <c r="P1886">
        <v>31</v>
      </c>
      <c r="Q1886">
        <v>43</v>
      </c>
      <c r="R1886">
        <v>89</v>
      </c>
      <c r="S1886">
        <v>56</v>
      </c>
    </row>
    <row r="1887" spans="1:19" hidden="1" x14ac:dyDescent="0.25">
      <c r="A1887">
        <v>22200438</v>
      </c>
      <c r="B1887" t="s">
        <v>18</v>
      </c>
      <c r="C1887" t="s">
        <v>19</v>
      </c>
      <c r="D1887">
        <v>59</v>
      </c>
      <c r="E1887">
        <v>59</v>
      </c>
      <c r="F1887">
        <v>0</v>
      </c>
      <c r="G1887">
        <v>3</v>
      </c>
      <c r="H1887" s="1">
        <v>6.145833333333333E-3</v>
      </c>
      <c r="I1887">
        <v>2022</v>
      </c>
      <c r="J1887" t="s">
        <v>83</v>
      </c>
      <c r="K1887" s="2" t="str">
        <f>HYPERLINK("https://www.nba.com/stats/events?CFID=&amp;CFPARAMS=&amp;GameEventID=340&amp;GameID=0022200438&amp;Season=2022-23&amp;flag=1&amp;title=Leonard%20driving%20floating%20Jump%20Shot%20(23%20PTS)", "Driving floating Jump Shot (23 PTS)")</f>
        <v>Driving floating Jump Shot (23 PTS)</v>
      </c>
      <c r="L1887" s="2" t="str">
        <f>HYPERLINK("https://www.nba.com/game/...-vs-...-0022200438/play-by-play?watchFullGame=true", "LAC vs WAS - Q3 08:51.00")</f>
        <v>LAC vs WAS - Q3 08:51.00</v>
      </c>
      <c r="M1887">
        <v>5.28</v>
      </c>
      <c r="N1887">
        <v>89.67</v>
      </c>
      <c r="O1887">
        <v>55.64</v>
      </c>
      <c r="P1887">
        <v>28</v>
      </c>
      <c r="Q1887">
        <v>45</v>
      </c>
      <c r="R1887">
        <v>89</v>
      </c>
      <c r="S1887">
        <v>55</v>
      </c>
    </row>
    <row r="1888" spans="1:19" hidden="1" x14ac:dyDescent="0.25">
      <c r="A1888">
        <v>22400889</v>
      </c>
      <c r="B1888" t="s">
        <v>18</v>
      </c>
      <c r="C1888" t="s">
        <v>87</v>
      </c>
      <c r="D1888">
        <v>17</v>
      </c>
      <c r="E1888">
        <v>11</v>
      </c>
      <c r="F1888">
        <v>6</v>
      </c>
      <c r="G1888">
        <v>1</v>
      </c>
      <c r="H1888" s="1">
        <v>3.0439814814814813E-3</v>
      </c>
      <c r="I1888">
        <v>2024</v>
      </c>
      <c r="J1888" t="s">
        <v>83</v>
      </c>
      <c r="K1888" s="2" t="str">
        <f>HYPERLINK("https://www.nba.com/stats/events?CFID=&amp;CFPARAMS=&amp;GameEventID=84&amp;GameID=0022400889&amp;Season=2024-25&amp;flag=1&amp;title=Leonard%20driving%20Layup%20(4%20PTS)%20(J.%20Harden%202%20AST)", "Driving Layup (4 PTS) (J. Harden 2 AST)")</f>
        <v>Driving Layup (4 PTS) (J. Harden 2 AST)</v>
      </c>
      <c r="L1888" s="2" t="str">
        <f>HYPERLINK("https://www.nba.com/game/...-vs-...-0022400889/play-by-play?watchFullGame=true", "LAC vs PHX - Q1 04:23.00")</f>
        <v>LAC vs PHX - Q1 04:23.00</v>
      </c>
      <c r="M1888">
        <v>5.0999999999999996</v>
      </c>
      <c r="N1888">
        <v>89.22</v>
      </c>
      <c r="O1888">
        <v>47.05</v>
      </c>
      <c r="P1888">
        <v>-15</v>
      </c>
      <c r="Q1888">
        <v>49</v>
      </c>
      <c r="R1888">
        <v>89</v>
      </c>
      <c r="S1888">
        <v>47</v>
      </c>
    </row>
    <row r="1889" spans="1:19" hidden="1" x14ac:dyDescent="0.25">
      <c r="A1889">
        <v>42300172</v>
      </c>
      <c r="B1889" t="s">
        <v>18</v>
      </c>
      <c r="C1889" t="s">
        <v>89</v>
      </c>
      <c r="D1889">
        <v>41</v>
      </c>
      <c r="E1889">
        <v>45</v>
      </c>
      <c r="F1889">
        <v>4</v>
      </c>
      <c r="G1889">
        <v>2</v>
      </c>
      <c r="H1889" s="1">
        <v>4.6643518518518513E-4</v>
      </c>
      <c r="I1889" t="s">
        <v>93</v>
      </c>
      <c r="J1889" t="s">
        <v>83</v>
      </c>
      <c r="K1889" s="2" t="str">
        <f>HYPERLINK("https://www.nba.com/stats/events?CFID=&amp;CFPARAMS=&amp;GameEventID=333&amp;GameID=0042300172&amp;Season=2023-24&amp;flag=1&amp;title=Leonard%20driving%20Hook%20(4%20PTS)", "Driving Hook (4 PTS)")</f>
        <v>Driving Hook (4 PTS)</v>
      </c>
      <c r="L1889" s="2" t="str">
        <f>HYPERLINK("https://www.nba.com/game/...-vs-...-0042300172/play-by-play?watchFullGame=true", "LAC vs DAL - Q2 00:40.30")</f>
        <v>LAC vs DAL - Q2 00:40.30</v>
      </c>
      <c r="M1889">
        <v>5.08</v>
      </c>
      <c r="N1889">
        <v>89.14</v>
      </c>
      <c r="O1889">
        <v>52.21</v>
      </c>
      <c r="P1889">
        <v>89</v>
      </c>
      <c r="Q1889">
        <v>52</v>
      </c>
      <c r="R1889">
        <v>89</v>
      </c>
      <c r="S1889">
        <v>52</v>
      </c>
    </row>
    <row r="1890" spans="1:19" hidden="1" x14ac:dyDescent="0.25">
      <c r="A1890">
        <v>42000223</v>
      </c>
      <c r="B1890" t="s">
        <v>18</v>
      </c>
      <c r="C1890" t="s">
        <v>19</v>
      </c>
      <c r="D1890">
        <v>108</v>
      </c>
      <c r="E1890">
        <v>95</v>
      </c>
      <c r="F1890">
        <v>13</v>
      </c>
      <c r="G1890">
        <v>4</v>
      </c>
      <c r="H1890" s="1">
        <v>4.8148148148148152E-3</v>
      </c>
      <c r="I1890" t="s">
        <v>94</v>
      </c>
      <c r="J1890" t="s">
        <v>83</v>
      </c>
      <c r="K1890" s="2" t="str">
        <f>HYPERLINK("https://www.nba.com/stats/events?CFID=&amp;CFPARAMS=&amp;GameEventID=518&amp;GameID=0042000223&amp;Season=2020-21&amp;flag=1&amp;title=Leonard%20floating%20Jump%20Shot%20(26%20PTS)", "Floating Jump Shot (26 PTS)")</f>
        <v>Floating Jump Shot (26 PTS)</v>
      </c>
      <c r="L1890" s="2" t="str">
        <f>HYPERLINK("https://www.nba.com/game/...-vs-...-0042000223/play-by-play?watchFullGame=true", "LAC vs UTA - Q4 06:56.00")</f>
        <v>LAC vs UTA - Q4 06:56.00</v>
      </c>
      <c r="M1890">
        <v>5.07</v>
      </c>
      <c r="N1890">
        <v>89.09</v>
      </c>
      <c r="O1890">
        <v>48.3</v>
      </c>
      <c r="P1890">
        <v>89</v>
      </c>
      <c r="Q1890">
        <v>48</v>
      </c>
      <c r="R1890">
        <v>89</v>
      </c>
      <c r="S1890">
        <v>48</v>
      </c>
    </row>
    <row r="1891" spans="1:19" hidden="1" x14ac:dyDescent="0.25">
      <c r="A1891">
        <v>22300956</v>
      </c>
      <c r="B1891" t="s">
        <v>18</v>
      </c>
      <c r="C1891" t="s">
        <v>89</v>
      </c>
      <c r="D1891">
        <v>78</v>
      </c>
      <c r="E1891">
        <v>61</v>
      </c>
      <c r="F1891">
        <v>17</v>
      </c>
      <c r="G1891">
        <v>3</v>
      </c>
      <c r="H1891" s="1">
        <v>5.5208333333333333E-3</v>
      </c>
      <c r="I1891">
        <v>2023</v>
      </c>
      <c r="J1891" t="s">
        <v>83</v>
      </c>
      <c r="K1891" s="2" t="str">
        <f>HYPERLINK("https://www.nba.com/stats/events?CFID=&amp;CFPARAMS=&amp;GameEventID=331&amp;GameID=0022300956&amp;Season=2023-24&amp;flag=1&amp;title=Leonard%20driving%20Hook%20(22%20PTS)%20(P.%20George%205%20AST)", "Driving Hook (22 PTS) (P. George 5 AST)")</f>
        <v>Driving Hook (22 PTS) (P. George 5 AST)</v>
      </c>
      <c r="L1891" s="2" t="str">
        <f>HYPERLINK("https://www.nba.com/game/...-vs-...-0022300956/play-by-play?watchFullGame=true", "LAC vs CHI - Q3 07:57.00")</f>
        <v>LAC vs CHI - Q3 07:57.00</v>
      </c>
      <c r="M1891">
        <v>5.0599999999999996</v>
      </c>
      <c r="N1891">
        <v>89.57</v>
      </c>
      <c r="O1891">
        <v>54.41</v>
      </c>
      <c r="P1891">
        <v>22</v>
      </c>
      <c r="Q1891">
        <v>46</v>
      </c>
      <c r="R1891">
        <v>89</v>
      </c>
      <c r="S1891">
        <v>54</v>
      </c>
    </row>
    <row r="1892" spans="1:19" hidden="1" x14ac:dyDescent="0.25">
      <c r="A1892">
        <v>22200639</v>
      </c>
      <c r="B1892" t="s">
        <v>18</v>
      </c>
      <c r="C1892" t="s">
        <v>89</v>
      </c>
      <c r="D1892">
        <v>56</v>
      </c>
      <c r="E1892">
        <v>53</v>
      </c>
      <c r="F1892">
        <v>3</v>
      </c>
      <c r="G1892">
        <v>2</v>
      </c>
      <c r="H1892" s="1">
        <v>1.261574074074074E-3</v>
      </c>
      <c r="I1892">
        <v>2022</v>
      </c>
      <c r="J1892" t="s">
        <v>83</v>
      </c>
      <c r="K1892" s="2" t="str">
        <f>HYPERLINK("https://www.nba.com/stats/events?CFID=&amp;CFPARAMS=&amp;GameEventID=252&amp;GameID=0022200639&amp;Season=2022-23&amp;flag=1&amp;title=Leonard%20Hook%20(14%20PTS)", "Hook (14 PTS)")</f>
        <v>Hook (14 PTS)</v>
      </c>
      <c r="L1892" s="2" t="str">
        <f>HYPERLINK("https://www.nba.com/game/...-vs-...-0022200639/play-by-play?watchFullGame=true", "LAC vs DEN - Q2 01:49.00")</f>
        <v>LAC vs DEN - Q2 01:49.00</v>
      </c>
      <c r="M1892">
        <v>5.03</v>
      </c>
      <c r="N1892">
        <v>89.14</v>
      </c>
      <c r="O1892">
        <v>51.72</v>
      </c>
      <c r="P1892">
        <v>9</v>
      </c>
      <c r="Q1892">
        <v>50</v>
      </c>
      <c r="R1892">
        <v>89</v>
      </c>
      <c r="S1892">
        <v>51</v>
      </c>
    </row>
    <row r="1893" spans="1:19" hidden="1" x14ac:dyDescent="0.25">
      <c r="A1893">
        <v>22300618</v>
      </c>
      <c r="B1893" t="s">
        <v>18</v>
      </c>
      <c r="C1893" t="s">
        <v>19</v>
      </c>
      <c r="D1893">
        <v>70</v>
      </c>
      <c r="E1893">
        <v>57</v>
      </c>
      <c r="F1893">
        <v>13</v>
      </c>
      <c r="G1893">
        <v>2</v>
      </c>
      <c r="H1893" s="1">
        <v>1.0648148148148149E-3</v>
      </c>
      <c r="I1893">
        <v>2023</v>
      </c>
      <c r="J1893" t="s">
        <v>83</v>
      </c>
      <c r="K1893" s="2" t="str">
        <f>HYPERLINK("https://www.nba.com/stats/events?CFID=&amp;CFPARAMS=&amp;GameEventID=292&amp;GameID=0022300618&amp;Season=2023-24&amp;flag=1&amp;title=Leonard%20floating%20Jump%20Shot%20(14%20PTS)", "Floating Jump Shot (14 PTS)")</f>
        <v>Floating Jump Shot (14 PTS)</v>
      </c>
      <c r="L1893" s="2" t="str">
        <f>HYPERLINK("https://www.nba.com/game/...-vs-...-0022300618/play-by-play?watchFullGame=true", "LAC vs LAL - Q2 01:32.00")</f>
        <v>LAC vs LAL - Q2 01:32.00</v>
      </c>
      <c r="M1893">
        <v>4.84</v>
      </c>
      <c r="N1893">
        <v>89.27</v>
      </c>
      <c r="O1893">
        <v>50.74</v>
      </c>
      <c r="P1893">
        <v>4</v>
      </c>
      <c r="Q1893">
        <v>48</v>
      </c>
      <c r="R1893">
        <v>89</v>
      </c>
      <c r="S1893">
        <v>50</v>
      </c>
    </row>
    <row r="1894" spans="1:19" hidden="1" x14ac:dyDescent="0.25">
      <c r="A1894">
        <v>22201129</v>
      </c>
      <c r="B1894" t="s">
        <v>18</v>
      </c>
      <c r="C1894" t="s">
        <v>87</v>
      </c>
      <c r="D1894">
        <v>75</v>
      </c>
      <c r="E1894">
        <v>62</v>
      </c>
      <c r="F1894">
        <v>13</v>
      </c>
      <c r="G1894">
        <v>3</v>
      </c>
      <c r="H1894" s="1">
        <v>5.6481481481481478E-3</v>
      </c>
      <c r="I1894">
        <v>2022</v>
      </c>
      <c r="J1894" t="s">
        <v>83</v>
      </c>
      <c r="K1894" s="2" t="str">
        <f>HYPERLINK("https://www.nba.com/stats/events?CFID=&amp;CFPARAMS=&amp;GameEventID=340&amp;GameID=0022201129&amp;Season=2022-23&amp;flag=1&amp;title=Leonard%20driving%20Layup%20(10%20PTS)", "Driving Layup (10 PTS)")</f>
        <v>Driving Layup (10 PTS)</v>
      </c>
      <c r="L1894" s="2" t="str">
        <f>HYPERLINK("https://www.nba.com/game/...-vs-...-0022201129/play-by-play?watchFullGame=true", "LAC vs CHI - Q3 08:08.00")</f>
        <v>LAC vs CHI - Q3 08:08.00</v>
      </c>
      <c r="M1894">
        <v>4.75</v>
      </c>
      <c r="N1894">
        <v>89.54</v>
      </c>
      <c r="O1894">
        <v>52.45</v>
      </c>
      <c r="P1894">
        <v>12</v>
      </c>
      <c r="Q1894">
        <v>46</v>
      </c>
      <c r="R1894">
        <v>89</v>
      </c>
      <c r="S1894">
        <v>52</v>
      </c>
    </row>
    <row r="1895" spans="1:19" hidden="1" x14ac:dyDescent="0.25">
      <c r="A1895">
        <v>42000172</v>
      </c>
      <c r="B1895" t="s">
        <v>18</v>
      </c>
      <c r="C1895" t="s">
        <v>19</v>
      </c>
      <c r="D1895">
        <v>65</v>
      </c>
      <c r="E1895">
        <v>68</v>
      </c>
      <c r="F1895">
        <v>3</v>
      </c>
      <c r="G1895">
        <v>2</v>
      </c>
      <c r="H1895" s="1">
        <v>9.0277777777777774E-4</v>
      </c>
      <c r="I1895" t="s">
        <v>91</v>
      </c>
      <c r="J1895" t="s">
        <v>83</v>
      </c>
      <c r="K1895" s="2" t="str">
        <f>HYPERLINK("https://www.nba.com/stats/events?CFID=&amp;CFPARAMS=&amp;GameEventID=274&amp;GameID=0042000172&amp;Season=2020-21&amp;flag=1&amp;title=Leonard%20fadeaway%20Jump%20Shot%20(26%20PTS)", "Fadeaway Jump Shot (26 PTS)")</f>
        <v>Fadeaway Jump Shot (26 PTS)</v>
      </c>
      <c r="L1895" s="2" t="str">
        <f>HYPERLINK("https://www.nba.com/game/...-vs-...-0042000172/play-by-play?watchFullGame=true", "LAC vs DAL - Q2 01:18.00")</f>
        <v>LAC vs DAL - Q2 01:18.00</v>
      </c>
      <c r="M1895">
        <v>4.4400000000000004</v>
      </c>
      <c r="N1895">
        <v>89.96</v>
      </c>
      <c r="O1895">
        <v>53.01</v>
      </c>
      <c r="P1895">
        <v>89</v>
      </c>
      <c r="Q1895">
        <v>53</v>
      </c>
      <c r="R1895">
        <v>89</v>
      </c>
      <c r="S1895">
        <v>53</v>
      </c>
    </row>
    <row r="1896" spans="1:19" hidden="1" x14ac:dyDescent="0.25">
      <c r="A1896">
        <v>22301043</v>
      </c>
      <c r="B1896" t="s">
        <v>18</v>
      </c>
      <c r="C1896" t="s">
        <v>19</v>
      </c>
      <c r="D1896">
        <v>66</v>
      </c>
      <c r="E1896">
        <v>73</v>
      </c>
      <c r="F1896">
        <v>7</v>
      </c>
      <c r="G1896">
        <v>3</v>
      </c>
      <c r="H1896" s="1">
        <v>7.1759259259259259E-3</v>
      </c>
      <c r="I1896">
        <v>2023</v>
      </c>
      <c r="J1896" t="s">
        <v>83</v>
      </c>
      <c r="K1896" s="2" t="str">
        <f>HYPERLINK("https://www.nba.com/stats/events?CFID=&amp;CFPARAMS=&amp;GameEventID=316&amp;GameID=0022301043&amp;Season=2023-24&amp;flag=1&amp;title=Leonard%20fadeaway%20Jump%20Shot%20(17%20PTS)", "Fadeaway Jump Shot (17 PTS)")</f>
        <v>Fadeaway Jump Shot (17 PTS)</v>
      </c>
      <c r="L1896" s="2" t="str">
        <f>HYPERLINK("https://www.nba.com/game/...-vs-...-0022301043/play-by-play?watchFullGame=true", "LAC vs IND - Q3 10:20.00")</f>
        <v>LAC vs IND - Q3 10:20.00</v>
      </c>
      <c r="M1896">
        <v>4.3600000000000003</v>
      </c>
      <c r="N1896">
        <v>89.8</v>
      </c>
      <c r="O1896">
        <v>50.74</v>
      </c>
      <c r="P1896">
        <v>4</v>
      </c>
      <c r="Q1896">
        <v>43</v>
      </c>
      <c r="R1896">
        <v>89</v>
      </c>
      <c r="S1896">
        <v>50</v>
      </c>
    </row>
    <row r="1897" spans="1:19" hidden="1" x14ac:dyDescent="0.25">
      <c r="A1897">
        <v>22300749</v>
      </c>
      <c r="B1897" t="s">
        <v>18</v>
      </c>
      <c r="C1897" t="s">
        <v>88</v>
      </c>
      <c r="D1897">
        <v>26</v>
      </c>
      <c r="E1897">
        <v>24</v>
      </c>
      <c r="F1897">
        <v>2</v>
      </c>
      <c r="G1897">
        <v>1</v>
      </c>
      <c r="H1897" s="1">
        <v>1.0648148148148149E-3</v>
      </c>
      <c r="I1897">
        <v>2023</v>
      </c>
      <c r="J1897" t="s">
        <v>83</v>
      </c>
      <c r="K1897" s="2" t="str">
        <f>HYPERLINK("https://www.nba.com/stats/events?CFID=&amp;CFPARAMS=&amp;GameEventID=142&amp;GameID=0022300749&amp;Season=2023-24&amp;flag=1&amp;title=Leonard%20running%20DUNK%20(8%20PTS)", "Running DUNK (8 PTS)")</f>
        <v>Running DUNK (8 PTS)</v>
      </c>
      <c r="L1897" s="2" t="str">
        <f>HYPERLINK("https://www.nba.com/game/...-vs-...-0022300749/play-by-play?watchFullGame=true", "LAC vs DET - Q1 01:32.00")</f>
        <v>LAC vs DET - Q1 01:32.00</v>
      </c>
      <c r="M1897">
        <v>4.45</v>
      </c>
      <c r="N1897">
        <v>89.83</v>
      </c>
      <c r="O1897">
        <v>52.21</v>
      </c>
      <c r="P1897">
        <v>11</v>
      </c>
      <c r="Q1897">
        <v>43</v>
      </c>
      <c r="R1897">
        <v>89</v>
      </c>
      <c r="S1897">
        <v>52</v>
      </c>
    </row>
    <row r="1898" spans="1:19" hidden="1" x14ac:dyDescent="0.25">
      <c r="A1898">
        <v>22400783</v>
      </c>
      <c r="B1898" t="s">
        <v>18</v>
      </c>
      <c r="C1898" t="s">
        <v>88</v>
      </c>
      <c r="D1898">
        <v>78</v>
      </c>
      <c r="E1898">
        <v>68</v>
      </c>
      <c r="F1898">
        <v>10</v>
      </c>
      <c r="G1898">
        <v>3</v>
      </c>
      <c r="H1898" s="1">
        <v>6.5277777777777782E-3</v>
      </c>
      <c r="I1898">
        <v>2024</v>
      </c>
      <c r="J1898" t="s">
        <v>83</v>
      </c>
      <c r="K1898" s="2" t="str">
        <f>HYPERLINK("https://www.nba.com/stats/events?CFID=&amp;CFPARAMS=&amp;GameEventID=385&amp;GameID=0022400783&amp;Season=2024-25&amp;flag=1&amp;title=Leonard%20running%20DUNK%20(18%20PTS)%20(Dunn%205%20AST)", "Running DUNK (18 PTS) (K. Dunn 5 AST)")</f>
        <v>Running DUNK (18 PTS) (K. Dunn 5 AST)</v>
      </c>
      <c r="L1898" s="2" t="str">
        <f>HYPERLINK("https://www.nba.com/game/...-vs-...-0022400783/play-by-play?watchFullGame=true", "LAC vs MEM - Q3 09:24.00")</f>
        <v>LAC vs MEM - Q3 09:24.00</v>
      </c>
      <c r="M1898">
        <v>4.28</v>
      </c>
      <c r="N1898">
        <v>90.41</v>
      </c>
      <c r="O1898">
        <v>45.96</v>
      </c>
      <c r="P1898">
        <v>-20</v>
      </c>
      <c r="Q1898">
        <v>38</v>
      </c>
      <c r="R1898">
        <v>90</v>
      </c>
      <c r="S1898">
        <v>45</v>
      </c>
    </row>
    <row r="1899" spans="1:19" hidden="1" x14ac:dyDescent="0.25">
      <c r="A1899">
        <v>22301003</v>
      </c>
      <c r="B1899" t="s">
        <v>26</v>
      </c>
      <c r="C1899" t="s">
        <v>19</v>
      </c>
      <c r="D1899">
        <v>25</v>
      </c>
      <c r="E1899">
        <v>23</v>
      </c>
      <c r="F1899">
        <v>2</v>
      </c>
      <c r="G1899">
        <v>1</v>
      </c>
      <c r="H1899" s="1">
        <v>1.261574074074074E-3</v>
      </c>
      <c r="I1899">
        <v>2023</v>
      </c>
      <c r="J1899" t="s">
        <v>83</v>
      </c>
      <c r="K1899" s="2" t="str">
        <f>HYPERLINK("https://www.nba.com/stats/events?CFID=&amp;CFPARAMS=&amp;GameEventID=106&amp;GameID=0022301003&amp;Season=2023-24&amp;flag=1&amp;title=Leonard%203PT%20step%20back%20(7%20PTS)", "3PT step back (7 PTS)")</f>
        <v>3PT step back (7 PTS)</v>
      </c>
      <c r="L1899" s="2" t="str">
        <f>HYPERLINK("https://www.nba.com/game/...-vs-...-0022301003/play-by-play?watchFullGame=true", "LAC vs POR - Q1 01:49.00")</f>
        <v>LAC vs POR - Q1 01:49.00</v>
      </c>
      <c r="M1899">
        <v>23.41</v>
      </c>
      <c r="N1899">
        <v>90.75</v>
      </c>
      <c r="O1899">
        <v>3.68</v>
      </c>
      <c r="P1899">
        <v>-232</v>
      </c>
      <c r="Q1899">
        <v>34</v>
      </c>
      <c r="R1899">
        <v>90</v>
      </c>
      <c r="S1899">
        <v>3</v>
      </c>
    </row>
    <row r="1900" spans="1:19" hidden="1" x14ac:dyDescent="0.25">
      <c r="A1900">
        <v>22200525</v>
      </c>
      <c r="B1900" t="s">
        <v>26</v>
      </c>
      <c r="C1900" t="s">
        <v>19</v>
      </c>
      <c r="D1900">
        <v>13</v>
      </c>
      <c r="E1900">
        <v>11</v>
      </c>
      <c r="F1900">
        <v>2</v>
      </c>
      <c r="G1900">
        <v>1</v>
      </c>
      <c r="H1900" s="1">
        <v>4.5486111111111109E-3</v>
      </c>
      <c r="I1900">
        <v>2022</v>
      </c>
      <c r="J1900" t="s">
        <v>83</v>
      </c>
      <c r="K1900" s="2" t="str">
        <f>HYPERLINK("https://www.nba.com/stats/events?CFID=&amp;CFPARAMS=&amp;GameEventID=68&amp;GameID=0022200525&amp;Season=2022-23&amp;flag=1&amp;title=Leonard%203PT%20%20(6%20PTS)%20(J.%20Wall%201%20AST)", "3PT  (6 PTS) (J. Wall 1 AST)")</f>
        <v>3PT  (6 PTS) (J. Wall 1 AST)</v>
      </c>
      <c r="L1900" s="2" t="str">
        <f>HYPERLINK("https://www.nba.com/game/...-vs-...-0022200525/play-by-play?watchFullGame=true", "LAC vs BOS - Q1 06:33.00")</f>
        <v>LAC vs BOS - Q1 06:33.00</v>
      </c>
      <c r="M1900">
        <v>23.05</v>
      </c>
      <c r="N1900">
        <v>90.75</v>
      </c>
      <c r="O1900">
        <v>4.41</v>
      </c>
      <c r="P1900">
        <v>-228</v>
      </c>
      <c r="Q1900">
        <v>34</v>
      </c>
      <c r="R1900">
        <v>90</v>
      </c>
      <c r="S1900">
        <v>4</v>
      </c>
    </row>
    <row r="1901" spans="1:19" hidden="1" x14ac:dyDescent="0.25">
      <c r="A1901">
        <v>22000605</v>
      </c>
      <c r="B1901" t="s">
        <v>18</v>
      </c>
      <c r="C1901" t="s">
        <v>19</v>
      </c>
      <c r="D1901">
        <v>24</v>
      </c>
      <c r="E1901">
        <v>13</v>
      </c>
      <c r="F1901">
        <v>11</v>
      </c>
      <c r="G1901">
        <v>1</v>
      </c>
      <c r="H1901" s="1">
        <v>1.8981481481481482E-3</v>
      </c>
      <c r="I1901">
        <v>2020</v>
      </c>
      <c r="J1901" t="s">
        <v>83</v>
      </c>
      <c r="K1901" s="2" t="str">
        <f>HYPERLINK("https://www.nba.com/stats/events?CFID=&amp;CFPARAMS=&amp;GameEventID=95&amp;GameID=0022000605&amp;Season=2020-21&amp;flag=1&amp;title=Leonard%2015'%20turnaround%20fadeaway%20Jump%20Shot%20(6%20PTS)%20(N.%20Batum%201%20AST)", "15' turnaround fadeaway Jump Shot (6 PTS) (N. Batum 1 AST)")</f>
        <v>15' turnaround fadeaway Jump Shot (6 PTS) (N. Batum 1 AST)</v>
      </c>
      <c r="L1901" s="2" t="str">
        <f>HYPERLINK("https://www.nba.com/game/...-vs-...-0022000605/play-by-play?watchFullGame=true", "LAC vs DAL - Q1 02:44.00")</f>
        <v>LAC vs DAL - Q1 02:44.00</v>
      </c>
      <c r="M1901">
        <v>15.31</v>
      </c>
      <c r="N1901">
        <v>90.75</v>
      </c>
      <c r="O1901">
        <v>20.170000000000002</v>
      </c>
      <c r="P1901">
        <v>-149</v>
      </c>
      <c r="Q1901">
        <v>34</v>
      </c>
      <c r="R1901">
        <v>90</v>
      </c>
      <c r="S1901">
        <v>20</v>
      </c>
    </row>
    <row r="1902" spans="1:19" hidden="1" x14ac:dyDescent="0.25">
      <c r="A1902">
        <v>21900051</v>
      </c>
      <c r="B1902" t="s">
        <v>18</v>
      </c>
      <c r="C1902" t="s">
        <v>84</v>
      </c>
      <c r="D1902">
        <v>14</v>
      </c>
      <c r="E1902">
        <v>3</v>
      </c>
      <c r="F1902">
        <v>11</v>
      </c>
      <c r="G1902">
        <v>1</v>
      </c>
      <c r="H1902" s="1">
        <v>6.076388888888889E-3</v>
      </c>
      <c r="I1902">
        <v>2019</v>
      </c>
      <c r="J1902" t="s">
        <v>83</v>
      </c>
      <c r="K1902" s="2" t="str">
        <f>HYPERLINK("https://www.nba.com/stats/events?CFID=&amp;CFPARAMS=&amp;GameEventID=46&amp;GameID=0021900051&amp;Season=2019-20&amp;flag=1&amp;title=[LAC]%20Leonard%20jumpshot:%20Made%20(8%20PTS)", "[LAC] Leonard jumpshot: Made (8 PTS)")</f>
        <v>[LAC] Leonard jumpshot: Made (8 PTS)</v>
      </c>
      <c r="L1902" s="2" t="str">
        <f>HYPERLINK("https://www.nba.com/game/...-vs-...-0021900051/play-by-play?watchFullGame=true", "LAC vs CHA - Q1 08:45.00")</f>
        <v>LAC vs CHA - Q1 08:45.00</v>
      </c>
      <c r="M1902">
        <v>16.850000000000001</v>
      </c>
      <c r="N1902">
        <v>90.85</v>
      </c>
      <c r="O1902">
        <v>82.77</v>
      </c>
      <c r="P1902">
        <v>164</v>
      </c>
      <c r="Q1902">
        <v>34</v>
      </c>
      <c r="R1902">
        <v>90</v>
      </c>
      <c r="S1902">
        <v>82</v>
      </c>
    </row>
    <row r="1903" spans="1:19" hidden="1" x14ac:dyDescent="0.25">
      <c r="A1903">
        <v>22400596</v>
      </c>
      <c r="B1903" t="s">
        <v>18</v>
      </c>
      <c r="C1903" t="s">
        <v>19</v>
      </c>
      <c r="D1903">
        <v>37</v>
      </c>
      <c r="E1903">
        <v>28</v>
      </c>
      <c r="F1903">
        <v>9</v>
      </c>
      <c r="G1903">
        <v>2</v>
      </c>
      <c r="H1903" s="1">
        <v>7.6967592592592591E-3</v>
      </c>
      <c r="I1903">
        <v>2024</v>
      </c>
      <c r="J1903" t="s">
        <v>83</v>
      </c>
      <c r="K1903" s="2" t="str">
        <f>HYPERLINK("https://www.nba.com/stats/events?CFID=&amp;CFPARAMS=&amp;GameEventID=153&amp;GameID=0022400596&amp;Season=2024-25&amp;flag=1&amp;title=Leonard%2012'%20step%20back%20Jump%20Shot%20(7%20PTS)", "12' step back Jump Shot (7 PTS)")</f>
        <v>12' step back Jump Shot (7 PTS)</v>
      </c>
      <c r="L1903" s="2" t="str">
        <f>HYPERLINK("https://www.nba.com/game/...-vs-...-0022400596/play-by-play?watchFullGame=true", "LAC vs LAL - Q2 11:05.00")</f>
        <v>LAC vs LAL - Q2 11:05.00</v>
      </c>
      <c r="M1903">
        <v>12.02</v>
      </c>
      <c r="N1903">
        <v>90.41</v>
      </c>
      <c r="O1903">
        <v>72.819999999999993</v>
      </c>
      <c r="P1903">
        <v>114</v>
      </c>
      <c r="Q1903">
        <v>38</v>
      </c>
      <c r="R1903">
        <v>90</v>
      </c>
      <c r="S1903">
        <v>72</v>
      </c>
    </row>
    <row r="1904" spans="1:19" hidden="1" x14ac:dyDescent="0.25">
      <c r="A1904">
        <v>21900499</v>
      </c>
      <c r="B1904" t="s">
        <v>18</v>
      </c>
      <c r="C1904" t="s">
        <v>84</v>
      </c>
      <c r="D1904">
        <v>16</v>
      </c>
      <c r="E1904">
        <v>13</v>
      </c>
      <c r="F1904">
        <v>3</v>
      </c>
      <c r="G1904">
        <v>1</v>
      </c>
      <c r="H1904" s="1">
        <v>2.8703703703703703E-3</v>
      </c>
      <c r="I1904">
        <v>2019</v>
      </c>
      <c r="J1904" t="s">
        <v>83</v>
      </c>
      <c r="K1904" s="2" t="str">
        <f>HYPERLINK("https://www.nba.com/stats/events?CFID=&amp;CFPARAMS=&amp;GameEventID=108&amp;GameID=0021900499&amp;Season=2019-20&amp;flag=1&amp;title=Leonard%209'%20jumpshot%20(4%20PTS)", "9' jumpshot (4 PTS)")</f>
        <v>9' jumpshot (4 PTS)</v>
      </c>
      <c r="L1904" s="2" t="str">
        <f>HYPERLINK("https://www.nba.com/game/...-vs-...-0021900499/play-by-play?watchFullGame=true", "LAC vs SAC - Q1 04:08.00")</f>
        <v>LAC vs SAC - Q1 04:08.00</v>
      </c>
      <c r="M1904">
        <v>9.49</v>
      </c>
      <c r="N1904">
        <v>90.49</v>
      </c>
      <c r="O1904">
        <v>66.98</v>
      </c>
      <c r="P1904">
        <v>85</v>
      </c>
      <c r="Q1904">
        <v>37</v>
      </c>
      <c r="R1904">
        <v>90</v>
      </c>
      <c r="S1904">
        <v>66</v>
      </c>
    </row>
    <row r="1905" spans="1:19" hidden="1" x14ac:dyDescent="0.25">
      <c r="A1905">
        <v>22201215</v>
      </c>
      <c r="B1905" t="s">
        <v>18</v>
      </c>
      <c r="C1905" t="s">
        <v>19</v>
      </c>
      <c r="D1905">
        <v>18</v>
      </c>
      <c r="E1905">
        <v>23</v>
      </c>
      <c r="F1905">
        <v>5</v>
      </c>
      <c r="G1905">
        <v>1</v>
      </c>
      <c r="H1905" s="1">
        <v>2.3263888888888887E-3</v>
      </c>
      <c r="I1905">
        <v>2022</v>
      </c>
      <c r="J1905" t="s">
        <v>83</v>
      </c>
      <c r="K1905" s="2" t="str">
        <f>HYPERLINK("https://www.nba.com/stats/events?CFID=&amp;CFPARAMS=&amp;GameEventID=111&amp;GameID=0022201215&amp;Season=2022-23&amp;flag=1&amp;title=Leonard%207'%20driving%20floating%20bank%20Jump%20Shot%20(6%20PTS)%20(N.%20Powell%201%20AST)", "7' driving floating bank Jump Shot (6 PTS) (N. Powell 1 AST)")</f>
        <v>7' driving floating bank Jump Shot (6 PTS) (N. Powell 1 AST)</v>
      </c>
      <c r="L1905" s="2" t="str">
        <f>HYPERLINK("https://www.nba.com/game/...-vs-...-0022201215/play-by-play?watchFullGame=true", "LAC vs POR - Q1 03:21.00")</f>
        <v>LAC vs POR - Q1 03:21.00</v>
      </c>
      <c r="M1905">
        <v>7.58</v>
      </c>
      <c r="N1905">
        <v>90.72</v>
      </c>
      <c r="O1905">
        <v>36.520000000000003</v>
      </c>
      <c r="P1905">
        <v>-67</v>
      </c>
      <c r="Q1905">
        <v>35</v>
      </c>
      <c r="R1905">
        <v>90</v>
      </c>
      <c r="S1905">
        <v>36</v>
      </c>
    </row>
    <row r="1906" spans="1:19" hidden="1" x14ac:dyDescent="0.25">
      <c r="A1906">
        <v>22200525</v>
      </c>
      <c r="B1906" t="s">
        <v>18</v>
      </c>
      <c r="C1906" t="s">
        <v>19</v>
      </c>
      <c r="D1906">
        <v>43</v>
      </c>
      <c r="E1906">
        <v>54</v>
      </c>
      <c r="F1906">
        <v>11</v>
      </c>
      <c r="G1906">
        <v>2</v>
      </c>
      <c r="H1906" s="1">
        <v>1.5046296296296296E-3</v>
      </c>
      <c r="I1906">
        <v>2022</v>
      </c>
      <c r="J1906" t="s">
        <v>83</v>
      </c>
      <c r="K1906" s="2" t="str">
        <f>HYPERLINK("https://www.nba.com/stats/events?CFID=&amp;CFPARAMS=&amp;GameEventID=278&amp;GameID=0022200525&amp;Season=2022-23&amp;flag=1&amp;title=Leonard%207'%20pullup%20Jump%20Shot%20(15%20PTS)", "7' pullup Jump Shot (15 PTS)")</f>
        <v>7' pullup Jump Shot (15 PTS)</v>
      </c>
      <c r="L1906" s="2" t="str">
        <f>HYPERLINK("https://www.nba.com/game/...-vs-...-0022200525/play-by-play?watchFullGame=true", "LAC vs BOS - Q2 02:10.00")</f>
        <v>LAC vs BOS - Q2 02:10.00</v>
      </c>
      <c r="M1906">
        <v>7.46</v>
      </c>
      <c r="N1906">
        <v>90.75</v>
      </c>
      <c r="O1906">
        <v>63.24</v>
      </c>
      <c r="P1906">
        <v>66</v>
      </c>
      <c r="Q1906">
        <v>34</v>
      </c>
      <c r="R1906">
        <v>90</v>
      </c>
      <c r="S1906">
        <v>63</v>
      </c>
    </row>
    <row r="1907" spans="1:19" hidden="1" x14ac:dyDescent="0.25">
      <c r="A1907">
        <v>21900115</v>
      </c>
      <c r="B1907" t="s">
        <v>18</v>
      </c>
      <c r="C1907" t="s">
        <v>84</v>
      </c>
      <c r="D1907">
        <v>90</v>
      </c>
      <c r="E1907">
        <v>93</v>
      </c>
      <c r="F1907">
        <v>3</v>
      </c>
      <c r="G1907">
        <v>4</v>
      </c>
      <c r="H1907" s="1">
        <v>2.673611111111111E-3</v>
      </c>
      <c r="I1907">
        <v>2019</v>
      </c>
      <c r="J1907" t="s">
        <v>83</v>
      </c>
      <c r="K1907" s="2" t="str">
        <f>HYPERLINK("https://www.nba.com/stats/events?CFID=&amp;CFPARAMS=&amp;GameEventID=623&amp;GameID=0021900115&amp;Season=2019-20&amp;flag=1&amp;title=[LAC]%20Leonard%20jumpshot:%20Made%20(19%20PTS)", "[LAC] Leonard jumpshot: Made (19 PTS)")</f>
        <v>[LAC] Leonard jumpshot: Made (19 PTS)</v>
      </c>
      <c r="L1907" s="2" t="str">
        <f>HYPERLINK("https://www.nba.com/game/...-vs-...-0021900115/play-by-play?watchFullGame=true", "LAC vs POR - Q4 03:51.00")</f>
        <v>LAC vs POR - Q4 03:51.00</v>
      </c>
      <c r="M1907">
        <v>6.82</v>
      </c>
      <c r="N1907">
        <v>90.19</v>
      </c>
      <c r="O1907">
        <v>60.23</v>
      </c>
      <c r="P1907">
        <v>51</v>
      </c>
      <c r="Q1907">
        <v>40</v>
      </c>
      <c r="R1907">
        <v>90</v>
      </c>
      <c r="S1907">
        <v>60</v>
      </c>
    </row>
    <row r="1908" spans="1:19" hidden="1" x14ac:dyDescent="0.25">
      <c r="A1908">
        <v>22300688</v>
      </c>
      <c r="B1908" t="s">
        <v>18</v>
      </c>
      <c r="C1908" t="s">
        <v>19</v>
      </c>
      <c r="D1908">
        <v>25</v>
      </c>
      <c r="E1908">
        <v>28</v>
      </c>
      <c r="F1908">
        <v>3</v>
      </c>
      <c r="G1908">
        <v>1</v>
      </c>
      <c r="H1908" s="1">
        <v>1.0416666666666667E-3</v>
      </c>
      <c r="I1908">
        <v>2023</v>
      </c>
      <c r="J1908" t="s">
        <v>83</v>
      </c>
      <c r="K1908" s="2" t="str">
        <f>HYPERLINK("https://www.nba.com/stats/events?CFID=&amp;CFPARAMS=&amp;GameEventID=127&amp;GameID=0022300688&amp;Season=2023-24&amp;flag=1&amp;title=Leonard%206'%20running%20pullup%20Jump%20Shot%20(12%20PTS)", "6' running pullup Jump Shot (12 PTS)")</f>
        <v>6' running pullup Jump Shot (12 PTS)</v>
      </c>
      <c r="L1908" s="2" t="str">
        <f>HYPERLINK("https://www.nba.com/game/...-vs-...-0022300688/play-by-play?watchFullGame=true", "LAC vs DET - Q1 01:30.00")</f>
        <v>LAC vs DET - Q1 01:30.00</v>
      </c>
      <c r="M1908">
        <v>6.04</v>
      </c>
      <c r="N1908">
        <v>90.49</v>
      </c>
      <c r="O1908">
        <v>59.56</v>
      </c>
      <c r="P1908">
        <v>48</v>
      </c>
      <c r="Q1908">
        <v>37</v>
      </c>
      <c r="R1908">
        <v>90</v>
      </c>
      <c r="S1908">
        <v>59</v>
      </c>
    </row>
    <row r="1909" spans="1:19" hidden="1" x14ac:dyDescent="0.25">
      <c r="A1909">
        <v>22200735</v>
      </c>
      <c r="B1909" t="s">
        <v>18</v>
      </c>
      <c r="C1909" t="s">
        <v>19</v>
      </c>
      <c r="D1909">
        <v>62</v>
      </c>
      <c r="E1909">
        <v>44</v>
      </c>
      <c r="F1909">
        <v>18</v>
      </c>
      <c r="G1909">
        <v>2</v>
      </c>
      <c r="H1909" s="1">
        <v>3.3449074074074076E-3</v>
      </c>
      <c r="I1909">
        <v>2022</v>
      </c>
      <c r="J1909" t="s">
        <v>83</v>
      </c>
      <c r="K1909" s="2" t="str">
        <f>HYPERLINK("https://www.nba.com/stats/events?CFID=&amp;CFPARAMS=&amp;GameEventID=260&amp;GameID=0022200735&amp;Season=2022-23&amp;flag=1&amp;title=Leonard%20floating%20Jump%20Shot%20(16%20PTS)", "Floating Jump Shot (16 PTS)")</f>
        <v>Floating Jump Shot (16 PTS)</v>
      </c>
      <c r="L1909" s="2" t="str">
        <f>HYPERLINK("https://www.nba.com/game/...-vs-...-0022200735/play-by-play?watchFullGame=true", "LAC vs SAS - Q2 04:49.00")</f>
        <v>LAC vs SAS - Q2 04:49.00</v>
      </c>
      <c r="M1909">
        <v>4.88</v>
      </c>
      <c r="N1909">
        <v>90.85</v>
      </c>
      <c r="O1909">
        <v>57.11</v>
      </c>
      <c r="P1909">
        <v>36</v>
      </c>
      <c r="Q1909">
        <v>34</v>
      </c>
      <c r="R1909">
        <v>90</v>
      </c>
      <c r="S1909">
        <v>57</v>
      </c>
    </row>
    <row r="1910" spans="1:19" hidden="1" x14ac:dyDescent="0.25">
      <c r="A1910">
        <v>22201162</v>
      </c>
      <c r="B1910" t="s">
        <v>18</v>
      </c>
      <c r="C1910" t="s">
        <v>87</v>
      </c>
      <c r="D1910">
        <v>49</v>
      </c>
      <c r="E1910">
        <v>42</v>
      </c>
      <c r="F1910">
        <v>7</v>
      </c>
      <c r="G1910">
        <v>2</v>
      </c>
      <c r="H1910" s="1">
        <v>2.673611111111111E-3</v>
      </c>
      <c r="I1910">
        <v>2022</v>
      </c>
      <c r="J1910" t="s">
        <v>83</v>
      </c>
      <c r="K1910" s="2" t="str">
        <f>HYPERLINK("https://www.nba.com/stats/events?CFID=&amp;CFPARAMS=&amp;GameEventID=290&amp;GameID=0022201162&amp;Season=2022-23&amp;flag=1&amp;title=Leonard%20driving%20Layup%20(10%20PTS)", "Driving Layup (10 PTS)")</f>
        <v>Driving Layup (10 PTS)</v>
      </c>
      <c r="L1910" s="2" t="str">
        <f>HYPERLINK("https://www.nba.com/game/...-vs-...-0022201162/play-by-play?watchFullGame=true", "LAC vs NOP - Q2 03:51.00")</f>
        <v>LAC vs NOP - Q2 03:51.00</v>
      </c>
      <c r="M1910">
        <v>4.8499999999999996</v>
      </c>
      <c r="N1910">
        <v>90.23</v>
      </c>
      <c r="O1910">
        <v>44.36</v>
      </c>
      <c r="P1910">
        <v>-28</v>
      </c>
      <c r="Q1910">
        <v>39</v>
      </c>
      <c r="R1910">
        <v>90</v>
      </c>
      <c r="S1910">
        <v>44</v>
      </c>
    </row>
    <row r="1911" spans="1:19" hidden="1" x14ac:dyDescent="0.25">
      <c r="A1911">
        <v>21900653</v>
      </c>
      <c r="B1911" t="s">
        <v>18</v>
      </c>
      <c r="C1911" t="s">
        <v>84</v>
      </c>
      <c r="D1911">
        <v>77</v>
      </c>
      <c r="E1911">
        <v>66</v>
      </c>
      <c r="F1911">
        <v>11</v>
      </c>
      <c r="G1911">
        <v>3</v>
      </c>
      <c r="H1911" s="1">
        <v>2.7314814814814814E-3</v>
      </c>
      <c r="I1911">
        <v>2019</v>
      </c>
      <c r="J1911" t="s">
        <v>83</v>
      </c>
      <c r="K1911" s="2" t="str">
        <f>HYPERLINK("https://www.nba.com/stats/events?CFID=&amp;CFPARAMS=&amp;GameEventID=487&amp;GameID=0021900653&amp;Season=2019-20&amp;flag=1&amp;title=Leonard%20jumpshot%20(23%20PTS)", "Jumpshot (23 PTS)")</f>
        <v>Jumpshot (23 PTS)</v>
      </c>
      <c r="L1911" s="2" t="str">
        <f>HYPERLINK("https://www.nba.com/game/...-vs-...-0021900653/play-by-play?watchFullGame=true", "LAC vs DAL - Q3 03:56.00")</f>
        <v>LAC vs DAL - Q3 03:56.00</v>
      </c>
      <c r="M1911">
        <v>4.84</v>
      </c>
      <c r="N1911">
        <v>90.28</v>
      </c>
      <c r="O1911">
        <v>53.86</v>
      </c>
      <c r="P1911">
        <v>19</v>
      </c>
      <c r="Q1911">
        <v>39</v>
      </c>
      <c r="R1911">
        <v>90</v>
      </c>
      <c r="S1911">
        <v>53</v>
      </c>
    </row>
    <row r="1912" spans="1:19" hidden="1" x14ac:dyDescent="0.25">
      <c r="A1912">
        <v>22301043</v>
      </c>
      <c r="B1912" t="s">
        <v>18</v>
      </c>
      <c r="C1912" t="s">
        <v>87</v>
      </c>
      <c r="D1912">
        <v>83</v>
      </c>
      <c r="E1912">
        <v>86</v>
      </c>
      <c r="F1912">
        <v>3</v>
      </c>
      <c r="G1912">
        <v>3</v>
      </c>
      <c r="H1912" s="1">
        <v>2.1990740740740742E-3</v>
      </c>
      <c r="I1912">
        <v>2023</v>
      </c>
      <c r="J1912" t="s">
        <v>83</v>
      </c>
      <c r="K1912" s="2" t="str">
        <f>HYPERLINK("https://www.nba.com/stats/events?CFID=&amp;CFPARAMS=&amp;GameEventID=420&amp;GameID=0022301043&amp;Season=2023-24&amp;flag=1&amp;title=Leonard%20Layup%20(22%20PTS)%20(R.%20Westbrook%205%20AST)", "Layup (22 PTS) (R. Westbrook 5 AST)")</f>
        <v>Layup (22 PTS) (R. Westbrook 5 AST)</v>
      </c>
      <c r="L1912" s="2" t="str">
        <f>HYPERLINK("https://www.nba.com/game/...-vs-...-0022301043/play-by-play?watchFullGame=true", "LAC vs IND - Q3 03:10.00")</f>
        <v>LAC vs IND - Q3 03:10.00</v>
      </c>
      <c r="M1912">
        <v>4.3499999999999996</v>
      </c>
      <c r="N1912">
        <v>90.06</v>
      </c>
      <c r="O1912">
        <v>52.94</v>
      </c>
      <c r="P1912">
        <v>15</v>
      </c>
      <c r="Q1912">
        <v>41</v>
      </c>
      <c r="R1912">
        <v>90</v>
      </c>
      <c r="S1912">
        <v>52</v>
      </c>
    </row>
    <row r="1913" spans="1:19" hidden="1" x14ac:dyDescent="0.25">
      <c r="A1913">
        <v>22000501</v>
      </c>
      <c r="B1913" t="s">
        <v>18</v>
      </c>
      <c r="C1913" t="s">
        <v>87</v>
      </c>
      <c r="D1913">
        <v>2</v>
      </c>
      <c r="E1913">
        <v>0</v>
      </c>
      <c r="F1913">
        <v>2</v>
      </c>
      <c r="G1913">
        <v>1</v>
      </c>
      <c r="H1913" s="1">
        <v>8.1250000000000003E-3</v>
      </c>
      <c r="I1913">
        <v>2020</v>
      </c>
      <c r="J1913" t="s">
        <v>83</v>
      </c>
      <c r="K1913" s="2" t="str">
        <f>HYPERLINK("https://www.nba.com/stats/events?CFID=&amp;CFPARAMS=&amp;GameEventID=7&amp;GameID=0022000501&amp;Season=2020-21&amp;flag=1&amp;title=Leonard%20driving%20Layup%20(2%20PTS)", "Driving Layup (2 PTS)")</f>
        <v>Driving Layup (2 PTS)</v>
      </c>
      <c r="L1913" s="2" t="str">
        <f>HYPERLINK("https://www.nba.com/game/...-vs-...-0022000501/play-by-play?watchFullGame=true", "LAC vs MEM - Q1 11:42.00")</f>
        <v>LAC vs MEM - Q1 11:42.00</v>
      </c>
      <c r="M1913">
        <v>4.09</v>
      </c>
      <c r="N1913">
        <v>90.62</v>
      </c>
      <c r="O1913">
        <v>53.99</v>
      </c>
      <c r="P1913">
        <v>20</v>
      </c>
      <c r="Q1913">
        <v>36</v>
      </c>
      <c r="R1913">
        <v>90</v>
      </c>
      <c r="S1913">
        <v>53</v>
      </c>
    </row>
    <row r="1914" spans="1:19" hidden="1" x14ac:dyDescent="0.25">
      <c r="A1914">
        <v>21900406</v>
      </c>
      <c r="B1914" t="s">
        <v>18</v>
      </c>
      <c r="C1914" t="s">
        <v>90</v>
      </c>
      <c r="D1914">
        <v>64</v>
      </c>
      <c r="E1914">
        <v>53</v>
      </c>
      <c r="F1914">
        <v>11</v>
      </c>
      <c r="G1914">
        <v>3</v>
      </c>
      <c r="H1914" s="1">
        <v>5.347222222222222E-3</v>
      </c>
      <c r="I1914">
        <v>2019</v>
      </c>
      <c r="J1914" t="s">
        <v>83</v>
      </c>
      <c r="K1914" s="2" t="str">
        <f>HYPERLINK("https://www.nba.com/stats/events?CFID=&amp;CFPARAMS=&amp;GameEventID=416&amp;GameID=0021900406&amp;Season=2019-20&amp;flag=1&amp;title=Leonard%20layup%20(12%20PTS)", "Layup (12 PTS)")</f>
        <v>Layup (12 PTS)</v>
      </c>
      <c r="L1914" s="2" t="str">
        <f>HYPERLINK("https://www.nba.com/game/...-vs-...-0021900406/play-by-play?watchFullGame=true", "LAC vs PHX - Q3 07:42.00")</f>
        <v>LAC vs PHX - Q3 07:42.00</v>
      </c>
      <c r="M1914">
        <v>4.05</v>
      </c>
      <c r="N1914">
        <v>90.72</v>
      </c>
      <c r="O1914">
        <v>50.91</v>
      </c>
      <c r="P1914">
        <v>5</v>
      </c>
      <c r="Q1914">
        <v>35</v>
      </c>
      <c r="R1914">
        <v>90</v>
      </c>
      <c r="S1914">
        <v>50</v>
      </c>
    </row>
    <row r="1915" spans="1:19" hidden="1" x14ac:dyDescent="0.25">
      <c r="A1915">
        <v>22400596</v>
      </c>
      <c r="B1915" t="s">
        <v>18</v>
      </c>
      <c r="C1915" t="s">
        <v>87</v>
      </c>
      <c r="D1915">
        <v>56</v>
      </c>
      <c r="E1915">
        <v>44</v>
      </c>
      <c r="F1915">
        <v>12</v>
      </c>
      <c r="G1915">
        <v>2</v>
      </c>
      <c r="H1915" s="1">
        <v>2.9282407407407408E-3</v>
      </c>
      <c r="I1915">
        <v>2024</v>
      </c>
      <c r="J1915" t="s">
        <v>83</v>
      </c>
      <c r="K1915" s="2" t="str">
        <f>HYPERLINK("https://www.nba.com/stats/events?CFID=&amp;CFPARAMS=&amp;GameEventID=228&amp;GameID=0022400596&amp;Season=2024-25&amp;flag=1&amp;title=Leonard%20driving%20finger%20roll%20Layup%20(11%20PTS)", "Driving finger roll Layup (11 PTS)")</f>
        <v>Driving finger roll Layup (11 PTS)</v>
      </c>
      <c r="L1915" s="2" t="str">
        <f>HYPERLINK("https://www.nba.com/game/...-vs-...-0022400596/play-by-play?watchFullGame=true", "LAC vs LAL - Q2 04:13.00")</f>
        <v>LAC vs LAL - Q2 04:13.00</v>
      </c>
      <c r="M1915">
        <v>3.99</v>
      </c>
      <c r="N1915">
        <v>90.88</v>
      </c>
      <c r="O1915">
        <v>45.59</v>
      </c>
      <c r="P1915">
        <v>-22</v>
      </c>
      <c r="Q1915">
        <v>33</v>
      </c>
      <c r="R1915">
        <v>90</v>
      </c>
      <c r="S1915">
        <v>45</v>
      </c>
    </row>
    <row r="1916" spans="1:19" hidden="1" x14ac:dyDescent="0.25">
      <c r="A1916">
        <v>21900516</v>
      </c>
      <c r="B1916" t="s">
        <v>18</v>
      </c>
      <c r="C1916" t="s">
        <v>90</v>
      </c>
      <c r="D1916">
        <v>14</v>
      </c>
      <c r="E1916">
        <v>17</v>
      </c>
      <c r="F1916">
        <v>3</v>
      </c>
      <c r="G1916">
        <v>1</v>
      </c>
      <c r="H1916" s="1">
        <v>2.3379629629629631E-3</v>
      </c>
      <c r="I1916">
        <v>2019</v>
      </c>
      <c r="J1916" t="s">
        <v>83</v>
      </c>
      <c r="K1916" s="2" t="str">
        <f>HYPERLINK("https://www.nba.com/stats/events?CFID=&amp;CFPARAMS=&amp;GameEventID=118&amp;GameID=0021900516&amp;Season=2019-20&amp;flag=1&amp;title=Leonard%20layup%20(2%20PTS)%20(J.%20Green%201%20AST)", "Layup (2 PTS) (J. Green 1 AST)")</f>
        <v>Layup (2 PTS) (J. Green 1 AST)</v>
      </c>
      <c r="L1916" s="2" t="str">
        <f>HYPERLINK("https://www.nba.com/game/...-vs-...-0021900516/play-by-play?watchFullGame=true", "LAC vs DET - Q1 03:22.00")</f>
        <v>LAC vs DET - Q1 03:22.00</v>
      </c>
      <c r="M1916">
        <v>3.91</v>
      </c>
      <c r="N1916">
        <v>90.85</v>
      </c>
      <c r="O1916">
        <v>50.42</v>
      </c>
      <c r="P1916">
        <v>2</v>
      </c>
      <c r="Q1916">
        <v>34</v>
      </c>
      <c r="R1916">
        <v>90</v>
      </c>
      <c r="S1916">
        <v>50</v>
      </c>
    </row>
    <row r="1917" spans="1:19" hidden="1" x14ac:dyDescent="0.25">
      <c r="A1917">
        <v>22000202</v>
      </c>
      <c r="B1917" t="s">
        <v>18</v>
      </c>
      <c r="C1917" t="s">
        <v>87</v>
      </c>
      <c r="D1917">
        <v>16</v>
      </c>
      <c r="E1917">
        <v>13</v>
      </c>
      <c r="F1917">
        <v>3</v>
      </c>
      <c r="G1917">
        <v>1</v>
      </c>
      <c r="H1917" s="1">
        <v>4.9537037037037041E-3</v>
      </c>
      <c r="I1917">
        <v>2020</v>
      </c>
      <c r="J1917" t="s">
        <v>83</v>
      </c>
      <c r="K1917" s="2" t="str">
        <f>HYPERLINK("https://www.nba.com/stats/events?CFID=&amp;CFPARAMS=&amp;GameEventID=52&amp;GameID=0022000202&amp;Season=2020-21&amp;flag=1&amp;title=Leonard%20finger%20roll%20Layup%20(4%20PTS)", "Finger roll Layup (4 PTS)")</f>
        <v>Finger roll Layup (4 PTS)</v>
      </c>
      <c r="L1917" s="2" t="str">
        <f>HYPERLINK("https://www.nba.com/game/...-vs-...-0022000202/play-by-play?watchFullGame=true", "LAC vs IND - Q1 07:08.00")</f>
        <v>LAC vs IND - Q1 07:08.00</v>
      </c>
      <c r="M1917">
        <v>3.82</v>
      </c>
      <c r="N1917">
        <v>90.36</v>
      </c>
      <c r="O1917">
        <v>50.56</v>
      </c>
      <c r="P1917">
        <v>3</v>
      </c>
      <c r="Q1917">
        <v>38</v>
      </c>
      <c r="R1917">
        <v>90</v>
      </c>
      <c r="S1917">
        <v>50</v>
      </c>
    </row>
    <row r="1918" spans="1:19" hidden="1" x14ac:dyDescent="0.25">
      <c r="A1918">
        <v>22200719</v>
      </c>
      <c r="B1918" t="s">
        <v>18</v>
      </c>
      <c r="C1918" t="s">
        <v>87</v>
      </c>
      <c r="D1918">
        <v>2</v>
      </c>
      <c r="E1918">
        <v>0</v>
      </c>
      <c r="F1918">
        <v>2</v>
      </c>
      <c r="G1918">
        <v>1</v>
      </c>
      <c r="H1918" s="1">
        <v>8.1018518518518514E-3</v>
      </c>
      <c r="I1918">
        <v>2022</v>
      </c>
      <c r="J1918" t="s">
        <v>83</v>
      </c>
      <c r="K1918" s="2" t="str">
        <f>HYPERLINK("https://www.nba.com/stats/events?CFID=&amp;CFPARAMS=&amp;GameEventID=7&amp;GameID=0022200719&amp;Season=2022-23&amp;flag=1&amp;title=Leonard%20driving%20finger%20roll%20Layup%20(2%20PTS)", "Driving finger roll Layup (2 PTS)")</f>
        <v>Driving finger roll Layup (2 PTS)</v>
      </c>
      <c r="L1918" s="2" t="str">
        <f>HYPERLINK("https://www.nba.com/game/...-vs-...-0022200719/play-by-play?watchFullGame=true", "LAC vs LAL - Q1 11:40.00")</f>
        <v>LAC vs LAL - Q1 11:40.00</v>
      </c>
      <c r="M1918">
        <v>3.55</v>
      </c>
      <c r="N1918">
        <v>90.98</v>
      </c>
      <c r="O1918">
        <v>52.94</v>
      </c>
      <c r="P1918">
        <v>15</v>
      </c>
      <c r="Q1918">
        <v>32</v>
      </c>
      <c r="R1918">
        <v>90</v>
      </c>
      <c r="S1918">
        <v>52</v>
      </c>
    </row>
    <row r="1919" spans="1:19" hidden="1" x14ac:dyDescent="0.25">
      <c r="A1919">
        <v>22201069</v>
      </c>
      <c r="B1919" t="s">
        <v>18</v>
      </c>
      <c r="C1919" t="s">
        <v>87</v>
      </c>
      <c r="D1919">
        <v>24</v>
      </c>
      <c r="E1919">
        <v>15</v>
      </c>
      <c r="F1919">
        <v>9</v>
      </c>
      <c r="G1919">
        <v>1</v>
      </c>
      <c r="H1919" s="1">
        <v>3.2754629629629631E-3</v>
      </c>
      <c r="I1919">
        <v>2022</v>
      </c>
      <c r="J1919" t="s">
        <v>83</v>
      </c>
      <c r="K1919" s="2" t="str">
        <f>HYPERLINK("https://www.nba.com/stats/events?CFID=&amp;CFPARAMS=&amp;GameEventID=83&amp;GameID=0022201069&amp;Season=2022-23&amp;flag=1&amp;title=Leonard%20driving%20Layup%20(8%20PTS)", "Driving Layup (8 PTS)")</f>
        <v>Driving Layup (8 PTS)</v>
      </c>
      <c r="L1919" s="2" t="str">
        <f>HYPERLINK("https://www.nba.com/game/...-vs-...-0022201069/play-by-play?watchFullGame=true", "LAC vs POR - Q1 04:43.00")</f>
        <v>LAC vs POR - Q1 04:43.00</v>
      </c>
      <c r="M1919">
        <v>3.46</v>
      </c>
      <c r="N1919">
        <v>90.75</v>
      </c>
      <c r="O1919">
        <v>49.26</v>
      </c>
      <c r="P1919">
        <v>-4</v>
      </c>
      <c r="Q1919">
        <v>34</v>
      </c>
      <c r="R1919">
        <v>90</v>
      </c>
      <c r="S1919">
        <v>49</v>
      </c>
    </row>
    <row r="1920" spans="1:19" hidden="1" x14ac:dyDescent="0.25">
      <c r="A1920">
        <v>22400715</v>
      </c>
      <c r="B1920" t="s">
        <v>18</v>
      </c>
      <c r="C1920" t="s">
        <v>87</v>
      </c>
      <c r="D1920">
        <v>31</v>
      </c>
      <c r="E1920">
        <v>47</v>
      </c>
      <c r="F1920">
        <v>16</v>
      </c>
      <c r="G1920">
        <v>2</v>
      </c>
      <c r="H1920" s="1">
        <v>7.3842592592592597E-3</v>
      </c>
      <c r="I1920">
        <v>2024</v>
      </c>
      <c r="J1920" t="s">
        <v>83</v>
      </c>
      <c r="K1920" s="2" t="str">
        <f>HYPERLINK("https://www.nba.com/stats/events?CFID=&amp;CFPARAMS=&amp;GameEventID=181&amp;GameID=0022400715&amp;Season=2024-25&amp;flag=1&amp;title=Leonard%20driving%20reverse%20Layup%20(5%20PTS)%20(Porter%20Jr.%201%20AST)", "Driving reverse Layup (5 PTS) (K. Porter Jr. 1 AST)")</f>
        <v>Driving reverse Layup (5 PTS) (K. Porter Jr. 1 AST)</v>
      </c>
      <c r="L1920" s="2" t="str">
        <f>HYPERLINK("https://www.nba.com/game/...-vs-...-0022400715/play-by-play?watchFullGame=true", "LAC vs LAL - Q2 10:38.00")</f>
        <v>LAC vs LAL - Q2 10:38.00</v>
      </c>
      <c r="M1920">
        <v>3.36</v>
      </c>
      <c r="N1920">
        <v>90.88</v>
      </c>
      <c r="O1920">
        <v>50.98</v>
      </c>
      <c r="P1920">
        <v>5</v>
      </c>
      <c r="Q1920">
        <v>33</v>
      </c>
      <c r="R1920">
        <v>90</v>
      </c>
      <c r="S1920">
        <v>50</v>
      </c>
    </row>
    <row r="1921" spans="1:19" hidden="1" x14ac:dyDescent="0.25">
      <c r="A1921">
        <v>42000223</v>
      </c>
      <c r="B1921" t="s">
        <v>18</v>
      </c>
      <c r="C1921" t="s">
        <v>87</v>
      </c>
      <c r="D1921">
        <v>106</v>
      </c>
      <c r="E1921">
        <v>92</v>
      </c>
      <c r="F1921">
        <v>14</v>
      </c>
      <c r="G1921">
        <v>4</v>
      </c>
      <c r="H1921" s="1">
        <v>5.6249999999999998E-3</v>
      </c>
      <c r="I1921" t="s">
        <v>94</v>
      </c>
      <c r="J1921" t="s">
        <v>83</v>
      </c>
      <c r="K1921" s="2" t="str">
        <f>HYPERLINK("https://www.nba.com/stats/events?CFID=&amp;CFPARAMS=&amp;GameEventID=497&amp;GameID=0042000223&amp;Season=2020-21&amp;flag=1&amp;title=Leonard%20running%20Layup%20(24%20PTS)%20(P.%20George%205%20AST)", "Running Layup (24 PTS) (P. George 5 AST)")</f>
        <v>Running Layup (24 PTS) (P. George 5 AST)</v>
      </c>
      <c r="L1921" s="2" t="str">
        <f>HYPERLINK("https://www.nba.com/game/...-vs-...-0042000223/play-by-play?watchFullGame=true", "LAC vs UTA - Q4 08:06.00")</f>
        <v>LAC vs UTA - Q4 08:06.00</v>
      </c>
      <c r="M1921">
        <v>3.35</v>
      </c>
      <c r="N1921">
        <v>90.85</v>
      </c>
      <c r="O1921">
        <v>50.18</v>
      </c>
      <c r="P1921">
        <v>90</v>
      </c>
      <c r="Q1921">
        <v>50</v>
      </c>
      <c r="R1921">
        <v>90</v>
      </c>
      <c r="S1921">
        <v>50</v>
      </c>
    </row>
    <row r="1922" spans="1:19" hidden="1" x14ac:dyDescent="0.25">
      <c r="A1922">
        <v>22300848</v>
      </c>
      <c r="B1922" t="s">
        <v>18</v>
      </c>
      <c r="C1922" t="s">
        <v>19</v>
      </c>
      <c r="D1922">
        <v>64</v>
      </c>
      <c r="E1922">
        <v>50</v>
      </c>
      <c r="F1922">
        <v>14</v>
      </c>
      <c r="G1922">
        <v>2</v>
      </c>
      <c r="H1922" s="1">
        <v>1.2037037037037038E-3</v>
      </c>
      <c r="I1922">
        <v>2023</v>
      </c>
      <c r="J1922" t="s">
        <v>83</v>
      </c>
      <c r="K1922" s="2" t="str">
        <f>HYPERLINK("https://www.nba.com/stats/events?CFID=&amp;CFPARAMS=&amp;GameEventID=297&amp;GameID=0022300848&amp;Season=2023-24&amp;flag=1&amp;title=Leonard%20driving%20floating%20Jump%20Shot%20(14%20PTS)%20(J.%20Harden%204%20AST)", "Driving floating Jump Shot (14 PTS) (J. Harden 4 AST)")</f>
        <v>Driving floating Jump Shot (14 PTS) (J. Harden 4 AST)</v>
      </c>
      <c r="L1922" s="2" t="str">
        <f>HYPERLINK("https://www.nba.com/game/...-vs-...-0022300848/play-by-play?watchFullGame=true", "LAC vs LAL - Q2 01:44.00")</f>
        <v>LAC vs LAL - Q2 01:44.00</v>
      </c>
      <c r="M1922">
        <v>3.24</v>
      </c>
      <c r="N1922">
        <v>90.98</v>
      </c>
      <c r="O1922">
        <v>49.51</v>
      </c>
      <c r="P1922">
        <v>-2</v>
      </c>
      <c r="Q1922">
        <v>32</v>
      </c>
      <c r="R1922">
        <v>90</v>
      </c>
      <c r="S1922">
        <v>49</v>
      </c>
    </row>
    <row r="1923" spans="1:19" hidden="1" x14ac:dyDescent="0.25">
      <c r="A1923">
        <v>21900157</v>
      </c>
      <c r="B1923" t="s">
        <v>26</v>
      </c>
      <c r="C1923" t="s">
        <v>84</v>
      </c>
      <c r="D1923">
        <v>11</v>
      </c>
      <c r="E1923">
        <v>17</v>
      </c>
      <c r="F1923">
        <v>6</v>
      </c>
      <c r="G1923">
        <v>1</v>
      </c>
      <c r="H1923" s="1">
        <v>3.9004629629629628E-3</v>
      </c>
      <c r="I1923">
        <v>2019</v>
      </c>
      <c r="J1923" t="s">
        <v>83</v>
      </c>
      <c r="K1923" s="2" t="str">
        <f>HYPERLINK("https://www.nba.com/stats/events?CFID=&amp;CFPARAMS=&amp;GameEventID=84&amp;GameID=0021900157&amp;Season=2019-20&amp;flag=1&amp;title=Leonard%2024'%203PT%20%20(3%20PTS)%20(P.%20Beverley%201%20AST)", "24' 3PT  (3 PTS) (P. Beverley 1 AST)")</f>
        <v>24' 3PT  (3 PTS) (P. Beverley 1 AST)</v>
      </c>
      <c r="L1923" s="2" t="str">
        <f>HYPERLINK("https://www.nba.com/game/...-vs-...-0021900157/play-by-play?watchFullGame=true", "LAC vs HOU - Q1 05:37.00")</f>
        <v>LAC vs HOU - Q1 05:37.00</v>
      </c>
      <c r="M1923">
        <v>24.37</v>
      </c>
      <c r="N1923">
        <v>91.77</v>
      </c>
      <c r="O1923">
        <v>1.65</v>
      </c>
      <c r="P1923">
        <v>-242</v>
      </c>
      <c r="Q1923">
        <v>25</v>
      </c>
      <c r="R1923">
        <v>91</v>
      </c>
      <c r="S1923">
        <v>1</v>
      </c>
    </row>
    <row r="1924" spans="1:19" hidden="1" x14ac:dyDescent="0.25">
      <c r="A1924">
        <v>22400733</v>
      </c>
      <c r="B1924" t="s">
        <v>26</v>
      </c>
      <c r="C1924" t="s">
        <v>19</v>
      </c>
      <c r="D1924">
        <v>8</v>
      </c>
      <c r="E1924">
        <v>2</v>
      </c>
      <c r="F1924">
        <v>6</v>
      </c>
      <c r="G1924">
        <v>1</v>
      </c>
      <c r="H1924" s="1">
        <v>6.9675925925925929E-3</v>
      </c>
      <c r="I1924">
        <v>2024</v>
      </c>
      <c r="J1924" t="s">
        <v>83</v>
      </c>
      <c r="K1924" s="2" t="str">
        <f>HYPERLINK("https://www.nba.com/stats/events?CFID=&amp;CFPARAMS=&amp;GameEventID=21&amp;GameID=0022400733&amp;Season=2024-25&amp;flag=1&amp;title=Leonard%203PT%20%20(3%20PTS)%20(N.%20Powell%201%20AST)", "3PT  (3 PTS) (N. Powell 1 AST)")</f>
        <v>3PT  (3 PTS) (N. Powell 1 AST)</v>
      </c>
      <c r="L1924" s="2" t="str">
        <f>HYPERLINK("https://www.nba.com/game/...-vs-...-0022400733/play-by-play?watchFullGame=true", "LAC vs IND - Q1 10:02.00")</f>
        <v>LAC vs IND - Q1 10:02.00</v>
      </c>
      <c r="M1924">
        <v>23.68</v>
      </c>
      <c r="N1924">
        <v>91.54</v>
      </c>
      <c r="O1924">
        <v>2.94</v>
      </c>
      <c r="P1924">
        <v>-235</v>
      </c>
      <c r="Q1924">
        <v>27</v>
      </c>
      <c r="R1924">
        <v>91</v>
      </c>
      <c r="S1924">
        <v>2</v>
      </c>
    </row>
    <row r="1925" spans="1:19" hidden="1" x14ac:dyDescent="0.25">
      <c r="A1925">
        <v>22000251</v>
      </c>
      <c r="B1925" t="s">
        <v>26</v>
      </c>
      <c r="C1925" t="s">
        <v>19</v>
      </c>
      <c r="D1925">
        <v>7</v>
      </c>
      <c r="E1925">
        <v>4</v>
      </c>
      <c r="F1925">
        <v>3</v>
      </c>
      <c r="G1925">
        <v>1</v>
      </c>
      <c r="H1925" s="1">
        <v>6.9097222222222225E-3</v>
      </c>
      <c r="I1925">
        <v>2020</v>
      </c>
      <c r="J1925" t="s">
        <v>83</v>
      </c>
      <c r="K1925" s="2" t="str">
        <f>HYPERLINK("https://www.nba.com/stats/events?CFID=&amp;CFPARAMS=&amp;GameEventID=22&amp;GameID=0022000251&amp;Season=2020-21&amp;flag=1&amp;title=Leonard%203PT%20%20(3%20PTS)%20(N.%20Batum%201%20AST)", "3PT  (3 PTS) (N. Batum 1 AST)")</f>
        <v>3PT  (3 PTS) (N. Batum 1 AST)</v>
      </c>
      <c r="L1925" s="2" t="str">
        <f>HYPERLINK("https://www.nba.com/game/...-vs-...-0022000251/play-by-play?watchFullGame=true", "LAC vs OKC - Q1 09:57.00")</f>
        <v>LAC vs OKC - Q1 09:57.00</v>
      </c>
      <c r="M1925">
        <v>23.47</v>
      </c>
      <c r="N1925">
        <v>91.02</v>
      </c>
      <c r="O1925">
        <v>3.5</v>
      </c>
      <c r="P1925">
        <v>-232</v>
      </c>
      <c r="Q1925">
        <v>32</v>
      </c>
      <c r="R1925">
        <v>91</v>
      </c>
      <c r="S1925">
        <v>3</v>
      </c>
    </row>
    <row r="1926" spans="1:19" hidden="1" x14ac:dyDescent="0.25">
      <c r="A1926">
        <v>22200991</v>
      </c>
      <c r="B1926" t="s">
        <v>26</v>
      </c>
      <c r="C1926" t="s">
        <v>19</v>
      </c>
      <c r="D1926">
        <v>49</v>
      </c>
      <c r="E1926">
        <v>49</v>
      </c>
      <c r="F1926">
        <v>0</v>
      </c>
      <c r="G1926">
        <v>2</v>
      </c>
      <c r="H1926" s="1">
        <v>2.6504629629629626E-4</v>
      </c>
      <c r="I1926">
        <v>2022</v>
      </c>
      <c r="J1926" t="s">
        <v>83</v>
      </c>
      <c r="K1926" s="2" t="str">
        <f>HYPERLINK("https://www.nba.com/stats/events?CFID=&amp;CFPARAMS=&amp;GameEventID=291&amp;GameID=0022200991&amp;Season=2022-23&amp;flag=1&amp;title=Leonard%203PT%20running%20(17%20PTS)%20(P.%20George%201%20AST)", "3PT running (17 PTS) (P. George 1 AST)")</f>
        <v>3PT running (17 PTS) (P. George 1 AST)</v>
      </c>
      <c r="L1926" s="2" t="str">
        <f>HYPERLINK("https://www.nba.com/game/...-vs-...-0022200991/play-by-play?watchFullGame=true", "LAC vs TOR - Q2 00:22.90")</f>
        <v>LAC vs TOR - Q2 00:22.90</v>
      </c>
      <c r="M1926">
        <v>23.34</v>
      </c>
      <c r="N1926">
        <v>91.38</v>
      </c>
      <c r="O1926">
        <v>3.68</v>
      </c>
      <c r="P1926">
        <v>-232</v>
      </c>
      <c r="Q1926">
        <v>29</v>
      </c>
      <c r="R1926">
        <v>91</v>
      </c>
      <c r="S1926">
        <v>3</v>
      </c>
    </row>
    <row r="1927" spans="1:19" hidden="1" x14ac:dyDescent="0.25">
      <c r="A1927">
        <v>22000239</v>
      </c>
      <c r="B1927" t="s">
        <v>26</v>
      </c>
      <c r="C1927" t="s">
        <v>19</v>
      </c>
      <c r="D1927">
        <v>12</v>
      </c>
      <c r="E1927">
        <v>6</v>
      </c>
      <c r="F1927">
        <v>6</v>
      </c>
      <c r="G1927">
        <v>1</v>
      </c>
      <c r="H1927" s="1">
        <v>5.5902777777777773E-3</v>
      </c>
      <c r="I1927">
        <v>2020</v>
      </c>
      <c r="J1927" t="s">
        <v>83</v>
      </c>
      <c r="K1927" s="2" t="str">
        <f>HYPERLINK("https://www.nba.com/stats/events?CFID=&amp;CFPARAMS=&amp;GameEventID=46&amp;GameID=0022000239&amp;Season=2020-21&amp;flag=1&amp;title=Leonard%203PT%20%20(5%20PTS)%20(N.%20Batum%201%20AST)", "3PT  (5 PTS) (N. Batum 1 AST)")</f>
        <v>3PT  (5 PTS) (N. Batum 1 AST)</v>
      </c>
      <c r="L1927" s="2" t="str">
        <f>HYPERLINK("https://www.nba.com/game/...-vs-...-0022000239/play-by-play?watchFullGame=true", "LAC vs OKC - Q1 08:03.00")</f>
        <v>LAC vs OKC - Q1 08:03.00</v>
      </c>
      <c r="M1927">
        <v>23.35</v>
      </c>
      <c r="N1927">
        <v>91.02</v>
      </c>
      <c r="O1927">
        <v>3.75</v>
      </c>
      <c r="P1927">
        <v>-231</v>
      </c>
      <c r="Q1927">
        <v>32</v>
      </c>
      <c r="R1927">
        <v>91</v>
      </c>
      <c r="S1927">
        <v>3</v>
      </c>
    </row>
    <row r="1928" spans="1:19" hidden="1" x14ac:dyDescent="0.25">
      <c r="A1928">
        <v>22300600</v>
      </c>
      <c r="B1928" t="s">
        <v>26</v>
      </c>
      <c r="C1928" t="s">
        <v>19</v>
      </c>
      <c r="D1928">
        <v>125</v>
      </c>
      <c r="E1928">
        <v>114</v>
      </c>
      <c r="F1928">
        <v>11</v>
      </c>
      <c r="G1928">
        <v>4</v>
      </c>
      <c r="H1928" s="1">
        <v>3.4606481481481478E-4</v>
      </c>
      <c r="I1928">
        <v>2023</v>
      </c>
      <c r="J1928" t="s">
        <v>83</v>
      </c>
      <c r="K1928" s="2" t="str">
        <f>HYPERLINK("https://www.nba.com/stats/events?CFID=&amp;CFPARAMS=&amp;GameEventID=628&amp;GameID=0022300600&amp;Season=2023-24&amp;flag=1&amp;title=Leonard%203PT%20%20(21%20PTS)%20(R.%20Westbrook%206%20AST)", "3PT  (21 PTS) (R. Westbrook 6 AST)")</f>
        <v>3PT  (21 PTS) (R. Westbrook 6 AST)</v>
      </c>
      <c r="L1928" s="2" t="str">
        <f>HYPERLINK("https://www.nba.com/game/...-vs-...-0022300600/play-by-play?watchFullGame=true", "LAC vs BKN - Q4 00:29.90")</f>
        <v>LAC vs BKN - Q4 00:29.90</v>
      </c>
      <c r="M1928">
        <v>23.13</v>
      </c>
      <c r="N1928">
        <v>91.11</v>
      </c>
      <c r="O1928">
        <v>4.17</v>
      </c>
      <c r="P1928">
        <v>-229</v>
      </c>
      <c r="Q1928">
        <v>31</v>
      </c>
      <c r="R1928">
        <v>91</v>
      </c>
      <c r="S1928">
        <v>4</v>
      </c>
    </row>
    <row r="1929" spans="1:19" hidden="1" x14ac:dyDescent="0.25">
      <c r="A1929">
        <v>21900212</v>
      </c>
      <c r="B1929" t="s">
        <v>26</v>
      </c>
      <c r="C1929" t="s">
        <v>84</v>
      </c>
      <c r="D1929">
        <v>43</v>
      </c>
      <c r="E1929">
        <v>42</v>
      </c>
      <c r="F1929">
        <v>1</v>
      </c>
      <c r="G1929">
        <v>3</v>
      </c>
      <c r="H1929" s="1">
        <v>7.8819444444444449E-3</v>
      </c>
      <c r="I1929">
        <v>2019</v>
      </c>
      <c r="J1929" t="s">
        <v>83</v>
      </c>
      <c r="K1929" s="2" t="str">
        <f>HYPERLINK("https://www.nba.com/stats/events?CFID=&amp;CFPARAMS=&amp;GameEventID=352&amp;GameID=0021900212&amp;Season=2019-20&amp;flag=1&amp;title=Leonard%2023'%203PT%20%20(11%20PTS)%20(P.%20George%202%20AST)", "23' 3PT  (11 PTS) (P. George 2 AST)")</f>
        <v>23' 3PT  (11 PTS) (P. George 2 AST)</v>
      </c>
      <c r="L1929" s="2" t="str">
        <f>HYPERLINK("https://www.nba.com/game/...-vs-...-0021900212/play-by-play?watchFullGame=true", "LAC vs BOS - Q3 11:21.00")</f>
        <v>LAC vs BOS - Q3 11:21.00</v>
      </c>
      <c r="M1929">
        <v>22.82</v>
      </c>
      <c r="N1929">
        <v>91.51</v>
      </c>
      <c r="O1929">
        <v>4.83</v>
      </c>
      <c r="P1929">
        <v>-226</v>
      </c>
      <c r="Q1929">
        <v>27</v>
      </c>
      <c r="R1929">
        <v>91</v>
      </c>
      <c r="S1929">
        <v>4</v>
      </c>
    </row>
    <row r="1930" spans="1:19" hidden="1" x14ac:dyDescent="0.25">
      <c r="A1930">
        <v>22000501</v>
      </c>
      <c r="B1930" t="s">
        <v>18</v>
      </c>
      <c r="C1930" t="s">
        <v>19</v>
      </c>
      <c r="D1930">
        <v>51</v>
      </c>
      <c r="E1930">
        <v>51</v>
      </c>
      <c r="F1930">
        <v>0</v>
      </c>
      <c r="G1930">
        <v>2</v>
      </c>
      <c r="H1930" s="1">
        <v>1.5509259259259259E-3</v>
      </c>
      <c r="I1930">
        <v>2020</v>
      </c>
      <c r="J1930" t="s">
        <v>83</v>
      </c>
      <c r="K1930" s="2" t="str">
        <f>HYPERLINK("https://www.nba.com/stats/events?CFID=&amp;CFPARAMS=&amp;GameEventID=287&amp;GameID=0022000501&amp;Season=2020-21&amp;flag=1&amp;title=Leonard%2017'%20Jump%20Shot%20(11%20PTS)%20(P.%20Beverley%202%20AST)", "17' Jump Shot (11 PTS) (P. Beverley 2 AST)")</f>
        <v>17' Jump Shot (11 PTS) (P. Beverley 2 AST)</v>
      </c>
      <c r="L1930" s="2" t="str">
        <f>HYPERLINK("https://www.nba.com/game/...-vs-...-0022000501/play-by-play?watchFullGame=true", "LAC vs MEM - Q2 02:14.00")</f>
        <v>LAC vs MEM - Q2 02:14.00</v>
      </c>
      <c r="M1930">
        <v>17.309999999999999</v>
      </c>
      <c r="N1930">
        <v>91.67</v>
      </c>
      <c r="O1930">
        <v>15.76</v>
      </c>
      <c r="P1930">
        <v>-171</v>
      </c>
      <c r="Q1930">
        <v>26</v>
      </c>
      <c r="R1930">
        <v>91</v>
      </c>
      <c r="S1930">
        <v>15</v>
      </c>
    </row>
    <row r="1931" spans="1:19" hidden="1" x14ac:dyDescent="0.25">
      <c r="A1931">
        <v>22300280</v>
      </c>
      <c r="B1931" t="s">
        <v>18</v>
      </c>
      <c r="C1931" t="s">
        <v>19</v>
      </c>
      <c r="D1931">
        <v>104</v>
      </c>
      <c r="E1931">
        <v>105</v>
      </c>
      <c r="F1931">
        <v>1</v>
      </c>
      <c r="G1931">
        <v>4</v>
      </c>
      <c r="H1931" s="1">
        <v>1.8402777777777777E-3</v>
      </c>
      <c r="I1931">
        <v>2023</v>
      </c>
      <c r="J1931" t="s">
        <v>83</v>
      </c>
      <c r="K1931" s="2" t="str">
        <f>HYPERLINK("https://www.nba.com/stats/events?CFID=&amp;CFPARAMS=&amp;GameEventID=600&amp;GameID=0022300280&amp;Season=2023-24&amp;flag=1&amp;title=Leonard%2015'%20pullup%20Jump%20Shot%20(16%20PTS)%20(J.%20Harden%209%20AST)", "15' pullup Jump Shot (16 PTS) (J. Harden 9 AST)")</f>
        <v>15' pullup Jump Shot (16 PTS) (J. Harden 9 AST)</v>
      </c>
      <c r="L1931" s="2" t="str">
        <f>HYPERLINK("https://www.nba.com/game/...-vs-...-0022300280/play-by-play?watchFullGame=true", "LAC vs GSW - Q4 02:39.00")</f>
        <v>LAC vs GSW - Q4 02:39.00</v>
      </c>
      <c r="M1931">
        <v>15.34</v>
      </c>
      <c r="N1931">
        <v>91.38</v>
      </c>
      <c r="O1931">
        <v>80.150000000000006</v>
      </c>
      <c r="P1931">
        <v>151</v>
      </c>
      <c r="Q1931">
        <v>29</v>
      </c>
      <c r="R1931">
        <v>91</v>
      </c>
      <c r="S1931">
        <v>80</v>
      </c>
    </row>
    <row r="1932" spans="1:19" hidden="1" x14ac:dyDescent="0.25">
      <c r="A1932">
        <v>22400697</v>
      </c>
      <c r="B1932" t="s">
        <v>18</v>
      </c>
      <c r="C1932" t="s">
        <v>19</v>
      </c>
      <c r="D1932">
        <v>47</v>
      </c>
      <c r="E1932">
        <v>46</v>
      </c>
      <c r="F1932">
        <v>1</v>
      </c>
      <c r="G1932">
        <v>2</v>
      </c>
      <c r="H1932" s="1">
        <v>4.1898148148148146E-3</v>
      </c>
      <c r="I1932">
        <v>2024</v>
      </c>
      <c r="J1932" t="s">
        <v>83</v>
      </c>
      <c r="K1932" s="2" t="str">
        <f>HYPERLINK("https://www.nba.com/stats/events?CFID=&amp;CFPARAMS=&amp;GameEventID=231&amp;GameID=0022400697&amp;Season=2024-25&amp;flag=1&amp;title=Leonard%2015'%20pullup%20Jump%20Shot%20(7%20PTS)", "15' pullup Jump Shot (7 PTS)")</f>
        <v>15' pullup Jump Shot (7 PTS)</v>
      </c>
      <c r="L1932" s="2" t="str">
        <f>HYPERLINK("https://www.nba.com/game/...-vs-...-0022400697/play-by-play?watchFullGame=true", "LAC vs TOR - Q2 06:02.00")</f>
        <v>LAC vs TOR - Q2 06:02.00</v>
      </c>
      <c r="M1932">
        <v>15.77</v>
      </c>
      <c r="N1932">
        <v>91.67</v>
      </c>
      <c r="O1932">
        <v>81.13</v>
      </c>
      <c r="P1932">
        <v>156</v>
      </c>
      <c r="Q1932">
        <v>26</v>
      </c>
      <c r="R1932">
        <v>91</v>
      </c>
      <c r="S1932">
        <v>81</v>
      </c>
    </row>
    <row r="1933" spans="1:19" hidden="1" x14ac:dyDescent="0.25">
      <c r="A1933">
        <v>21900002</v>
      </c>
      <c r="B1933" t="s">
        <v>18</v>
      </c>
      <c r="C1933" t="s">
        <v>19</v>
      </c>
      <c r="D1933">
        <v>36</v>
      </c>
      <c r="E1933">
        <v>36</v>
      </c>
      <c r="F1933">
        <v>0</v>
      </c>
      <c r="G1933">
        <v>2</v>
      </c>
      <c r="H1933" s="1">
        <v>5.7986111111111112E-3</v>
      </c>
      <c r="I1933">
        <v>2019</v>
      </c>
      <c r="J1933" t="s">
        <v>83</v>
      </c>
      <c r="K1933" s="2" t="str">
        <f>HYPERLINK("https://www.nba.com/stats/events?CFID=&amp;CFPARAMS=&amp;GameEventID=215&amp;GameID=0021900002&amp;Season=2019-20&amp;flag=1&amp;title=Leonard%2018'%20running%20pullup%20Jump%20Shot%20(13%20PTS)", "18' running pullup Jump Shot (13 PTS)")</f>
        <v>18' running pullup Jump Shot (13 PTS)</v>
      </c>
      <c r="L1933" s="2" t="str">
        <f>HYPERLINK("https://www.nba.com/game/...-vs-...-0021900002/play-by-play?watchFullGame=true", "LAC vs LAL - Q2 08:21.00")</f>
        <v>LAC vs LAL - Q2 08:21.00</v>
      </c>
      <c r="M1933">
        <v>17.96</v>
      </c>
      <c r="N1933">
        <v>91.25</v>
      </c>
      <c r="O1933">
        <v>85.23</v>
      </c>
      <c r="P1933">
        <v>176</v>
      </c>
      <c r="Q1933">
        <v>30</v>
      </c>
      <c r="R1933">
        <v>91</v>
      </c>
      <c r="S1933">
        <v>85</v>
      </c>
    </row>
    <row r="1934" spans="1:19" hidden="1" x14ac:dyDescent="0.25">
      <c r="A1934">
        <v>22200918</v>
      </c>
      <c r="B1934" t="s">
        <v>26</v>
      </c>
      <c r="C1934" t="s">
        <v>19</v>
      </c>
      <c r="D1934">
        <v>17</v>
      </c>
      <c r="E1934">
        <v>27</v>
      </c>
      <c r="F1934">
        <v>10</v>
      </c>
      <c r="G1934">
        <v>1</v>
      </c>
      <c r="H1934" s="1">
        <v>1.6203703703703703E-3</v>
      </c>
      <c r="I1934">
        <v>2022</v>
      </c>
      <c r="J1934" t="s">
        <v>83</v>
      </c>
      <c r="K1934" s="2" t="str">
        <f>HYPERLINK("https://www.nba.com/stats/events?CFID=&amp;CFPARAMS=&amp;GameEventID=119&amp;GameID=0022200918&amp;Season=2022-23&amp;flag=1&amp;title=Leonard%203PT%20%20(7%20PTS)%20(T.%20Mann%201%20AST)", "3PT  (7 PTS) (T. Mann 1 AST)")</f>
        <v>3PT  (7 PTS) (T. Mann 1 AST)</v>
      </c>
      <c r="L1934" s="2" t="str">
        <f>HYPERLINK("https://www.nba.com/game/...-vs-...-0022200918/play-by-play?watchFullGame=true", "LAC vs DEN - Q1 02:20.00")</f>
        <v>LAC vs DEN - Q1 02:20.00</v>
      </c>
      <c r="M1934">
        <v>22.51</v>
      </c>
      <c r="N1934">
        <v>91.15</v>
      </c>
      <c r="O1934">
        <v>94.61</v>
      </c>
      <c r="P1934">
        <v>223</v>
      </c>
      <c r="Q1934">
        <v>31</v>
      </c>
      <c r="R1934">
        <v>91</v>
      </c>
      <c r="S1934">
        <v>94</v>
      </c>
    </row>
    <row r="1935" spans="1:19" hidden="1" x14ac:dyDescent="0.25">
      <c r="A1935">
        <v>22201069</v>
      </c>
      <c r="B1935" t="s">
        <v>26</v>
      </c>
      <c r="C1935" t="s">
        <v>19</v>
      </c>
      <c r="D1935">
        <v>33</v>
      </c>
      <c r="E1935">
        <v>23</v>
      </c>
      <c r="F1935">
        <v>10</v>
      </c>
      <c r="G1935">
        <v>1</v>
      </c>
      <c r="H1935" s="1">
        <v>1.4004629629629629E-3</v>
      </c>
      <c r="I1935">
        <v>2022</v>
      </c>
      <c r="J1935" t="s">
        <v>83</v>
      </c>
      <c r="K1935" s="2" t="str">
        <f>HYPERLINK("https://www.nba.com/stats/events?CFID=&amp;CFPARAMS=&amp;GameEventID=127&amp;GameID=0022201069&amp;Season=2022-23&amp;flag=1&amp;title=Leonard%203PT%20%20(11%20PTS)%20(E.%20Gordon%201%20AST)", "3PT  (11 PTS) (E. Gordon 1 AST)")</f>
        <v>3PT  (11 PTS) (E. Gordon 1 AST)</v>
      </c>
      <c r="L1935" s="2" t="str">
        <f>HYPERLINK("https://www.nba.com/game/...-vs-...-0022201069/play-by-play?watchFullGame=true", "LAC vs POR - Q1 02:01.00")</f>
        <v>LAC vs POR - Q1 02:01.00</v>
      </c>
      <c r="M1935">
        <v>22.83</v>
      </c>
      <c r="N1935">
        <v>91.54</v>
      </c>
      <c r="O1935">
        <v>95.34</v>
      </c>
      <c r="P1935">
        <v>227</v>
      </c>
      <c r="Q1935">
        <v>27</v>
      </c>
      <c r="R1935">
        <v>91</v>
      </c>
      <c r="S1935">
        <v>95</v>
      </c>
    </row>
    <row r="1936" spans="1:19" hidden="1" x14ac:dyDescent="0.25">
      <c r="A1936">
        <v>22200617</v>
      </c>
      <c r="B1936" t="s">
        <v>18</v>
      </c>
      <c r="C1936" t="s">
        <v>19</v>
      </c>
      <c r="D1936">
        <v>54</v>
      </c>
      <c r="E1936">
        <v>42</v>
      </c>
      <c r="F1936">
        <v>12</v>
      </c>
      <c r="G1936">
        <v>2</v>
      </c>
      <c r="H1936" s="1">
        <v>2.8124999999999999E-3</v>
      </c>
      <c r="I1936">
        <v>2022</v>
      </c>
      <c r="J1936" t="s">
        <v>83</v>
      </c>
      <c r="K1936" s="2" t="str">
        <f>HYPERLINK("https://www.nba.com/stats/events?CFID=&amp;CFPARAMS=&amp;GameEventID=290&amp;GameID=0022200617&amp;Season=2022-23&amp;flag=1&amp;title=Leonard%2012'%20pullup%20Jump%20Shot%20(15%20PTS)", "12' pullup Jump Shot (15 PTS)")</f>
        <v>12' pullup Jump Shot (15 PTS)</v>
      </c>
      <c r="L1936" s="2" t="str">
        <f>HYPERLINK("https://www.nba.com/game/...-vs-...-0022200617/play-by-play?watchFullGame=true", "LAC vs DAL - Q2 04:03.00")</f>
        <v>LAC vs DAL - Q2 04:03.00</v>
      </c>
      <c r="M1936">
        <v>12.58</v>
      </c>
      <c r="N1936">
        <v>91.38</v>
      </c>
      <c r="O1936">
        <v>74.510000000000005</v>
      </c>
      <c r="P1936">
        <v>123</v>
      </c>
      <c r="Q1936">
        <v>29</v>
      </c>
      <c r="R1936">
        <v>91</v>
      </c>
      <c r="S1936">
        <v>74</v>
      </c>
    </row>
    <row r="1937" spans="1:19" hidden="1" x14ac:dyDescent="0.25">
      <c r="A1937">
        <v>22400571</v>
      </c>
      <c r="B1937" t="s">
        <v>18</v>
      </c>
      <c r="C1937" t="s">
        <v>19</v>
      </c>
      <c r="D1937">
        <v>8</v>
      </c>
      <c r="E1937">
        <v>4</v>
      </c>
      <c r="F1937">
        <v>4</v>
      </c>
      <c r="G1937">
        <v>1</v>
      </c>
      <c r="H1937" s="1">
        <v>5.9722222222222225E-3</v>
      </c>
      <c r="I1937">
        <v>2024</v>
      </c>
      <c r="J1937" t="s">
        <v>83</v>
      </c>
      <c r="K1937" s="2" t="str">
        <f>HYPERLINK("https://www.nba.com/stats/events?CFID=&amp;CFPARAMS=&amp;GameEventID=37&amp;GameID=0022400571&amp;Season=2024-25&amp;flag=1&amp;title=Leonard%2012'%20step%20back%20Jump%20Shot%20(4%20PTS)", "12' step back Jump Shot (4 PTS)")</f>
        <v>12' step back Jump Shot (4 PTS)</v>
      </c>
      <c r="L1937" s="2" t="str">
        <f>HYPERLINK("https://www.nba.com/game/...-vs-...-0022400571/play-by-play?watchFullGame=true", "LAC vs BKN - Q1 08:36.00")</f>
        <v>LAC vs BKN - Q1 08:36.00</v>
      </c>
      <c r="M1937">
        <v>12.51</v>
      </c>
      <c r="N1937">
        <v>91.2</v>
      </c>
      <c r="O1937">
        <v>74.290000000000006</v>
      </c>
      <c r="P1937">
        <v>121</v>
      </c>
      <c r="Q1937">
        <v>30</v>
      </c>
      <c r="R1937">
        <v>91</v>
      </c>
      <c r="S1937">
        <v>74</v>
      </c>
    </row>
    <row r="1938" spans="1:19" hidden="1" x14ac:dyDescent="0.25">
      <c r="A1938">
        <v>22300658</v>
      </c>
      <c r="B1938" t="s">
        <v>18</v>
      </c>
      <c r="C1938" t="s">
        <v>19</v>
      </c>
      <c r="D1938">
        <v>51</v>
      </c>
      <c r="E1938">
        <v>44</v>
      </c>
      <c r="F1938">
        <v>7</v>
      </c>
      <c r="G1938">
        <v>2</v>
      </c>
      <c r="H1938" s="1">
        <v>1.9675925925925924E-3</v>
      </c>
      <c r="I1938">
        <v>2023</v>
      </c>
      <c r="J1938" t="s">
        <v>83</v>
      </c>
      <c r="K1938" s="2" t="str">
        <f>HYPERLINK("https://www.nba.com/stats/events?CFID=&amp;CFPARAMS=&amp;GameEventID=276&amp;GameID=0022300658&amp;Season=2023-24&amp;flag=1&amp;title=Leonard%2010'%20fadeaway%20Jump%20Shot%20(14%20PTS)", "10' fadeaway Jump Shot (14 PTS)")</f>
        <v>10' fadeaway Jump Shot (14 PTS)</v>
      </c>
      <c r="L1938" s="2" t="str">
        <f>HYPERLINK("https://www.nba.com/game/...-vs-...-0022300658/play-by-play?watchFullGame=true", "LAC vs CLE - Q2 02:50.00")</f>
        <v>LAC vs CLE - Q2 02:50.00</v>
      </c>
      <c r="M1938">
        <v>10.36</v>
      </c>
      <c r="N1938">
        <v>91.28</v>
      </c>
      <c r="O1938">
        <v>30.15</v>
      </c>
      <c r="P1938">
        <v>-99</v>
      </c>
      <c r="Q1938">
        <v>29</v>
      </c>
      <c r="R1938">
        <v>91</v>
      </c>
      <c r="S1938">
        <v>30</v>
      </c>
    </row>
    <row r="1939" spans="1:19" hidden="1" x14ac:dyDescent="0.25">
      <c r="A1939">
        <v>42000173</v>
      </c>
      <c r="B1939" t="s">
        <v>18</v>
      </c>
      <c r="C1939" t="s">
        <v>19</v>
      </c>
      <c r="D1939">
        <v>13</v>
      </c>
      <c r="E1939">
        <v>30</v>
      </c>
      <c r="F1939">
        <v>17</v>
      </c>
      <c r="G1939">
        <v>1</v>
      </c>
      <c r="H1939" s="1">
        <v>3.0671296296296297E-3</v>
      </c>
      <c r="I1939" t="s">
        <v>91</v>
      </c>
      <c r="J1939" t="s">
        <v>83</v>
      </c>
      <c r="K1939" s="2" t="str">
        <f>HYPERLINK("https://www.nba.com/stats/events?CFID=&amp;CFPARAMS=&amp;GameEventID=89&amp;GameID=0042000173&amp;Season=2020-21&amp;flag=1&amp;title=Leonard%2010'%20Jump%20Shot%20(2%20PTS)", "10' Jump Shot (2 PTS)")</f>
        <v>10' Jump Shot (2 PTS)</v>
      </c>
      <c r="L1939" s="2" t="str">
        <f>HYPERLINK("https://www.nba.com/game/...-vs-...-0042000173/play-by-play?watchFullGame=true", "LAC vs DAL - Q1 04:25.00")</f>
        <v>LAC vs DAL - Q1 04:25.00</v>
      </c>
      <c r="M1939">
        <v>10.29</v>
      </c>
      <c r="N1939">
        <v>91.67</v>
      </c>
      <c r="O1939">
        <v>69.92</v>
      </c>
      <c r="P1939">
        <v>91</v>
      </c>
      <c r="Q1939">
        <v>69</v>
      </c>
      <c r="R1939">
        <v>91</v>
      </c>
      <c r="S1939">
        <v>69</v>
      </c>
    </row>
    <row r="1940" spans="1:19" hidden="1" x14ac:dyDescent="0.25">
      <c r="A1940">
        <v>22000239</v>
      </c>
      <c r="B1940" t="s">
        <v>18</v>
      </c>
      <c r="C1940" t="s">
        <v>19</v>
      </c>
      <c r="D1940">
        <v>27</v>
      </c>
      <c r="E1940">
        <v>14</v>
      </c>
      <c r="F1940">
        <v>13</v>
      </c>
      <c r="G1940">
        <v>1</v>
      </c>
      <c r="H1940" s="1">
        <v>1.6435185185185185E-3</v>
      </c>
      <c r="I1940">
        <v>2020</v>
      </c>
      <c r="J1940" t="s">
        <v>83</v>
      </c>
      <c r="K1940" s="2" t="str">
        <f>HYPERLINK("https://www.nba.com/stats/events?CFID=&amp;CFPARAMS=&amp;GameEventID=129&amp;GameID=0022000239&amp;Season=2020-21&amp;flag=1&amp;title=Leonard%209'%20turnaround%20Jump%20Shot%20(9%20PTS)", "9' turnaround Jump Shot (9 PTS)")</f>
        <v>9' turnaround Jump Shot (9 PTS)</v>
      </c>
      <c r="L1940" s="2" t="str">
        <f>HYPERLINK("https://www.nba.com/game/...-vs-...-0022000239/play-by-play?watchFullGame=true", "LAC vs OKC - Q1 02:22.00")</f>
        <v>LAC vs OKC - Q1 02:22.00</v>
      </c>
      <c r="M1940">
        <v>9.58</v>
      </c>
      <c r="N1940">
        <v>91.02</v>
      </c>
      <c r="O1940">
        <v>31.93</v>
      </c>
      <c r="P1940">
        <v>-90</v>
      </c>
      <c r="Q1940">
        <v>32</v>
      </c>
      <c r="R1940">
        <v>91</v>
      </c>
      <c r="S1940">
        <v>31</v>
      </c>
    </row>
    <row r="1941" spans="1:19" hidden="1" x14ac:dyDescent="0.25">
      <c r="A1941">
        <v>21900603</v>
      </c>
      <c r="B1941" t="s">
        <v>18</v>
      </c>
      <c r="C1941" t="s">
        <v>84</v>
      </c>
      <c r="D1941">
        <v>78</v>
      </c>
      <c r="E1941">
        <v>59</v>
      </c>
      <c r="F1941">
        <v>19</v>
      </c>
      <c r="G1941">
        <v>3</v>
      </c>
      <c r="H1941" s="1">
        <v>6.0416666666666665E-3</v>
      </c>
      <c r="I1941">
        <v>2019</v>
      </c>
      <c r="J1941" t="s">
        <v>83</v>
      </c>
      <c r="K1941" s="2" t="str">
        <f>HYPERLINK("https://www.nba.com/stats/events?CFID=&amp;CFPARAMS=&amp;GameEventID=348&amp;GameID=0021900603&amp;Season=2019-20&amp;flag=1&amp;title=Leonard%209'%20jumpshot%20(34%20PTS)", "9' jumpshot (34 PTS)")</f>
        <v>9' jumpshot (34 PTS)</v>
      </c>
      <c r="L1941" s="2" t="str">
        <f>HYPERLINK("https://www.nba.com/game/...-vs-...-0021900603/play-by-play?watchFullGame=true", "LAC vs CLE - Q3 08:42.00")</f>
        <v>LAC vs CLE - Q3 08:42.00</v>
      </c>
      <c r="M1941">
        <v>9.34</v>
      </c>
      <c r="N1941">
        <v>91.64</v>
      </c>
      <c r="O1941">
        <v>67.58</v>
      </c>
      <c r="P1941">
        <v>88</v>
      </c>
      <c r="Q1941">
        <v>26</v>
      </c>
      <c r="R1941">
        <v>91</v>
      </c>
      <c r="S1941">
        <v>67</v>
      </c>
    </row>
    <row r="1942" spans="1:19" hidden="1" x14ac:dyDescent="0.25">
      <c r="A1942">
        <v>42000221</v>
      </c>
      <c r="B1942" t="s">
        <v>18</v>
      </c>
      <c r="C1942" t="s">
        <v>19</v>
      </c>
      <c r="D1942">
        <v>64</v>
      </c>
      <c r="E1942">
        <v>59</v>
      </c>
      <c r="F1942">
        <v>5</v>
      </c>
      <c r="G1942">
        <v>3</v>
      </c>
      <c r="H1942" s="1">
        <v>5.7175925925925927E-3</v>
      </c>
      <c r="I1942" t="s">
        <v>94</v>
      </c>
      <c r="J1942" t="s">
        <v>83</v>
      </c>
      <c r="K1942" s="2" t="str">
        <f>HYPERLINK("https://www.nba.com/stats/events?CFID=&amp;CFPARAMS=&amp;GameEventID=400&amp;GameID=0042000221&amp;Season=2020-21&amp;flag=1&amp;title=Leonard%209'%20turnaround%20fadeaway%20Jump%20Shot%20(9%20PTS)", "9' turnaround fadeaway Jump Shot (9 PTS)")</f>
        <v>9' turnaround fadeaway Jump Shot (9 PTS)</v>
      </c>
      <c r="L1942" s="2" t="str">
        <f>HYPERLINK("https://www.nba.com/game/...-vs-...-0042000221/play-by-play?watchFullGame=true", "LAC vs UTA - Q3 08:14.00")</f>
        <v>LAC vs UTA - Q3 08:14.00</v>
      </c>
      <c r="M1942">
        <v>9.33</v>
      </c>
      <c r="N1942">
        <v>91.93</v>
      </c>
      <c r="O1942">
        <v>31.93</v>
      </c>
      <c r="P1942">
        <v>91</v>
      </c>
      <c r="Q1942">
        <v>31</v>
      </c>
      <c r="R1942">
        <v>91</v>
      </c>
      <c r="S1942">
        <v>31</v>
      </c>
    </row>
    <row r="1943" spans="1:19" hidden="1" x14ac:dyDescent="0.25">
      <c r="A1943">
        <v>22200389</v>
      </c>
      <c r="B1943" t="s">
        <v>18</v>
      </c>
      <c r="C1943" t="s">
        <v>19</v>
      </c>
      <c r="D1943">
        <v>54</v>
      </c>
      <c r="E1943">
        <v>56</v>
      </c>
      <c r="F1943">
        <v>2</v>
      </c>
      <c r="G1943">
        <v>2</v>
      </c>
      <c r="H1943" s="1">
        <v>2.2453703703703702E-3</v>
      </c>
      <c r="I1943">
        <v>2022</v>
      </c>
      <c r="J1943" t="s">
        <v>83</v>
      </c>
      <c r="K1943" s="2" t="str">
        <f>HYPERLINK("https://www.nba.com/stats/events?CFID=&amp;CFPARAMS=&amp;GameEventID=268&amp;GameID=0022200389&amp;Season=2022-23&amp;flag=1&amp;title=Leonard%209'%20turnaround%20Jump%20Shot%20(9%20PTS)", "9' turnaround Jump Shot (9 PTS)")</f>
        <v>9' turnaround Jump Shot (9 PTS)</v>
      </c>
      <c r="L1943" s="2" t="str">
        <f>HYPERLINK("https://www.nba.com/game/...-vs-...-0022200389/play-by-play?watchFullGame=true", "LAC vs WAS - Q2 03:14.00")</f>
        <v>LAC vs WAS - Q2 03:14.00</v>
      </c>
      <c r="M1943">
        <v>9.16</v>
      </c>
      <c r="N1943">
        <v>91.02</v>
      </c>
      <c r="O1943">
        <v>67.16</v>
      </c>
      <c r="P1943">
        <v>86</v>
      </c>
      <c r="Q1943">
        <v>32</v>
      </c>
      <c r="R1943">
        <v>91</v>
      </c>
      <c r="S1943">
        <v>67</v>
      </c>
    </row>
    <row r="1944" spans="1:19" hidden="1" x14ac:dyDescent="0.25">
      <c r="A1944">
        <v>22300658</v>
      </c>
      <c r="B1944" t="s">
        <v>18</v>
      </c>
      <c r="C1944" t="s">
        <v>19</v>
      </c>
      <c r="D1944">
        <v>49</v>
      </c>
      <c r="E1944">
        <v>42</v>
      </c>
      <c r="F1944">
        <v>7</v>
      </c>
      <c r="G1944">
        <v>2</v>
      </c>
      <c r="H1944" s="1">
        <v>2.662037037037037E-3</v>
      </c>
      <c r="I1944">
        <v>2023</v>
      </c>
      <c r="J1944" t="s">
        <v>83</v>
      </c>
      <c r="K1944" s="2" t="str">
        <f>HYPERLINK("https://www.nba.com/stats/events?CFID=&amp;CFPARAMS=&amp;GameEventID=269&amp;GameID=0022300658&amp;Season=2023-24&amp;flag=1&amp;title=Leonard%208'%20fadeaway%20Jump%20Shot%20(12%20PTS)", "8' fadeaway Jump Shot (12 PTS)")</f>
        <v>8' fadeaway Jump Shot (12 PTS)</v>
      </c>
      <c r="L1944" s="2" t="str">
        <f>HYPERLINK("https://www.nba.com/game/...-vs-...-0022300658/play-by-play?watchFullGame=true", "LAC vs CLE - Q2 03:50.00")</f>
        <v>LAC vs CLE - Q2 03:50.00</v>
      </c>
      <c r="M1944">
        <v>8.4700000000000006</v>
      </c>
      <c r="N1944">
        <v>91.02</v>
      </c>
      <c r="O1944">
        <v>65.69</v>
      </c>
      <c r="P1944">
        <v>78</v>
      </c>
      <c r="Q1944">
        <v>32</v>
      </c>
      <c r="R1944">
        <v>91</v>
      </c>
      <c r="S1944">
        <v>65</v>
      </c>
    </row>
    <row r="1945" spans="1:19" hidden="1" x14ac:dyDescent="0.25">
      <c r="A1945">
        <v>42000174</v>
      </c>
      <c r="B1945" t="s">
        <v>18</v>
      </c>
      <c r="C1945" t="s">
        <v>19</v>
      </c>
      <c r="D1945">
        <v>23</v>
      </c>
      <c r="E1945">
        <v>17</v>
      </c>
      <c r="F1945">
        <v>6</v>
      </c>
      <c r="G1945">
        <v>1</v>
      </c>
      <c r="H1945" s="1">
        <v>1.9907407407407408E-3</v>
      </c>
      <c r="I1945" t="s">
        <v>91</v>
      </c>
      <c r="J1945" t="s">
        <v>83</v>
      </c>
      <c r="K1945" s="2" t="str">
        <f>HYPERLINK("https://www.nba.com/stats/events?CFID=&amp;CFPARAMS=&amp;GameEventID=137&amp;GameID=0042000174&amp;Season=2020-21&amp;flag=1&amp;title=Leonard%208'%20driving%20floating%20Jump%20Shot%20(10%20PTS)", "8' driving floating Jump Shot (10 PTS)")</f>
        <v>8' driving floating Jump Shot (10 PTS)</v>
      </c>
      <c r="L1945" s="2" t="str">
        <f>HYPERLINK("https://www.nba.com/game/...-vs-...-0042000174/play-by-play?watchFullGame=true", "LAC vs DAL - Q1 02:52.00")</f>
        <v>LAC vs DAL - Q1 02:52.00</v>
      </c>
      <c r="M1945">
        <v>8.0500000000000007</v>
      </c>
      <c r="N1945">
        <v>91.67</v>
      </c>
      <c r="O1945">
        <v>65.27</v>
      </c>
      <c r="P1945">
        <v>91</v>
      </c>
      <c r="Q1945">
        <v>65</v>
      </c>
      <c r="R1945">
        <v>91</v>
      </c>
      <c r="S1945">
        <v>65</v>
      </c>
    </row>
    <row r="1946" spans="1:19" hidden="1" x14ac:dyDescent="0.25">
      <c r="A1946">
        <v>22301028</v>
      </c>
      <c r="B1946" t="s">
        <v>18</v>
      </c>
      <c r="C1946" t="s">
        <v>19</v>
      </c>
      <c r="D1946">
        <v>25</v>
      </c>
      <c r="E1946">
        <v>34</v>
      </c>
      <c r="F1946">
        <v>9</v>
      </c>
      <c r="G1946">
        <v>1</v>
      </c>
      <c r="H1946" s="1">
        <v>1.0763888888888889E-3</v>
      </c>
      <c r="I1946">
        <v>2023</v>
      </c>
      <c r="J1946" t="s">
        <v>83</v>
      </c>
      <c r="K1946" s="2" t="str">
        <f>HYPERLINK("https://www.nba.com/stats/events?CFID=&amp;CFPARAMS=&amp;GameEventID=112&amp;GameID=0022301028&amp;Season=2023-24&amp;flag=1&amp;title=Leonard%206'%20driving%20floating%20bank%20Jump%20Shot%20(2%20PTS)%20(N.%20Powell%201%20AST)", "6' driving floating bank Jump Shot (2 PTS) (N. Powell 1 AST)")</f>
        <v>6' driving floating bank Jump Shot (2 PTS) (N. Powell 1 AST)</v>
      </c>
      <c r="L1946" s="2" t="str">
        <f>HYPERLINK("https://www.nba.com/game/...-vs-...-0022301028/play-by-play?watchFullGame=true", "LAC vs PHI - Q1 01:33.00")</f>
        <v>LAC vs PHI - Q1 01:33.00</v>
      </c>
      <c r="M1946">
        <v>6.59</v>
      </c>
      <c r="N1946">
        <v>91.25</v>
      </c>
      <c r="O1946">
        <v>38.24</v>
      </c>
      <c r="P1946">
        <v>-59</v>
      </c>
      <c r="Q1946">
        <v>30</v>
      </c>
      <c r="R1946">
        <v>91</v>
      </c>
      <c r="S1946">
        <v>38</v>
      </c>
    </row>
    <row r="1947" spans="1:19" hidden="1" x14ac:dyDescent="0.25">
      <c r="A1947">
        <v>22000400</v>
      </c>
      <c r="B1947" t="s">
        <v>18</v>
      </c>
      <c r="C1947" t="s">
        <v>19</v>
      </c>
      <c r="D1947">
        <v>28</v>
      </c>
      <c r="E1947">
        <v>20</v>
      </c>
      <c r="F1947">
        <v>8</v>
      </c>
      <c r="G1947">
        <v>1</v>
      </c>
      <c r="H1947" s="1">
        <v>4.5023148148148147E-4</v>
      </c>
      <c r="I1947">
        <v>2020</v>
      </c>
      <c r="J1947" t="s">
        <v>83</v>
      </c>
      <c r="K1947" s="2" t="str">
        <f>HYPERLINK("https://www.nba.com/stats/events?CFID=&amp;CFPARAMS=&amp;GameEventID=143&amp;GameID=0022000400&amp;Season=2020-21&amp;flag=1&amp;title=Leonard%206'%20turnaround%20Jump%20Shot%20(8%20PTS)", "6' turnaround Jump Shot (8 PTS)")</f>
        <v>6' turnaround Jump Shot (8 PTS)</v>
      </c>
      <c r="L1947" s="2" t="str">
        <f>HYPERLINK("https://www.nba.com/game/...-vs-...-0022000400/play-by-play?watchFullGame=true", "LAC vs CHI - Q1 00:38.90")</f>
        <v>LAC vs CHI - Q1 00:38.90</v>
      </c>
      <c r="M1947">
        <v>6.47</v>
      </c>
      <c r="N1947">
        <v>91.93</v>
      </c>
      <c r="O1947">
        <v>62.08</v>
      </c>
      <c r="P1947">
        <v>60</v>
      </c>
      <c r="Q1947">
        <v>23</v>
      </c>
      <c r="R1947">
        <v>91</v>
      </c>
      <c r="S1947">
        <v>62</v>
      </c>
    </row>
    <row r="1948" spans="1:19" hidden="1" x14ac:dyDescent="0.25">
      <c r="A1948">
        <v>22300646</v>
      </c>
      <c r="B1948" t="s">
        <v>18</v>
      </c>
      <c r="C1948" t="s">
        <v>19</v>
      </c>
      <c r="D1948">
        <v>21</v>
      </c>
      <c r="E1948">
        <v>13</v>
      </c>
      <c r="F1948">
        <v>8</v>
      </c>
      <c r="G1948">
        <v>1</v>
      </c>
      <c r="H1948" s="1">
        <v>1.2268518518518518E-3</v>
      </c>
      <c r="I1948">
        <v>2023</v>
      </c>
      <c r="J1948" t="s">
        <v>83</v>
      </c>
      <c r="K1948" s="2" t="str">
        <f>HYPERLINK("https://www.nba.com/stats/events?CFID=&amp;CFPARAMS=&amp;GameEventID=144&amp;GameID=0022300646&amp;Season=2023-24&amp;flag=1&amp;title=Leonard%206'%20driving%20floating%20Jump%20Shot%20(9%20PTS)%20(N.%20Powell%201%20AST)", "6' driving floating Jump Shot (9 PTS) (N. Powell 1 AST)")</f>
        <v>6' driving floating Jump Shot (9 PTS) (N. Powell 1 AST)</v>
      </c>
      <c r="L1948" s="2" t="str">
        <f>HYPERLINK("https://www.nba.com/game/...-vs-...-0022300646/play-by-play?watchFullGame=true", "LAC vs BOS - Q1 01:46.00")</f>
        <v>LAC vs BOS - Q1 01:46.00</v>
      </c>
      <c r="M1948">
        <v>6.31</v>
      </c>
      <c r="N1948">
        <v>91.15</v>
      </c>
      <c r="O1948">
        <v>61.03</v>
      </c>
      <c r="P1948">
        <v>55</v>
      </c>
      <c r="Q1948">
        <v>31</v>
      </c>
      <c r="R1948">
        <v>91</v>
      </c>
      <c r="S1948">
        <v>61</v>
      </c>
    </row>
    <row r="1949" spans="1:19" hidden="1" x14ac:dyDescent="0.25">
      <c r="A1949">
        <v>22300350</v>
      </c>
      <c r="B1949" t="s">
        <v>18</v>
      </c>
      <c r="C1949" t="s">
        <v>19</v>
      </c>
      <c r="D1949">
        <v>27</v>
      </c>
      <c r="E1949">
        <v>23</v>
      </c>
      <c r="F1949">
        <v>4</v>
      </c>
      <c r="G1949">
        <v>1</v>
      </c>
      <c r="H1949" s="1">
        <v>3.0439814814814813E-3</v>
      </c>
      <c r="I1949">
        <v>2023</v>
      </c>
      <c r="J1949" t="s">
        <v>83</v>
      </c>
      <c r="K1949" s="2" t="str">
        <f>HYPERLINK("https://www.nba.com/stats/events?CFID=&amp;CFPARAMS=&amp;GameEventID=96&amp;GameID=0022300350&amp;Season=2023-24&amp;flag=1&amp;title=Leonard%20pullup%20Jump%20Shot%20(10%20PTS)", "Pullup Jump Shot (10 PTS)")</f>
        <v>Pullup Jump Shot (10 PTS)</v>
      </c>
      <c r="L1949" s="2" t="str">
        <f>HYPERLINK("https://www.nba.com/game/...-vs-...-0022300350/play-by-play?watchFullGame=true", "LAC vs IND - Q1 04:23.00")</f>
        <v>LAC vs IND - Q1 04:23.00</v>
      </c>
      <c r="M1949">
        <v>5.24</v>
      </c>
      <c r="N1949">
        <v>91.41</v>
      </c>
      <c r="O1949">
        <v>58.82</v>
      </c>
      <c r="P1949">
        <v>44</v>
      </c>
      <c r="Q1949">
        <v>28</v>
      </c>
      <c r="R1949">
        <v>91</v>
      </c>
      <c r="S1949">
        <v>58</v>
      </c>
    </row>
    <row r="1950" spans="1:19" hidden="1" x14ac:dyDescent="0.25">
      <c r="A1950">
        <v>21900292</v>
      </c>
      <c r="B1950" t="s">
        <v>18</v>
      </c>
      <c r="C1950" t="s">
        <v>95</v>
      </c>
      <c r="D1950">
        <v>70</v>
      </c>
      <c r="E1950">
        <v>49</v>
      </c>
      <c r="F1950">
        <v>21</v>
      </c>
      <c r="G1950">
        <v>2</v>
      </c>
      <c r="H1950" s="1">
        <v>2.7314814814814814E-3</v>
      </c>
      <c r="I1950">
        <v>2019</v>
      </c>
      <c r="J1950" t="s">
        <v>83</v>
      </c>
      <c r="K1950" s="2" t="str">
        <f>HYPERLINK("https://www.nba.com/stats/events?CFID=&amp;CFPARAMS=&amp;GameEventID=315&amp;GameID=0021900292&amp;Season=2019-20&amp;flag=1&amp;title=Leonard%20hook%20(12%20PTS)", "Hook (12 PTS)")</f>
        <v>Hook (12 PTS)</v>
      </c>
      <c r="L1950" s="2" t="str">
        <f>HYPERLINK("https://www.nba.com/game/...-vs-...-0021900292/play-by-play?watchFullGame=true", "LAC vs WAS - Q2 03:56.00")</f>
        <v>LAC vs WAS - Q2 03:56.00</v>
      </c>
      <c r="M1950">
        <v>4.74</v>
      </c>
      <c r="N1950">
        <v>91.11</v>
      </c>
      <c r="O1950">
        <v>56.06</v>
      </c>
      <c r="P1950">
        <v>30</v>
      </c>
      <c r="Q1950">
        <v>31</v>
      </c>
      <c r="R1950">
        <v>91</v>
      </c>
      <c r="S1950">
        <v>56</v>
      </c>
    </row>
    <row r="1951" spans="1:19" hidden="1" x14ac:dyDescent="0.25">
      <c r="A1951">
        <v>22000202</v>
      </c>
      <c r="B1951" t="s">
        <v>18</v>
      </c>
      <c r="C1951" t="s">
        <v>19</v>
      </c>
      <c r="D1951">
        <v>2</v>
      </c>
      <c r="E1951">
        <v>3</v>
      </c>
      <c r="F1951">
        <v>1</v>
      </c>
      <c r="G1951">
        <v>1</v>
      </c>
      <c r="H1951" s="1">
        <v>7.7546296296296295E-3</v>
      </c>
      <c r="I1951">
        <v>2020</v>
      </c>
      <c r="J1951" t="s">
        <v>83</v>
      </c>
      <c r="K1951" s="2" t="str">
        <f>HYPERLINK("https://www.nba.com/stats/events?CFID=&amp;CFPARAMS=&amp;GameEventID=14&amp;GameID=0022000202&amp;Season=2020-21&amp;flag=1&amp;title=Leonard%20floating%20Jump%20Shot%20(2%20PTS)", "Floating Jump Shot (2 PTS)")</f>
        <v>Floating Jump Shot (2 PTS)</v>
      </c>
      <c r="L1951" s="2" t="str">
        <f>HYPERLINK("https://www.nba.com/game/...-vs-...-0022000202/play-by-play?watchFullGame=true", "LAC vs IND - Q1 11:10.00")</f>
        <v>LAC vs IND - Q1 11:10.00</v>
      </c>
      <c r="M1951">
        <v>4.1399999999999997</v>
      </c>
      <c r="N1951">
        <v>91.28</v>
      </c>
      <c r="O1951">
        <v>44.19</v>
      </c>
      <c r="P1951">
        <v>-29</v>
      </c>
      <c r="Q1951">
        <v>29</v>
      </c>
      <c r="R1951">
        <v>91</v>
      </c>
      <c r="S1951">
        <v>44</v>
      </c>
    </row>
    <row r="1952" spans="1:19" hidden="1" x14ac:dyDescent="0.25">
      <c r="A1952">
        <v>21900406</v>
      </c>
      <c r="B1952" t="s">
        <v>18</v>
      </c>
      <c r="C1952" t="s">
        <v>90</v>
      </c>
      <c r="D1952">
        <v>78</v>
      </c>
      <c r="E1952">
        <v>60</v>
      </c>
      <c r="F1952">
        <v>18</v>
      </c>
      <c r="G1952">
        <v>3</v>
      </c>
      <c r="H1952" s="1">
        <v>2.2222222222222222E-3</v>
      </c>
      <c r="I1952">
        <v>2019</v>
      </c>
      <c r="J1952" t="s">
        <v>83</v>
      </c>
      <c r="K1952" s="2" t="str">
        <f>HYPERLINK("https://www.nba.com/stats/events?CFID=&amp;CFPARAMS=&amp;GameEventID=474&amp;GameID=0021900406&amp;Season=2019-20&amp;flag=1&amp;title=Leonard%20layup%20(16%20PTS)%20(L.%20Shamet%201%20AST)", "Layup (16 PTS) (L. Shamet 1 AST)")</f>
        <v>Layup (16 PTS) (L. Shamet 1 AST)</v>
      </c>
      <c r="L1952" s="2" t="str">
        <f>HYPERLINK("https://www.nba.com/game/...-vs-...-0021900406/play-by-play?watchFullGame=true", "LAC vs PHX - Q3 03:12.00")</f>
        <v>LAC vs PHX - Q3 03:12.00</v>
      </c>
      <c r="M1952">
        <v>4.0199999999999996</v>
      </c>
      <c r="N1952">
        <v>91.11</v>
      </c>
      <c r="O1952">
        <v>53.36</v>
      </c>
      <c r="P1952">
        <v>17</v>
      </c>
      <c r="Q1952">
        <v>31</v>
      </c>
      <c r="R1952">
        <v>91</v>
      </c>
      <c r="S1952">
        <v>53</v>
      </c>
    </row>
    <row r="1953" spans="1:19" hidden="1" x14ac:dyDescent="0.25">
      <c r="A1953">
        <v>22001034</v>
      </c>
      <c r="B1953" t="s">
        <v>18</v>
      </c>
      <c r="C1953" t="s">
        <v>87</v>
      </c>
      <c r="D1953">
        <v>70</v>
      </c>
      <c r="E1953">
        <v>57</v>
      </c>
      <c r="F1953">
        <v>13</v>
      </c>
      <c r="G1953">
        <v>3</v>
      </c>
      <c r="H1953" s="1">
        <v>4.6527777777777774E-3</v>
      </c>
      <c r="I1953">
        <v>2020</v>
      </c>
      <c r="J1953" t="s">
        <v>83</v>
      </c>
      <c r="K1953" s="2" t="str">
        <f>HYPERLINK("https://www.nba.com/stats/events?CFID=&amp;CFPARAMS=&amp;GameEventID=395&amp;GameID=0022001034&amp;Season=2020-21&amp;flag=1&amp;title=Leonard%20driving%20Layup%20(18%20PTS)", "Driving Layup (18 PTS)")</f>
        <v>Driving Layup (18 PTS)</v>
      </c>
      <c r="L1953" s="2" t="str">
        <f>HYPERLINK("https://www.nba.com/game/...-vs-...-0022001034/play-by-play?watchFullGame=true", "LAC vs TOR - Q3 06:42.00")</f>
        <v>LAC vs TOR - Q3 06:42.00</v>
      </c>
      <c r="M1953">
        <v>3.84</v>
      </c>
      <c r="N1953">
        <v>91.67</v>
      </c>
      <c r="O1953">
        <v>55.71</v>
      </c>
      <c r="P1953">
        <v>29</v>
      </c>
      <c r="Q1953">
        <v>26</v>
      </c>
      <c r="R1953">
        <v>91</v>
      </c>
      <c r="S1953">
        <v>55</v>
      </c>
    </row>
    <row r="1954" spans="1:19" hidden="1" x14ac:dyDescent="0.25">
      <c r="A1954">
        <v>21900051</v>
      </c>
      <c r="B1954" t="s">
        <v>18</v>
      </c>
      <c r="C1954" t="s">
        <v>84</v>
      </c>
      <c r="D1954">
        <v>53</v>
      </c>
      <c r="E1954">
        <v>52</v>
      </c>
      <c r="F1954">
        <v>1</v>
      </c>
      <c r="G1954">
        <v>2</v>
      </c>
      <c r="H1954" s="1">
        <v>1.3194444444444445E-3</v>
      </c>
      <c r="I1954">
        <v>2019</v>
      </c>
      <c r="J1954" t="s">
        <v>83</v>
      </c>
      <c r="K1954" s="2" t="str">
        <f>HYPERLINK("https://www.nba.com/stats/events?CFID=&amp;CFPARAMS=&amp;GameEventID=299&amp;GameID=0021900051&amp;Season=2019-20&amp;flag=1&amp;title=[LAC]%20Leonard%20jumpshot:%20Made%20(14%20PTS)", "[LAC] Leonard jumpshot: Made (14 PTS)")</f>
        <v>[LAC] Leonard jumpshot: Made (14 PTS)</v>
      </c>
      <c r="L1954" s="2" t="str">
        <f>HYPERLINK("https://www.nba.com/game/...-vs-...-0021900051/play-by-play?watchFullGame=true", "LAC vs CHA - Q2 01:54.00")</f>
        <v>LAC vs CHA - Q2 01:54.00</v>
      </c>
      <c r="M1954">
        <v>3.41</v>
      </c>
      <c r="N1954">
        <v>91.38</v>
      </c>
      <c r="O1954">
        <v>49.69</v>
      </c>
      <c r="P1954">
        <v>-2</v>
      </c>
      <c r="Q1954">
        <v>29</v>
      </c>
      <c r="R1954">
        <v>91</v>
      </c>
      <c r="S1954">
        <v>49</v>
      </c>
    </row>
    <row r="1955" spans="1:19" hidden="1" x14ac:dyDescent="0.25">
      <c r="A1955">
        <v>42000176</v>
      </c>
      <c r="B1955" t="s">
        <v>18</v>
      </c>
      <c r="C1955" t="s">
        <v>89</v>
      </c>
      <c r="D1955">
        <v>14</v>
      </c>
      <c r="E1955">
        <v>17</v>
      </c>
      <c r="F1955">
        <v>3</v>
      </c>
      <c r="G1955">
        <v>1</v>
      </c>
      <c r="H1955" s="1">
        <v>4.43287037037037E-3</v>
      </c>
      <c r="I1955" t="s">
        <v>91</v>
      </c>
      <c r="J1955" t="s">
        <v>83</v>
      </c>
      <c r="K1955" s="2" t="str">
        <f>HYPERLINK("https://www.nba.com/stats/events?CFID=&amp;CFPARAMS=&amp;GameEventID=61&amp;GameID=0042000176&amp;Season=2020-21&amp;flag=1&amp;title=Leonard%20driving%20bank%20Hook%20(2%20PTS)", "Driving bank Hook (2 PTS)")</f>
        <v>Driving bank Hook (2 PTS)</v>
      </c>
      <c r="L1955" s="2" t="str">
        <f>HYPERLINK("https://www.nba.com/game/...-vs-...-0042000176/play-by-play?watchFullGame=true", "LAC vs DAL - Q1 06:23.00")</f>
        <v>LAC vs DAL - Q1 06:23.00</v>
      </c>
      <c r="M1955">
        <v>3.27</v>
      </c>
      <c r="N1955">
        <v>91.8</v>
      </c>
      <c r="O1955">
        <v>45.66</v>
      </c>
      <c r="P1955">
        <v>91</v>
      </c>
      <c r="Q1955">
        <v>45</v>
      </c>
      <c r="R1955">
        <v>91</v>
      </c>
      <c r="S1955">
        <v>45</v>
      </c>
    </row>
    <row r="1956" spans="1:19" hidden="1" x14ac:dyDescent="0.25">
      <c r="A1956">
        <v>42000221</v>
      </c>
      <c r="B1956" t="s">
        <v>18</v>
      </c>
      <c r="C1956" t="s">
        <v>87</v>
      </c>
      <c r="D1956">
        <v>106</v>
      </c>
      <c r="E1956">
        <v>112</v>
      </c>
      <c r="F1956">
        <v>6</v>
      </c>
      <c r="G1956">
        <v>4</v>
      </c>
      <c r="H1956" s="1">
        <v>7.8703703703703705E-4</v>
      </c>
      <c r="I1956" t="s">
        <v>94</v>
      </c>
      <c r="J1956" t="s">
        <v>83</v>
      </c>
      <c r="K1956" s="2" t="str">
        <f>HYPERLINK("https://www.nba.com/stats/events?CFID=&amp;CFPARAMS=&amp;GameEventID=670&amp;GameID=0042000221&amp;Season=2020-21&amp;flag=1&amp;title=Leonard%20cutting%20Layup%20(23%20PTS)%20(P.%20George%202%20AST)", "Cutting Layup (23 PTS) (P. George 2 AST)")</f>
        <v>Cutting Layup (23 PTS) (P. George 2 AST)</v>
      </c>
      <c r="L1956" s="2" t="str">
        <f>HYPERLINK("https://www.nba.com/game/...-vs-...-0042000221/play-by-play?watchFullGame=true", "LAC vs UTA - Q4 01:08.00")</f>
        <v>LAC vs UTA - Q4 01:08.00</v>
      </c>
      <c r="M1956">
        <v>3.18</v>
      </c>
      <c r="N1956">
        <v>91.28</v>
      </c>
      <c r="O1956">
        <v>47.62</v>
      </c>
      <c r="P1956">
        <v>91</v>
      </c>
      <c r="Q1956">
        <v>47</v>
      </c>
      <c r="R1956">
        <v>91</v>
      </c>
      <c r="S1956">
        <v>47</v>
      </c>
    </row>
    <row r="1957" spans="1:19" hidden="1" x14ac:dyDescent="0.25">
      <c r="A1957">
        <v>21900516</v>
      </c>
      <c r="B1957" t="s">
        <v>18</v>
      </c>
      <c r="C1957" t="s">
        <v>84</v>
      </c>
      <c r="D1957">
        <v>54</v>
      </c>
      <c r="E1957">
        <v>56</v>
      </c>
      <c r="F1957">
        <v>2</v>
      </c>
      <c r="G1957">
        <v>2</v>
      </c>
      <c r="H1957" s="1">
        <v>3.8888888888888888E-3</v>
      </c>
      <c r="I1957">
        <v>2019</v>
      </c>
      <c r="J1957" t="s">
        <v>83</v>
      </c>
      <c r="K1957" s="2" t="str">
        <f>HYPERLINK("https://www.nba.com/stats/events?CFID=&amp;CFPARAMS=&amp;GameEventID=278&amp;GameID=0021900516&amp;Season=2019-20&amp;flag=1&amp;title=Leonard%20jumpshot%20(8%20PTS)", "Jumpshot (8 PTS)")</f>
        <v>Jumpshot (8 PTS)</v>
      </c>
      <c r="L1957" s="2" t="str">
        <f>HYPERLINK("https://www.nba.com/game/...-vs-...-0021900516/play-by-play?watchFullGame=true", "LAC vs DET - Q2 05:36.00")</f>
        <v>LAC vs DET - Q2 05:36.00</v>
      </c>
      <c r="M1957">
        <v>3.18</v>
      </c>
      <c r="N1957">
        <v>91.77</v>
      </c>
      <c r="O1957">
        <v>51.89</v>
      </c>
      <c r="P1957">
        <v>9</v>
      </c>
      <c r="Q1957">
        <v>25</v>
      </c>
      <c r="R1957">
        <v>91</v>
      </c>
      <c r="S1957">
        <v>51</v>
      </c>
    </row>
    <row r="1958" spans="1:19" hidden="1" x14ac:dyDescent="0.25">
      <c r="A1958">
        <v>41900152</v>
      </c>
      <c r="B1958" t="s">
        <v>18</v>
      </c>
      <c r="C1958" t="s">
        <v>90</v>
      </c>
      <c r="D1958">
        <v>58</v>
      </c>
      <c r="E1958">
        <v>61</v>
      </c>
      <c r="F1958">
        <v>3</v>
      </c>
      <c r="G1958">
        <v>3</v>
      </c>
      <c r="H1958" s="1">
        <v>8.1134259259259267E-3</v>
      </c>
      <c r="I1958" t="s">
        <v>86</v>
      </c>
      <c r="J1958" t="s">
        <v>83</v>
      </c>
      <c r="K1958" s="2" t="str">
        <f>HYPERLINK("https://www.nba.com/stats/events?CFID=&amp;CFPARAMS=&amp;GameEventID=363&amp;GameID=0041900152&amp;Season=2019-20&amp;flag=1&amp;title=Leonard%20layup%20(20%20PTS)", "Layup (20 PTS)")</f>
        <v>Layup (20 PTS)</v>
      </c>
      <c r="L1958" s="2" t="str">
        <f>HYPERLINK("https://www.nba.com/game/...-vs-...-0041900152/play-by-play?watchFullGame=true", "LAC vs DAL - Q3 11:41.00")</f>
        <v>LAC vs DAL - Q3 11:41.00</v>
      </c>
      <c r="M1958">
        <v>3.03</v>
      </c>
      <c r="N1958">
        <v>91.93</v>
      </c>
      <c r="O1958">
        <v>48.11</v>
      </c>
      <c r="P1958">
        <v>-9</v>
      </c>
      <c r="Q1958">
        <v>23</v>
      </c>
      <c r="R1958">
        <v>91</v>
      </c>
      <c r="S1958">
        <v>48</v>
      </c>
    </row>
    <row r="1959" spans="1:19" hidden="1" x14ac:dyDescent="0.25">
      <c r="A1959">
        <v>22300309</v>
      </c>
      <c r="B1959" t="s">
        <v>18</v>
      </c>
      <c r="C1959" t="s">
        <v>19</v>
      </c>
      <c r="D1959">
        <v>54</v>
      </c>
      <c r="E1959">
        <v>36</v>
      </c>
      <c r="F1959">
        <v>18</v>
      </c>
      <c r="G1959">
        <v>2</v>
      </c>
      <c r="H1959" s="1">
        <v>4.8032407407407407E-3</v>
      </c>
      <c r="I1959">
        <v>2023</v>
      </c>
      <c r="J1959" t="s">
        <v>83</v>
      </c>
      <c r="K1959" s="2" t="str">
        <f>HYPERLINK("https://www.nba.com/stats/events?CFID=&amp;CFPARAMS=&amp;GameEventID=232&amp;GameID=0022300309&amp;Season=2023-24&amp;flag=1&amp;title=Leonard%20driving%20floating%20Jump%20Shot%20(9%20PTS)", "Driving floating Jump Shot (9 PTS)")</f>
        <v>Driving floating Jump Shot (9 PTS)</v>
      </c>
      <c r="L1959" s="2" t="str">
        <f>HYPERLINK("https://www.nba.com/game/...-vs-...-0022300309/play-by-play?watchFullGame=true", "LAC vs SAC - Q2 06:55.00")</f>
        <v>LAC vs SAC - Q2 06:55.00</v>
      </c>
      <c r="M1959">
        <v>2.99</v>
      </c>
      <c r="N1959">
        <v>91.25</v>
      </c>
      <c r="O1959">
        <v>49.51</v>
      </c>
      <c r="P1959">
        <v>-2</v>
      </c>
      <c r="Q1959">
        <v>30</v>
      </c>
      <c r="R1959">
        <v>91</v>
      </c>
      <c r="S1959">
        <v>49</v>
      </c>
    </row>
    <row r="1960" spans="1:19" hidden="1" x14ac:dyDescent="0.25">
      <c r="A1960">
        <v>22000799</v>
      </c>
      <c r="B1960" t="s">
        <v>18</v>
      </c>
      <c r="C1960" t="s">
        <v>87</v>
      </c>
      <c r="D1960">
        <v>64</v>
      </c>
      <c r="E1960">
        <v>44</v>
      </c>
      <c r="F1960">
        <v>20</v>
      </c>
      <c r="G1960">
        <v>2</v>
      </c>
      <c r="H1960" s="1">
        <v>7.0601851851851847E-4</v>
      </c>
      <c r="I1960">
        <v>2020</v>
      </c>
      <c r="J1960" t="s">
        <v>83</v>
      </c>
      <c r="K1960" s="2" t="str">
        <f>HYPERLINK("https://www.nba.com/stats/events?CFID=&amp;CFPARAMS=&amp;GameEventID=329&amp;GameID=0022000799&amp;Season=2020-21&amp;flag=1&amp;title=Leonard%20running%20Layup%20(15%20PTS)", "Running Layup (15 PTS)")</f>
        <v>Running Layup (15 PTS)</v>
      </c>
      <c r="L1960" s="2" t="str">
        <f>HYPERLINK("https://www.nba.com/game/...-vs-...-0022000799/play-by-play?watchFullGame=true", "LAC vs HOU - Q2 01:01.00")</f>
        <v>LAC vs HOU - Q2 01:01.00</v>
      </c>
      <c r="M1960">
        <v>2.93</v>
      </c>
      <c r="N1960">
        <v>91.54</v>
      </c>
      <c r="O1960">
        <v>52.27</v>
      </c>
      <c r="P1960">
        <v>11</v>
      </c>
      <c r="Q1960">
        <v>27</v>
      </c>
      <c r="R1960">
        <v>91</v>
      </c>
      <c r="S1960">
        <v>52</v>
      </c>
    </row>
    <row r="1961" spans="1:19" hidden="1" x14ac:dyDescent="0.25">
      <c r="A1961">
        <v>22200687</v>
      </c>
      <c r="B1961" t="s">
        <v>18</v>
      </c>
      <c r="C1961" t="s">
        <v>19</v>
      </c>
      <c r="D1961">
        <v>65</v>
      </c>
      <c r="E1961">
        <v>72</v>
      </c>
      <c r="F1961">
        <v>7</v>
      </c>
      <c r="G1961">
        <v>2</v>
      </c>
      <c r="H1961" s="1">
        <v>0</v>
      </c>
      <c r="I1961">
        <v>2022</v>
      </c>
      <c r="J1961" t="s">
        <v>83</v>
      </c>
      <c r="K1961" s="2" t="str">
        <f>HYPERLINK("https://www.nba.com/stats/events?CFID=&amp;CFPARAMS=&amp;GameEventID=285&amp;GameID=0022200687&amp;Season=2022-23&amp;flag=1&amp;title=Leonard%20driving%20floating%20Jump%20Shot%20(15%20PTS)", "Driving floating Jump Shot (15 PTS)")</f>
        <v>Driving floating Jump Shot (15 PTS)</v>
      </c>
      <c r="L1961" s="2" t="str">
        <f>HYPERLINK("https://www.nba.com/game/...-vs-...-0022200687/play-by-play?watchFullGame=true", "LAC vs SAS - Q2 00:00.00")</f>
        <v>LAC vs SAS - Q2 00:00.00</v>
      </c>
      <c r="M1961">
        <v>2.63</v>
      </c>
      <c r="N1961">
        <v>91.67</v>
      </c>
      <c r="O1961">
        <v>49.02</v>
      </c>
      <c r="P1961">
        <v>-5</v>
      </c>
      <c r="Q1961">
        <v>26</v>
      </c>
      <c r="R1961">
        <v>91</v>
      </c>
      <c r="S1961">
        <v>49</v>
      </c>
    </row>
    <row r="1962" spans="1:19" hidden="1" x14ac:dyDescent="0.25">
      <c r="A1962">
        <v>42000223</v>
      </c>
      <c r="B1962" t="s">
        <v>18</v>
      </c>
      <c r="C1962" t="s">
        <v>87</v>
      </c>
      <c r="D1962">
        <v>118</v>
      </c>
      <c r="E1962">
        <v>98</v>
      </c>
      <c r="F1962">
        <v>20</v>
      </c>
      <c r="G1962">
        <v>4</v>
      </c>
      <c r="H1962" s="1">
        <v>3.1944444444444446E-3</v>
      </c>
      <c r="I1962" t="s">
        <v>94</v>
      </c>
      <c r="J1962" t="s">
        <v>83</v>
      </c>
      <c r="K1962" s="2" t="str">
        <f>HYPERLINK("https://www.nba.com/stats/events?CFID=&amp;CFPARAMS=&amp;GameEventID=544&amp;GameID=0042000223&amp;Season=2020-21&amp;flag=1&amp;title=Leonard%20driving%20Layup%20(32%20PTS)", "Driving Layup (32 PTS)")</f>
        <v>Driving Layup (32 PTS)</v>
      </c>
      <c r="L1962" s="2" t="str">
        <f>HYPERLINK("https://www.nba.com/game/...-vs-...-0042000223/play-by-play?watchFullGame=true", "LAC vs UTA - Q4 04:36.00")</f>
        <v>LAC vs UTA - Q4 04:36.00</v>
      </c>
      <c r="M1962">
        <v>2.57</v>
      </c>
      <c r="N1962">
        <v>91.77</v>
      </c>
      <c r="O1962">
        <v>48.71</v>
      </c>
      <c r="P1962">
        <v>91</v>
      </c>
      <c r="Q1962">
        <v>48</v>
      </c>
      <c r="R1962">
        <v>91</v>
      </c>
      <c r="S1962">
        <v>48</v>
      </c>
    </row>
    <row r="1963" spans="1:19" hidden="1" x14ac:dyDescent="0.25">
      <c r="A1963">
        <v>42000221</v>
      </c>
      <c r="B1963" t="s">
        <v>18</v>
      </c>
      <c r="C1963" t="s">
        <v>87</v>
      </c>
      <c r="D1963">
        <v>93</v>
      </c>
      <c r="E1963">
        <v>96</v>
      </c>
      <c r="F1963">
        <v>3</v>
      </c>
      <c r="G1963">
        <v>4</v>
      </c>
      <c r="H1963" s="1">
        <v>4.9305555555555552E-3</v>
      </c>
      <c r="I1963" t="s">
        <v>94</v>
      </c>
      <c r="J1963" t="s">
        <v>83</v>
      </c>
      <c r="K1963" s="2" t="str">
        <f>HYPERLINK("https://www.nba.com/stats/events?CFID=&amp;CFPARAMS=&amp;GameEventID=602&amp;GameID=0042000221&amp;Season=2020-21&amp;flag=1&amp;title=Leonard%20driving%20finger%20roll%20Layup%20(19%20PTS)", "Driving finger roll Layup (19 PTS)")</f>
        <v>Driving finger roll Layup (19 PTS)</v>
      </c>
      <c r="L1963" s="2" t="str">
        <f>HYPERLINK("https://www.nba.com/game/...-vs-...-0042000221/play-by-play?watchFullGame=true", "LAC vs UTA - Q4 07:06.00")</f>
        <v>LAC vs UTA - Q4 07:06.00</v>
      </c>
      <c r="M1963">
        <v>2.52</v>
      </c>
      <c r="N1963">
        <v>91.8</v>
      </c>
      <c r="O1963">
        <v>48.84</v>
      </c>
      <c r="P1963">
        <v>91</v>
      </c>
      <c r="Q1963">
        <v>48</v>
      </c>
      <c r="R1963">
        <v>91</v>
      </c>
      <c r="S1963">
        <v>48</v>
      </c>
    </row>
    <row r="1964" spans="1:19" hidden="1" x14ac:dyDescent="0.25">
      <c r="A1964">
        <v>42000172</v>
      </c>
      <c r="B1964" t="s">
        <v>18</v>
      </c>
      <c r="C1964" t="s">
        <v>87</v>
      </c>
      <c r="D1964">
        <v>58</v>
      </c>
      <c r="E1964">
        <v>60</v>
      </c>
      <c r="F1964">
        <v>2</v>
      </c>
      <c r="G1964">
        <v>2</v>
      </c>
      <c r="H1964" s="1">
        <v>2.3148148148148147E-3</v>
      </c>
      <c r="I1964" t="s">
        <v>91</v>
      </c>
      <c r="J1964" t="s">
        <v>83</v>
      </c>
      <c r="K1964" s="2" t="str">
        <f>HYPERLINK("https://www.nba.com/stats/events?CFID=&amp;CFPARAMS=&amp;GameEventID=258&amp;GameID=0042000172&amp;Season=2020-21&amp;flag=1&amp;title=Leonard%20driving%20Layup%20(24%20PTS)", "Driving Layup (24 PTS)")</f>
        <v>Driving Layup (24 PTS)</v>
      </c>
      <c r="L1964" s="2" t="str">
        <f>HYPERLINK("https://www.nba.com/game/...-vs-...-0042000172/play-by-play?watchFullGame=true", "LAC vs DAL - Q2 03:20.00")</f>
        <v>LAC vs DAL - Q2 03:20.00</v>
      </c>
      <c r="M1964">
        <v>2.4900000000000002</v>
      </c>
      <c r="N1964">
        <v>91.8</v>
      </c>
      <c r="O1964">
        <v>49.09</v>
      </c>
      <c r="P1964">
        <v>91</v>
      </c>
      <c r="Q1964">
        <v>49</v>
      </c>
      <c r="R1964">
        <v>91</v>
      </c>
      <c r="S1964">
        <v>49</v>
      </c>
    </row>
    <row r="1965" spans="1:19" hidden="1" x14ac:dyDescent="0.25">
      <c r="A1965">
        <v>22400596</v>
      </c>
      <c r="B1965" t="s">
        <v>18</v>
      </c>
      <c r="C1965" t="s">
        <v>87</v>
      </c>
      <c r="D1965">
        <v>54</v>
      </c>
      <c r="E1965">
        <v>44</v>
      </c>
      <c r="F1965">
        <v>10</v>
      </c>
      <c r="G1965">
        <v>2</v>
      </c>
      <c r="H1965" s="1">
        <v>3.3564814814814816E-3</v>
      </c>
      <c r="I1965">
        <v>2024</v>
      </c>
      <c r="J1965" t="s">
        <v>83</v>
      </c>
      <c r="K1965" s="2" t="str">
        <f>HYPERLINK("https://www.nba.com/stats/events?CFID=&amp;CFPARAMS=&amp;GameEventID=224&amp;GameID=0022400596&amp;Season=2024-25&amp;flag=1&amp;title=Leonard%20cutting%20Layup%20(9%20PTS)%20(J.%20Harden%202%20AST)", "Cutting Layup (9 PTS) (J. Harden 2 AST)")</f>
        <v>Cutting Layup (9 PTS) (J. Harden 2 AST)</v>
      </c>
      <c r="L1965" s="2" t="str">
        <f>HYPERLINK("https://www.nba.com/game/...-vs-...-0022400596/play-by-play?watchFullGame=true", "LAC vs LAL - Q2 04:50.00")</f>
        <v>LAC vs LAL - Q2 04:50.00</v>
      </c>
      <c r="M1965">
        <v>2.4500000000000002</v>
      </c>
      <c r="N1965">
        <v>91.8</v>
      </c>
      <c r="O1965">
        <v>49.75</v>
      </c>
      <c r="P1965">
        <v>-1</v>
      </c>
      <c r="Q1965">
        <v>25</v>
      </c>
      <c r="R1965">
        <v>91</v>
      </c>
      <c r="S1965">
        <v>49</v>
      </c>
    </row>
    <row r="1966" spans="1:19" hidden="1" x14ac:dyDescent="0.25">
      <c r="A1966">
        <v>22300264</v>
      </c>
      <c r="B1966" t="s">
        <v>18</v>
      </c>
      <c r="C1966" t="s">
        <v>88</v>
      </c>
      <c r="D1966">
        <v>98</v>
      </c>
      <c r="E1966">
        <v>77</v>
      </c>
      <c r="F1966">
        <v>21</v>
      </c>
      <c r="G1966">
        <v>3</v>
      </c>
      <c r="H1966" s="1">
        <v>1.0648148148148149E-3</v>
      </c>
      <c r="I1966">
        <v>2023</v>
      </c>
      <c r="J1966" t="s">
        <v>83</v>
      </c>
      <c r="K1966" s="2" t="str">
        <f>HYPERLINK("https://www.nba.com/stats/events?CFID=&amp;CFPARAMS=&amp;GameEventID=470&amp;GameID=0022300264&amp;Season=2023-24&amp;flag=1&amp;title=Leonard%20driving%20DUNK%20(25%20PTS)", "Driving DUNK (25 PTS)")</f>
        <v>Driving DUNK (25 PTS)</v>
      </c>
      <c r="L1966" s="2" t="str">
        <f>HYPERLINK("https://www.nba.com/game/...-vs-...-0022300264/play-by-play?watchFullGame=true", "LAC vs SAC - Q3 01:32.00")</f>
        <v>LAC vs SAC - Q3 01:32.00</v>
      </c>
      <c r="M1966">
        <v>2.38</v>
      </c>
      <c r="N1966">
        <v>91.93</v>
      </c>
      <c r="O1966">
        <v>49.02</v>
      </c>
      <c r="P1966">
        <v>-5</v>
      </c>
      <c r="Q1966">
        <v>23</v>
      </c>
      <c r="R1966">
        <v>91</v>
      </c>
      <c r="S1966">
        <v>49</v>
      </c>
    </row>
    <row r="1967" spans="1:19" hidden="1" x14ac:dyDescent="0.25">
      <c r="A1967">
        <v>22200970</v>
      </c>
      <c r="B1967" t="s">
        <v>18</v>
      </c>
      <c r="C1967" t="s">
        <v>88</v>
      </c>
      <c r="D1967">
        <v>122</v>
      </c>
      <c r="E1967">
        <v>121</v>
      </c>
      <c r="F1967">
        <v>1</v>
      </c>
      <c r="G1967">
        <v>4</v>
      </c>
      <c r="H1967" s="1">
        <v>2.6967592592592594E-3</v>
      </c>
      <c r="I1967">
        <v>2022</v>
      </c>
      <c r="J1967" t="s">
        <v>83</v>
      </c>
      <c r="K1967" s="2" t="str">
        <f>HYPERLINK("https://www.nba.com/stats/events?CFID=&amp;CFPARAMS=&amp;GameEventID=598&amp;GameID=0022200970&amp;Season=2022-23&amp;flag=1&amp;title=Leonard%20running%20DUNK%20(26%20PTS)", "Running DUNK (26 PTS)")</f>
        <v>Running DUNK (26 PTS)</v>
      </c>
      <c r="L1967" s="2" t="str">
        <f>HYPERLINK("https://www.nba.com/game/...-vs-...-0022200970/play-by-play?watchFullGame=true", "LAC vs MEM - Q4 03:53.00")</f>
        <v>LAC vs MEM - Q4 03:53.00</v>
      </c>
      <c r="M1967">
        <v>3.1</v>
      </c>
      <c r="N1967">
        <v>91.11</v>
      </c>
      <c r="O1967">
        <v>49.75</v>
      </c>
      <c r="P1967">
        <v>-1</v>
      </c>
      <c r="Q1967">
        <v>31</v>
      </c>
      <c r="R1967">
        <v>91</v>
      </c>
      <c r="S1967">
        <v>49</v>
      </c>
    </row>
    <row r="1968" spans="1:19" hidden="1" x14ac:dyDescent="0.25">
      <c r="A1968">
        <v>21900576</v>
      </c>
      <c r="B1968" t="s">
        <v>18</v>
      </c>
      <c r="C1968" t="s">
        <v>92</v>
      </c>
      <c r="D1968">
        <v>29</v>
      </c>
      <c r="E1968">
        <v>27</v>
      </c>
      <c r="F1968">
        <v>2</v>
      </c>
      <c r="G1968">
        <v>2</v>
      </c>
      <c r="H1968" s="1">
        <v>5.1273148148148146E-3</v>
      </c>
      <c r="I1968">
        <v>2019</v>
      </c>
      <c r="J1968" t="s">
        <v>83</v>
      </c>
      <c r="K1968" s="2" t="str">
        <f>HYPERLINK("https://www.nba.com/stats/events?CFID=&amp;CFPARAMS=&amp;GameEventID=228&amp;GameID=0021900576&amp;Season=2019-20&amp;flag=1&amp;title=Leonard%20dunk%20(9%20PTS)%20(L.%20Williams%203%20AST)", "Dunk (9 PTS) (L. Williams 3 AST)")</f>
        <v>Dunk (9 PTS) (L. Williams 3 AST)</v>
      </c>
      <c r="L1968" s="2" t="str">
        <f>HYPERLINK("https://www.nba.com/game/...-vs-...-0021900576/play-by-play?watchFullGame=true", "LAC vs GSW - Q2 07:23.00")</f>
        <v>LAC vs GSW - Q2 07:23.00</v>
      </c>
      <c r="M1968">
        <v>3.29</v>
      </c>
      <c r="N1968">
        <v>91.51</v>
      </c>
      <c r="O1968">
        <v>50.42</v>
      </c>
      <c r="P1968">
        <v>2</v>
      </c>
      <c r="Q1968">
        <v>27</v>
      </c>
      <c r="R1968">
        <v>91</v>
      </c>
      <c r="S1968">
        <v>50</v>
      </c>
    </row>
    <row r="1969" spans="1:19" hidden="1" x14ac:dyDescent="0.25">
      <c r="A1969">
        <v>41900236</v>
      </c>
      <c r="B1969" t="s">
        <v>18</v>
      </c>
      <c r="C1969" t="s">
        <v>92</v>
      </c>
      <c r="D1969">
        <v>91</v>
      </c>
      <c r="E1969">
        <v>96</v>
      </c>
      <c r="F1969">
        <v>5</v>
      </c>
      <c r="G1969">
        <v>4</v>
      </c>
      <c r="H1969" s="1">
        <v>3.6111111111111109E-3</v>
      </c>
      <c r="I1969" t="s">
        <v>85</v>
      </c>
      <c r="J1969" t="s">
        <v>83</v>
      </c>
      <c r="K1969" s="2" t="str">
        <f>HYPERLINK("https://www.nba.com/stats/events?CFID=&amp;CFPARAMS=&amp;GameEventID=584&amp;GameID=0041900236&amp;Season=2019-20&amp;flag=1&amp;title=Leonard%20dunk%20(23%20PTS)%20(L.%20Williams%201%20AST)", "Dunk (23 PTS) (L. Williams 1 AST)")</f>
        <v>Dunk (23 PTS) (L. Williams 1 AST)</v>
      </c>
      <c r="L1969" s="2" t="str">
        <f>HYPERLINK("https://www.nba.com/game/...-vs-...-0041900236/play-by-play?watchFullGame=true", "LAC vs DEN - Q4 05:12.00")</f>
        <v>LAC vs DEN - Q4 05:12.00</v>
      </c>
      <c r="M1969">
        <v>3.16</v>
      </c>
      <c r="N1969">
        <v>91.67</v>
      </c>
      <c r="O1969">
        <v>50.8</v>
      </c>
      <c r="P1969">
        <v>4</v>
      </c>
      <c r="Q1969">
        <v>26</v>
      </c>
      <c r="R1969">
        <v>91</v>
      </c>
      <c r="S1969">
        <v>50</v>
      </c>
    </row>
    <row r="1970" spans="1:19" hidden="1" x14ac:dyDescent="0.25">
      <c r="A1970">
        <v>21900339</v>
      </c>
      <c r="B1970" t="s">
        <v>18</v>
      </c>
      <c r="C1970" t="s">
        <v>92</v>
      </c>
      <c r="D1970">
        <v>25</v>
      </c>
      <c r="E1970">
        <v>16</v>
      </c>
      <c r="F1970">
        <v>9</v>
      </c>
      <c r="G1970">
        <v>1</v>
      </c>
      <c r="H1970" s="1">
        <v>3.5879629629629629E-3</v>
      </c>
      <c r="I1970">
        <v>2019</v>
      </c>
      <c r="J1970" t="s">
        <v>83</v>
      </c>
      <c r="K1970" s="2" t="str">
        <f>HYPERLINK("https://www.nba.com/stats/events?CFID=&amp;CFPARAMS=&amp;GameEventID=90&amp;GameID=0021900339&amp;Season=2019-20&amp;flag=1&amp;title=Leonard%20dunk%20(8%20PTS)%20(P.%20George%202%20AST)", "Dunk (8 PTS) (P. George 2 AST)")</f>
        <v>Dunk (8 PTS) (P. George 2 AST)</v>
      </c>
      <c r="L1970" s="2" t="str">
        <f>HYPERLINK("https://www.nba.com/game/...-vs-...-0021900339/play-by-play?watchFullGame=true", "LAC vs WAS - Q1 05:10.00")</f>
        <v>LAC vs WAS - Q1 05:10.00</v>
      </c>
      <c r="M1970">
        <v>3.31</v>
      </c>
      <c r="N1970">
        <v>91.51</v>
      </c>
      <c r="O1970">
        <v>50.91</v>
      </c>
      <c r="P1970">
        <v>5</v>
      </c>
      <c r="Q1970">
        <v>27</v>
      </c>
      <c r="R1970">
        <v>91</v>
      </c>
      <c r="S1970">
        <v>50</v>
      </c>
    </row>
    <row r="1971" spans="1:19" hidden="1" x14ac:dyDescent="0.25">
      <c r="A1971">
        <v>41900156</v>
      </c>
      <c r="B1971" t="s">
        <v>18</v>
      </c>
      <c r="C1971" t="s">
        <v>92</v>
      </c>
      <c r="D1971">
        <v>93</v>
      </c>
      <c r="E1971">
        <v>84</v>
      </c>
      <c r="F1971">
        <v>9</v>
      </c>
      <c r="G1971">
        <v>4</v>
      </c>
      <c r="H1971" s="1">
        <v>5.8217592592592592E-3</v>
      </c>
      <c r="I1971" t="s">
        <v>86</v>
      </c>
      <c r="J1971" t="s">
        <v>83</v>
      </c>
      <c r="K1971" s="2" t="str">
        <f>HYPERLINK("https://www.nba.com/stats/events?CFID=&amp;CFPARAMS=&amp;GameEventID=528&amp;GameID=0041900156&amp;Season=2019-20&amp;flag=1&amp;title=Leonard%20dunk%20(27%20PTS)", "Dunk (27 PTS)")</f>
        <v>Dunk (27 PTS)</v>
      </c>
      <c r="L1971" s="2" t="str">
        <f>HYPERLINK("https://www.nba.com/game/...-vs-...-0041900156/play-by-play?watchFullGame=true", "LAC vs DAL - Q4 08:23.00")</f>
        <v>LAC vs DAL - Q4 08:23.00</v>
      </c>
      <c r="M1971">
        <v>3.1</v>
      </c>
      <c r="N1971">
        <v>91.8</v>
      </c>
      <c r="O1971">
        <v>51.54</v>
      </c>
      <c r="P1971">
        <v>8</v>
      </c>
      <c r="Q1971">
        <v>25</v>
      </c>
      <c r="R1971">
        <v>91</v>
      </c>
      <c r="S1971">
        <v>51</v>
      </c>
    </row>
    <row r="1972" spans="1:19" hidden="1" x14ac:dyDescent="0.25">
      <c r="A1972">
        <v>22300223</v>
      </c>
      <c r="B1972" t="s">
        <v>18</v>
      </c>
      <c r="C1972" t="s">
        <v>88</v>
      </c>
      <c r="D1972">
        <v>66</v>
      </c>
      <c r="E1972">
        <v>53</v>
      </c>
      <c r="F1972">
        <v>13</v>
      </c>
      <c r="G1972">
        <v>2</v>
      </c>
      <c r="H1972" s="1">
        <v>3.0902777777777775E-4</v>
      </c>
      <c r="I1972">
        <v>2023</v>
      </c>
      <c r="J1972" t="s">
        <v>83</v>
      </c>
      <c r="K1972" s="2" t="str">
        <f>HYPERLINK("https://www.nba.com/stats/events?CFID=&amp;CFPARAMS=&amp;GameEventID=302&amp;GameID=0022300223&amp;Season=2023-24&amp;flag=1&amp;title=Leonard%20driving%20DUNK%20(12%20PTS)", "Driving DUNK (12 PTS)")</f>
        <v>Driving DUNK (12 PTS)</v>
      </c>
      <c r="L1972" s="2" t="str">
        <f>HYPERLINK("https://www.nba.com/game/...-vs-...-0022300223/play-by-play?watchFullGame=true", "LAC vs SAS - Q2 00:26.70")</f>
        <v>LAC vs SAS - Q2 00:26.70</v>
      </c>
      <c r="M1972">
        <v>2.48</v>
      </c>
      <c r="N1972">
        <v>91.93</v>
      </c>
      <c r="O1972">
        <v>51.72</v>
      </c>
      <c r="P1972">
        <v>9</v>
      </c>
      <c r="Q1972">
        <v>23</v>
      </c>
      <c r="R1972">
        <v>91</v>
      </c>
      <c r="S1972">
        <v>51</v>
      </c>
    </row>
    <row r="1973" spans="1:19" hidden="1" x14ac:dyDescent="0.25">
      <c r="A1973">
        <v>22400943</v>
      </c>
      <c r="B1973" t="s">
        <v>18</v>
      </c>
      <c r="C1973" t="s">
        <v>88</v>
      </c>
      <c r="D1973">
        <v>4</v>
      </c>
      <c r="E1973">
        <v>10</v>
      </c>
      <c r="F1973">
        <v>6</v>
      </c>
      <c r="G1973">
        <v>1</v>
      </c>
      <c r="H1973" s="1">
        <v>5.9837962962962961E-3</v>
      </c>
      <c r="I1973">
        <v>2024</v>
      </c>
      <c r="J1973" t="s">
        <v>83</v>
      </c>
      <c r="K1973" s="2" t="str">
        <f>HYPERLINK("https://www.nba.com/stats/events?CFID=&amp;CFPARAMS=&amp;GameEventID=41&amp;GameID=0022400943&amp;Season=2024-25&amp;flag=1&amp;title=Leonard%20running%20DUNK%20(2%20PTS)%20(Dunn%201%20AST)", "Running DUNK (2 PTS) (K. Dunn 1 AST)")</f>
        <v>Running DUNK (2 PTS) (K. Dunn 1 AST)</v>
      </c>
      <c r="L1973" s="2" t="str">
        <f>HYPERLINK("https://www.nba.com/game/...-vs-...-0022400943/play-by-play?watchFullGame=true", "LAC vs NOP - Q1 08:37.00")</f>
        <v>LAC vs NOP - Q1 08:37.00</v>
      </c>
      <c r="M1973">
        <v>2.64</v>
      </c>
      <c r="N1973">
        <v>91.8</v>
      </c>
      <c r="O1973">
        <v>51.96</v>
      </c>
      <c r="P1973">
        <v>10</v>
      </c>
      <c r="Q1973">
        <v>25</v>
      </c>
      <c r="R1973">
        <v>91</v>
      </c>
      <c r="S1973">
        <v>51</v>
      </c>
    </row>
    <row r="1974" spans="1:19" hidden="1" x14ac:dyDescent="0.25">
      <c r="A1974">
        <v>41900235</v>
      </c>
      <c r="B1974" t="s">
        <v>18</v>
      </c>
      <c r="C1974" t="s">
        <v>92</v>
      </c>
      <c r="D1974">
        <v>15</v>
      </c>
      <c r="E1974">
        <v>7</v>
      </c>
      <c r="F1974">
        <v>8</v>
      </c>
      <c r="G1974">
        <v>1</v>
      </c>
      <c r="H1974" s="1">
        <v>4.8726851851851848E-3</v>
      </c>
      <c r="I1974" t="s">
        <v>85</v>
      </c>
      <c r="J1974" t="s">
        <v>83</v>
      </c>
      <c r="K1974" s="2" t="str">
        <f>HYPERLINK("https://www.nba.com/stats/events?CFID=&amp;CFPARAMS=&amp;GameEventID=58&amp;GameID=0041900235&amp;Season=2019-20&amp;flag=1&amp;title=Leonard%20dunk%20(4%20PTS)", "Dunk (4 PTS)")</f>
        <v>Dunk (4 PTS)</v>
      </c>
      <c r="L1974" s="2" t="str">
        <f>HYPERLINK("https://www.nba.com/game/...-vs-...-0041900235/play-by-play?watchFullGame=true", "LAC vs DEN - Q1 07:01.00")</f>
        <v>LAC vs DEN - Q1 07:01.00</v>
      </c>
      <c r="M1974">
        <v>3.14</v>
      </c>
      <c r="N1974">
        <v>91.93</v>
      </c>
      <c r="O1974">
        <v>52.52</v>
      </c>
      <c r="P1974">
        <v>13</v>
      </c>
      <c r="Q1974">
        <v>23</v>
      </c>
      <c r="R1974">
        <v>91</v>
      </c>
      <c r="S1974">
        <v>52</v>
      </c>
    </row>
    <row r="1975" spans="1:19" hidden="1" x14ac:dyDescent="0.25">
      <c r="A1975">
        <v>22300223</v>
      </c>
      <c r="B1975" t="s">
        <v>18</v>
      </c>
      <c r="C1975" t="s">
        <v>88</v>
      </c>
      <c r="D1975">
        <v>60</v>
      </c>
      <c r="E1975">
        <v>50</v>
      </c>
      <c r="F1975">
        <v>10</v>
      </c>
      <c r="G1975">
        <v>2</v>
      </c>
      <c r="H1975" s="1">
        <v>1.5856481481481481E-3</v>
      </c>
      <c r="I1975">
        <v>2023</v>
      </c>
      <c r="J1975" t="s">
        <v>83</v>
      </c>
      <c r="K1975" s="2" t="str">
        <f>HYPERLINK("https://www.nba.com/stats/events?CFID=&amp;CFPARAMS=&amp;GameEventID=286&amp;GameID=0022300223&amp;Season=2023-24&amp;flag=1&amp;title=Leonard%20driving%20DUNK%20(10%20PTS)%20(P.%20George%205%20AST)", "Driving DUNK (10 PTS) (P. George 5 AST)")</f>
        <v>Driving DUNK (10 PTS) (P. George 5 AST)</v>
      </c>
      <c r="L1975" s="2" t="str">
        <f>HYPERLINK("https://www.nba.com/game/...-vs-...-0022300223/play-by-play?watchFullGame=true", "LAC vs SAS - Q2 02:17.00")</f>
        <v>LAC vs SAS - Q2 02:17.00</v>
      </c>
      <c r="M1975">
        <v>2.82</v>
      </c>
      <c r="N1975">
        <v>91.93</v>
      </c>
      <c r="O1975">
        <v>53.19</v>
      </c>
      <c r="P1975">
        <v>16</v>
      </c>
      <c r="Q1975">
        <v>23</v>
      </c>
      <c r="R1975">
        <v>91</v>
      </c>
      <c r="S1975">
        <v>53</v>
      </c>
    </row>
    <row r="1976" spans="1:19" hidden="1" x14ac:dyDescent="0.25">
      <c r="A1976">
        <v>42000222</v>
      </c>
      <c r="B1976" t="s">
        <v>18</v>
      </c>
      <c r="C1976" t="s">
        <v>88</v>
      </c>
      <c r="D1976">
        <v>95</v>
      </c>
      <c r="E1976">
        <v>97</v>
      </c>
      <c r="F1976">
        <v>2</v>
      </c>
      <c r="G1976">
        <v>4</v>
      </c>
      <c r="H1976" s="1">
        <v>5.2893518518518515E-3</v>
      </c>
      <c r="I1976" t="s">
        <v>94</v>
      </c>
      <c r="J1976" t="s">
        <v>83</v>
      </c>
      <c r="K1976" s="2" t="str">
        <f>HYPERLINK("https://www.nba.com/stats/events?CFID=&amp;CFPARAMS=&amp;GameEventID=508&amp;GameID=0042000222&amp;Season=2020-21&amp;flag=1&amp;title=Leonard%20running%20DUNK%20(21%20PTS)", "Running DUNK (21 PTS)")</f>
        <v>Running DUNK (21 PTS)</v>
      </c>
      <c r="L1976" s="2" t="str">
        <f>HYPERLINK("https://www.nba.com/game/...-vs-...-0042000222/play-by-play?watchFullGame=true", "LAC vs UTA - Q4 07:37.00")</f>
        <v>LAC vs UTA - Q4 07:37.00</v>
      </c>
      <c r="M1976">
        <v>3.17</v>
      </c>
      <c r="N1976">
        <v>91.15</v>
      </c>
      <c r="O1976">
        <v>51.54</v>
      </c>
      <c r="P1976">
        <v>91</v>
      </c>
      <c r="Q1976">
        <v>51</v>
      </c>
      <c r="R1976">
        <v>91</v>
      </c>
      <c r="S1976">
        <v>51</v>
      </c>
    </row>
    <row r="1977" spans="1:19" hidden="1" x14ac:dyDescent="0.25">
      <c r="A1977">
        <v>22301028</v>
      </c>
      <c r="B1977" t="s">
        <v>18</v>
      </c>
      <c r="C1977" t="s">
        <v>88</v>
      </c>
      <c r="D1977">
        <v>52</v>
      </c>
      <c r="E1977">
        <v>63</v>
      </c>
      <c r="F1977">
        <v>11</v>
      </c>
      <c r="G1977">
        <v>2</v>
      </c>
      <c r="H1977" s="1">
        <v>1.1458333333333333E-3</v>
      </c>
      <c r="I1977">
        <v>2023</v>
      </c>
      <c r="J1977" t="s">
        <v>83</v>
      </c>
      <c r="K1977" s="2" t="str">
        <f>HYPERLINK("https://www.nba.com/stats/events?CFID=&amp;CFPARAMS=&amp;GameEventID=267&amp;GameID=0022301028&amp;Season=2023-24&amp;flag=1&amp;title=Leonard%20running%20DUNK%20(8%20PTS)%20(J.%20Harden%208%20AST)", "Running DUNK (8 PTS) (J. Harden 8 AST)")</f>
        <v>Running DUNK (8 PTS) (J. Harden 8 AST)</v>
      </c>
      <c r="L1977" s="2" t="str">
        <f>HYPERLINK("https://www.nba.com/game/...-vs-...-0022301028/play-by-play?watchFullGame=true", "LAC vs PHI - Q2 01:39.00")</f>
        <v>LAC vs PHI - Q2 01:39.00</v>
      </c>
      <c r="M1977">
        <v>2.54</v>
      </c>
      <c r="N1977">
        <v>92.69</v>
      </c>
      <c r="O1977">
        <v>46.08</v>
      </c>
      <c r="P1977">
        <v>-20</v>
      </c>
      <c r="Q1977">
        <v>16</v>
      </c>
      <c r="R1977">
        <v>92</v>
      </c>
      <c r="S1977">
        <v>46</v>
      </c>
    </row>
    <row r="1978" spans="1:19" hidden="1" x14ac:dyDescent="0.25">
      <c r="A1978">
        <v>22300731</v>
      </c>
      <c r="B1978" t="s">
        <v>18</v>
      </c>
      <c r="C1978" t="s">
        <v>88</v>
      </c>
      <c r="D1978">
        <v>60</v>
      </c>
      <c r="E1978">
        <v>64</v>
      </c>
      <c r="F1978">
        <v>4</v>
      </c>
      <c r="G1978">
        <v>3</v>
      </c>
      <c r="H1978" s="1">
        <v>3.5879629629629629E-3</v>
      </c>
      <c r="I1978">
        <v>2023</v>
      </c>
      <c r="J1978" t="s">
        <v>83</v>
      </c>
      <c r="K1978" s="2" t="str">
        <f>HYPERLINK("https://www.nba.com/stats/events?CFID=&amp;CFPARAMS=&amp;GameEventID=391&amp;GameID=0022300731&amp;Season=2023-24&amp;flag=1&amp;title=Leonard%20running%20DUNK%20(11%20PTS)", "Running DUNK (11 PTS)")</f>
        <v>Running DUNK (11 PTS)</v>
      </c>
      <c r="L1978" s="2" t="str">
        <f>HYPERLINK("https://www.nba.com/game/...-vs-...-0022300731/play-by-play?watchFullGame=true", "LAC vs NOP - Q3 05:10.00")</f>
        <v>LAC vs NOP - Q3 05:10.00</v>
      </c>
      <c r="M1978">
        <v>2.75</v>
      </c>
      <c r="N1978">
        <v>92.03</v>
      </c>
      <c r="O1978">
        <v>46.81</v>
      </c>
      <c r="P1978">
        <v>-16</v>
      </c>
      <c r="Q1978">
        <v>22</v>
      </c>
      <c r="R1978">
        <v>92</v>
      </c>
      <c r="S1978">
        <v>46</v>
      </c>
    </row>
    <row r="1979" spans="1:19" hidden="1" x14ac:dyDescent="0.25">
      <c r="A1979">
        <v>22000509</v>
      </c>
      <c r="B1979" t="s">
        <v>26</v>
      </c>
      <c r="C1979" t="s">
        <v>19</v>
      </c>
      <c r="D1979">
        <v>27</v>
      </c>
      <c r="E1979">
        <v>19</v>
      </c>
      <c r="F1979">
        <v>8</v>
      </c>
      <c r="G1979">
        <v>1</v>
      </c>
      <c r="H1979" s="1">
        <v>1.3541666666666667E-3</v>
      </c>
      <c r="I1979">
        <v>2020</v>
      </c>
      <c r="J1979" t="s">
        <v>83</v>
      </c>
      <c r="K1979" s="2" t="str">
        <f>HYPERLINK("https://www.nba.com/stats/events?CFID=&amp;CFPARAMS=&amp;GameEventID=131&amp;GameID=0022000509&amp;Season=2020-21&amp;flag=1&amp;title=Leonard%203PT%20%20(11%20PTS)%20(T.%20Mann%201%20AST)", "3PT  (11 PTS) (T. Mann 1 AST)")</f>
        <v>3PT  (11 PTS) (T. Mann 1 AST)</v>
      </c>
      <c r="L1979" s="2" t="str">
        <f>HYPERLINK("https://www.nba.com/game/...-vs-...-0022000509/play-by-play?watchFullGame=true", "LAC vs MEM - Q1 01:57.00")</f>
        <v>LAC vs MEM - Q1 01:57.00</v>
      </c>
      <c r="M1979">
        <v>23.3</v>
      </c>
      <c r="N1979">
        <v>92.85</v>
      </c>
      <c r="O1979">
        <v>3.5</v>
      </c>
      <c r="P1979">
        <v>-232</v>
      </c>
      <c r="Q1979">
        <v>15</v>
      </c>
      <c r="R1979">
        <v>92</v>
      </c>
      <c r="S1979">
        <v>3</v>
      </c>
    </row>
    <row r="1980" spans="1:19" hidden="1" x14ac:dyDescent="0.25">
      <c r="A1980">
        <v>22200795</v>
      </c>
      <c r="B1980" t="s">
        <v>26</v>
      </c>
      <c r="C1980" t="s">
        <v>19</v>
      </c>
      <c r="D1980">
        <v>26</v>
      </c>
      <c r="E1980">
        <v>20</v>
      </c>
      <c r="F1980">
        <v>6</v>
      </c>
      <c r="G1980">
        <v>1</v>
      </c>
      <c r="H1980" s="1">
        <v>2.627314814814815E-3</v>
      </c>
      <c r="I1980">
        <v>2022</v>
      </c>
      <c r="J1980" t="s">
        <v>83</v>
      </c>
      <c r="K1980" s="2" t="str">
        <f>HYPERLINK("https://www.nba.com/stats/events?CFID=&amp;CFPARAMS=&amp;GameEventID=79&amp;GameID=0022200795&amp;Season=2022-23&amp;flag=1&amp;title=Leonard%203PT%20%20(7%20PTS)%20(P.%20George%203%20AST)", "3PT  (7 PTS) (P. George 3 AST)")</f>
        <v>3PT  (7 PTS) (P. George 3 AST)</v>
      </c>
      <c r="L1980" s="2" t="str">
        <f>HYPERLINK("https://www.nba.com/game/...-vs-...-0022200795/play-by-play?watchFullGame=true", "LAC vs NYK - Q1 03:47.00")</f>
        <v>LAC vs NYK - Q1 03:47.00</v>
      </c>
      <c r="M1980">
        <v>23.25</v>
      </c>
      <c r="N1980">
        <v>92.2</v>
      </c>
      <c r="O1980">
        <v>3.68</v>
      </c>
      <c r="P1980">
        <v>-232</v>
      </c>
      <c r="Q1980">
        <v>21</v>
      </c>
      <c r="R1980">
        <v>92</v>
      </c>
      <c r="S1980">
        <v>3</v>
      </c>
    </row>
    <row r="1981" spans="1:19" hidden="1" x14ac:dyDescent="0.25">
      <c r="A1981">
        <v>22200871</v>
      </c>
      <c r="B1981" t="s">
        <v>26</v>
      </c>
      <c r="C1981" t="s">
        <v>19</v>
      </c>
      <c r="D1981">
        <v>19</v>
      </c>
      <c r="E1981">
        <v>9</v>
      </c>
      <c r="F1981">
        <v>10</v>
      </c>
      <c r="G1981">
        <v>1</v>
      </c>
      <c r="H1981" s="1">
        <v>3.414351851851852E-3</v>
      </c>
      <c r="I1981">
        <v>2022</v>
      </c>
      <c r="J1981" t="s">
        <v>83</v>
      </c>
      <c r="K1981" s="2" t="str">
        <f>HYPERLINK("https://www.nba.com/stats/events?CFID=&amp;CFPARAMS=&amp;GameEventID=68&amp;GameID=0022200871&amp;Season=2022-23&amp;flag=1&amp;title=Leonard%203PT%20%20(6%20PTS)%20(I.%20Zubac%202%20AST)", "3PT  (6 PTS) (I. Zubac 2 AST)")</f>
        <v>3PT  (6 PTS) (I. Zubac 2 AST)</v>
      </c>
      <c r="L1981" s="2" t="str">
        <f>HYPERLINK("https://www.nba.com/game/...-vs-...-0022200871/play-by-play?watchFullGame=true", "LAC vs GSW - Q1 04:55.00")</f>
        <v>LAC vs GSW - Q1 04:55.00</v>
      </c>
      <c r="M1981">
        <v>22.75</v>
      </c>
      <c r="N1981">
        <v>92.43</v>
      </c>
      <c r="O1981">
        <v>4.66</v>
      </c>
      <c r="P1981">
        <v>-227</v>
      </c>
      <c r="Q1981">
        <v>19</v>
      </c>
      <c r="R1981">
        <v>92</v>
      </c>
      <c r="S1981">
        <v>4</v>
      </c>
    </row>
    <row r="1982" spans="1:19" hidden="1" x14ac:dyDescent="0.25">
      <c r="A1982">
        <v>41900156</v>
      </c>
      <c r="B1982" t="s">
        <v>18</v>
      </c>
      <c r="C1982" t="s">
        <v>84</v>
      </c>
      <c r="D1982">
        <v>95</v>
      </c>
      <c r="E1982">
        <v>84</v>
      </c>
      <c r="F1982">
        <v>11</v>
      </c>
      <c r="G1982">
        <v>4</v>
      </c>
      <c r="H1982" s="1">
        <v>5.2662037037037035E-3</v>
      </c>
      <c r="I1982" t="s">
        <v>86</v>
      </c>
      <c r="J1982" t="s">
        <v>83</v>
      </c>
      <c r="K1982" s="2" t="str">
        <f>HYPERLINK("https://www.nba.com/stats/events?CFID=&amp;CFPARAMS=&amp;GameEventID=538&amp;GameID=0041900156&amp;Season=2019-20&amp;flag=1&amp;title=Leonard%2015'%20jumpshot%20(29%20PTS)", "15' jumpshot (29 PTS)")</f>
        <v>15' jumpshot (29 PTS)</v>
      </c>
      <c r="L1982" s="2" t="str">
        <f>HYPERLINK("https://www.nba.com/game/...-vs-...-0041900156/play-by-play?watchFullGame=true", "LAC vs DAL - Q4 07:35.00")</f>
        <v>LAC vs DAL - Q4 07:35.00</v>
      </c>
      <c r="M1982">
        <v>15.36</v>
      </c>
      <c r="N1982">
        <v>92.07</v>
      </c>
      <c r="O1982">
        <v>80.22</v>
      </c>
      <c r="P1982">
        <v>151</v>
      </c>
      <c r="Q1982">
        <v>22</v>
      </c>
      <c r="R1982">
        <v>92</v>
      </c>
      <c r="S1982">
        <v>80</v>
      </c>
    </row>
    <row r="1983" spans="1:19" hidden="1" x14ac:dyDescent="0.25">
      <c r="A1983">
        <v>22300099</v>
      </c>
      <c r="B1983" t="s">
        <v>26</v>
      </c>
      <c r="C1983" t="s">
        <v>19</v>
      </c>
      <c r="D1983">
        <v>8</v>
      </c>
      <c r="E1983">
        <v>3</v>
      </c>
      <c r="F1983">
        <v>5</v>
      </c>
      <c r="G1983">
        <v>1</v>
      </c>
      <c r="H1983" s="1">
        <v>5.7407407407407407E-3</v>
      </c>
      <c r="I1983">
        <v>2023</v>
      </c>
      <c r="J1983" t="s">
        <v>83</v>
      </c>
      <c r="K1983" s="2" t="str">
        <f>HYPERLINK("https://www.nba.com/stats/events?CFID=&amp;CFPARAMS=&amp;GameEventID=56&amp;GameID=0022300099&amp;Season=2023-24&amp;flag=1&amp;title=Leonard%203PT%20%20(3%20PTS)%20(P.%20George%201%20AST)", "3PT  (3 PTS) (P. George 1 AST)")</f>
        <v>3PT  (3 PTS) (P. George 1 AST)</v>
      </c>
      <c r="L1983" s="2" t="str">
        <f>HYPERLINK("https://www.nba.com/game/...-vs-...-0022300099/play-by-play?watchFullGame=true", "LAC vs SAS - Q1 08:16.00")</f>
        <v>LAC vs SAS - Q1 08:16.00</v>
      </c>
      <c r="M1983">
        <v>22.64</v>
      </c>
      <c r="N1983">
        <v>92.3</v>
      </c>
      <c r="O1983">
        <v>95.1</v>
      </c>
      <c r="P1983">
        <v>225</v>
      </c>
      <c r="Q1983">
        <v>20</v>
      </c>
      <c r="R1983">
        <v>92</v>
      </c>
      <c r="S1983">
        <v>95</v>
      </c>
    </row>
    <row r="1984" spans="1:19" hidden="1" x14ac:dyDescent="0.25">
      <c r="A1984">
        <v>22300223</v>
      </c>
      <c r="B1984" t="s">
        <v>26</v>
      </c>
      <c r="C1984" t="s">
        <v>19</v>
      </c>
      <c r="D1984">
        <v>10</v>
      </c>
      <c r="E1984">
        <v>9</v>
      </c>
      <c r="F1984">
        <v>1</v>
      </c>
      <c r="G1984">
        <v>1</v>
      </c>
      <c r="H1984" s="1">
        <v>4.7569444444444447E-3</v>
      </c>
      <c r="I1984">
        <v>2023</v>
      </c>
      <c r="J1984" t="s">
        <v>83</v>
      </c>
      <c r="K1984" s="2" t="str">
        <f>HYPERLINK("https://www.nba.com/stats/events?CFID=&amp;CFPARAMS=&amp;GameEventID=55&amp;GameID=0022300223&amp;Season=2023-24&amp;flag=1&amp;title=Leonard%203PT%20%20(3%20PTS)%20(J.%20Harden%201%20AST)", "3PT  (3 PTS) (J. Harden 1 AST)")</f>
        <v>3PT  (3 PTS) (J. Harden 1 AST)</v>
      </c>
      <c r="L1984" s="2" t="str">
        <f>HYPERLINK("https://www.nba.com/game/...-vs-...-0022300223/play-by-play?watchFullGame=true", "LAC vs SAS - Q1 06:51.00")</f>
        <v>LAC vs SAS - Q1 06:51.00</v>
      </c>
      <c r="M1984">
        <v>22.85</v>
      </c>
      <c r="N1984">
        <v>92.72</v>
      </c>
      <c r="O1984">
        <v>95.59</v>
      </c>
      <c r="P1984">
        <v>228</v>
      </c>
      <c r="Q1984">
        <v>16</v>
      </c>
      <c r="R1984">
        <v>92</v>
      </c>
      <c r="S1984">
        <v>95</v>
      </c>
    </row>
    <row r="1985" spans="1:19" hidden="1" x14ac:dyDescent="0.25">
      <c r="A1985">
        <v>21900576</v>
      </c>
      <c r="B1985" t="s">
        <v>18</v>
      </c>
      <c r="C1985" t="s">
        <v>84</v>
      </c>
      <c r="D1985">
        <v>37</v>
      </c>
      <c r="E1985">
        <v>37</v>
      </c>
      <c r="F1985">
        <v>0</v>
      </c>
      <c r="G1985">
        <v>2</v>
      </c>
      <c r="H1985" s="1">
        <v>3.0208333333333333E-3</v>
      </c>
      <c r="I1985">
        <v>2019</v>
      </c>
      <c r="J1985" t="s">
        <v>83</v>
      </c>
      <c r="K1985" s="2" t="str">
        <f>HYPERLINK("https://www.nba.com/stats/events?CFID=&amp;CFPARAMS=&amp;GameEventID=269&amp;GameID=0021900576&amp;Season=2019-20&amp;flag=1&amp;title=Leonard%2015'%20jumpshot%20(12%20PTS)%20(L.%20Williams%204%20AST)", "15' jumpshot (12 PTS) (L. Williams 4 AST)")</f>
        <v>15' jumpshot (12 PTS) (L. Williams 4 AST)</v>
      </c>
      <c r="L1985" s="2" t="str">
        <f>HYPERLINK("https://www.nba.com/game/...-vs-...-0021900576/play-by-play?watchFullGame=true", "LAC vs GSW - Q2 04:21.00")</f>
        <v>LAC vs GSW - Q2 04:21.00</v>
      </c>
      <c r="M1985">
        <v>14.85</v>
      </c>
      <c r="N1985">
        <v>92.56</v>
      </c>
      <c r="O1985">
        <v>79.34</v>
      </c>
      <c r="P1985">
        <v>147</v>
      </c>
      <c r="Q1985">
        <v>17</v>
      </c>
      <c r="R1985">
        <v>92</v>
      </c>
      <c r="S1985">
        <v>79</v>
      </c>
    </row>
    <row r="1986" spans="1:19" hidden="1" x14ac:dyDescent="0.25">
      <c r="A1986">
        <v>22300799</v>
      </c>
      <c r="B1986" t="s">
        <v>18</v>
      </c>
      <c r="C1986" t="s">
        <v>19</v>
      </c>
      <c r="D1986">
        <v>79</v>
      </c>
      <c r="E1986">
        <v>83</v>
      </c>
      <c r="F1986">
        <v>4</v>
      </c>
      <c r="G1986">
        <v>3</v>
      </c>
      <c r="H1986" s="1">
        <v>2.5925925925925925E-3</v>
      </c>
      <c r="I1986">
        <v>2023</v>
      </c>
      <c r="J1986" t="s">
        <v>83</v>
      </c>
      <c r="K1986" s="2" t="str">
        <f>HYPERLINK("https://www.nba.com/stats/events?CFID=&amp;CFPARAMS=&amp;GameEventID=433&amp;GameID=0022300799&amp;Season=2023-24&amp;flag=1&amp;title=Leonard%2013'%20turnaround%20Jump%20Shot%20(20%20PTS)", "13' turnaround Jump Shot (20 PTS)")</f>
        <v>13' turnaround Jump Shot (20 PTS)</v>
      </c>
      <c r="L1986" s="2" t="str">
        <f>HYPERLINK("https://www.nba.com/game/...-vs-...-0022300799/play-by-play?watchFullGame=true", "LAC vs OKC - Q3 03:44.00")</f>
        <v>LAC vs OKC - Q3 03:44.00</v>
      </c>
      <c r="M1986">
        <v>13.96</v>
      </c>
      <c r="N1986">
        <v>92.59</v>
      </c>
      <c r="O1986">
        <v>77.7</v>
      </c>
      <c r="P1986">
        <v>138</v>
      </c>
      <c r="Q1986">
        <v>17</v>
      </c>
      <c r="R1986">
        <v>92</v>
      </c>
      <c r="S1986">
        <v>77</v>
      </c>
    </row>
    <row r="1987" spans="1:19" hidden="1" x14ac:dyDescent="0.25">
      <c r="A1987">
        <v>22300372</v>
      </c>
      <c r="B1987" t="s">
        <v>18</v>
      </c>
      <c r="C1987" t="s">
        <v>19</v>
      </c>
      <c r="D1987">
        <v>59</v>
      </c>
      <c r="E1987">
        <v>42</v>
      </c>
      <c r="F1987">
        <v>17</v>
      </c>
      <c r="G1987">
        <v>2</v>
      </c>
      <c r="H1987" s="1">
        <v>3.1944444444444446E-3</v>
      </c>
      <c r="I1987">
        <v>2023</v>
      </c>
      <c r="J1987" t="s">
        <v>83</v>
      </c>
      <c r="K1987" s="2" t="str">
        <f>HYPERLINK("https://www.nba.com/stats/events?CFID=&amp;CFPARAMS=&amp;GameEventID=261&amp;GameID=0022300372&amp;Season=2023-24&amp;flag=1&amp;title=Leonard%2013'%20fadeaway%20Jump%20Shot%20(12%20PTS)", "13' fadeaway Jump Shot (12 PTS)")</f>
        <v>13' fadeaway Jump Shot (12 PTS)</v>
      </c>
      <c r="L1987" s="2" t="str">
        <f>HYPERLINK("https://www.nba.com/game/...-vs-...-0022300372/play-by-play?watchFullGame=true", "LAC vs DAL - Q2 04:36.00")</f>
        <v>LAC vs DAL - Q2 04:36.00</v>
      </c>
      <c r="M1987">
        <v>13.82</v>
      </c>
      <c r="N1987">
        <v>92.72</v>
      </c>
      <c r="O1987">
        <v>77.45</v>
      </c>
      <c r="P1987">
        <v>137</v>
      </c>
      <c r="Q1987">
        <v>16</v>
      </c>
      <c r="R1987">
        <v>92</v>
      </c>
      <c r="S1987">
        <v>77</v>
      </c>
    </row>
    <row r="1988" spans="1:19" hidden="1" x14ac:dyDescent="0.25">
      <c r="A1988">
        <v>22000488</v>
      </c>
      <c r="B1988" t="s">
        <v>18</v>
      </c>
      <c r="C1988" t="s">
        <v>19</v>
      </c>
      <c r="D1988">
        <v>29</v>
      </c>
      <c r="E1988">
        <v>20</v>
      </c>
      <c r="F1988">
        <v>9</v>
      </c>
      <c r="G1988">
        <v>1</v>
      </c>
      <c r="H1988" s="1">
        <v>1.25E-3</v>
      </c>
      <c r="I1988">
        <v>2020</v>
      </c>
      <c r="J1988" t="s">
        <v>83</v>
      </c>
      <c r="K1988" s="2" t="str">
        <f>HYPERLINK("https://www.nba.com/stats/events?CFID=&amp;CFPARAMS=&amp;GameEventID=130&amp;GameID=0022000488&amp;Season=2020-21&amp;flag=1&amp;title=Leonard%2013'%20turnaround%20fadeaway%20Jump%20Shot%20(8%20PTS)%20(M.%20Morris%20Sr.%202%20AST)", "13' turnaround fadeaway Jump Shot (8 PTS) (M. Morris Sr. 2 AST)")</f>
        <v>13' turnaround fadeaway Jump Shot (8 PTS) (M. Morris Sr. 2 AST)</v>
      </c>
      <c r="L1988" s="2" t="str">
        <f>HYPERLINK("https://www.nba.com/game/...-vs-...-0022000488/play-by-play?watchFullGame=true", "LAC vs WAS - Q1 01:48.00")</f>
        <v>LAC vs WAS - Q1 01:48.00</v>
      </c>
      <c r="M1988">
        <v>13.65</v>
      </c>
      <c r="N1988">
        <v>92.85</v>
      </c>
      <c r="O1988">
        <v>22.86</v>
      </c>
      <c r="P1988">
        <v>-136</v>
      </c>
      <c r="Q1988">
        <v>15</v>
      </c>
      <c r="R1988">
        <v>92</v>
      </c>
      <c r="S1988">
        <v>22</v>
      </c>
    </row>
    <row r="1989" spans="1:19" hidden="1" x14ac:dyDescent="0.25">
      <c r="A1989">
        <v>22000488</v>
      </c>
      <c r="B1989" t="s">
        <v>18</v>
      </c>
      <c r="C1989" t="s">
        <v>19</v>
      </c>
      <c r="D1989">
        <v>16</v>
      </c>
      <c r="E1989">
        <v>9</v>
      </c>
      <c r="F1989">
        <v>7</v>
      </c>
      <c r="G1989">
        <v>1</v>
      </c>
      <c r="H1989" s="1">
        <v>4.6296296296296294E-3</v>
      </c>
      <c r="I1989">
        <v>2020</v>
      </c>
      <c r="J1989" t="s">
        <v>83</v>
      </c>
      <c r="K1989" s="2" t="str">
        <f>HYPERLINK("https://www.nba.com/stats/events?CFID=&amp;CFPARAMS=&amp;GameEventID=56&amp;GameID=0022000488&amp;Season=2020-21&amp;flag=1&amp;title=Leonard%2013'%20step%20back%20Jump%20Shot%20(4%20PTS)", "13' step back Jump Shot (4 PTS)")</f>
        <v>13' step back Jump Shot (4 PTS)</v>
      </c>
      <c r="L1989" s="2" t="str">
        <f>HYPERLINK("https://www.nba.com/game/...-vs-...-0022000488/play-by-play?watchFullGame=true", "LAC vs WAS - Q1 06:40.00")</f>
        <v>LAC vs WAS - Q1 06:40.00</v>
      </c>
      <c r="M1989">
        <v>13.63</v>
      </c>
      <c r="N1989">
        <v>92.46</v>
      </c>
      <c r="O1989">
        <v>77.03</v>
      </c>
      <c r="P1989">
        <v>135</v>
      </c>
      <c r="Q1989">
        <v>18</v>
      </c>
      <c r="R1989">
        <v>92</v>
      </c>
      <c r="S1989">
        <v>77</v>
      </c>
    </row>
    <row r="1990" spans="1:19" hidden="1" x14ac:dyDescent="0.25">
      <c r="A1990">
        <v>22200480</v>
      </c>
      <c r="B1990" t="s">
        <v>18</v>
      </c>
      <c r="C1990" t="s">
        <v>19</v>
      </c>
      <c r="D1990">
        <v>19</v>
      </c>
      <c r="E1990">
        <v>13</v>
      </c>
      <c r="F1990">
        <v>6</v>
      </c>
      <c r="G1990">
        <v>1</v>
      </c>
      <c r="H1990" s="1">
        <v>4.2361111111111115E-3</v>
      </c>
      <c r="I1990">
        <v>2022</v>
      </c>
      <c r="J1990" t="s">
        <v>83</v>
      </c>
      <c r="K1990" s="2" t="str">
        <f>HYPERLINK("https://www.nba.com/stats/events?CFID=&amp;CFPARAMS=&amp;GameEventID=53&amp;GameID=0022200480&amp;Season=2022-23&amp;flag=1&amp;title=Leonard%2013'%20fadeaway%20Jump%20Shot%20(8%20PTS)%20(R.%20Jackson%201%20AST)", "13' fadeaway Jump Shot (8 PTS) (R. Jackson 1 AST)")</f>
        <v>13' fadeaway Jump Shot (8 PTS) (R. Jackson 1 AST)</v>
      </c>
      <c r="L1990" s="2" t="str">
        <f>HYPERLINK("https://www.nba.com/game/...-vs-...-0022200480/play-by-play?watchFullGame=true", "LAC vs PHI - Q1 06:06.00")</f>
        <v>LAC vs PHI - Q1 06:06.00</v>
      </c>
      <c r="M1990">
        <v>13.08</v>
      </c>
      <c r="N1990">
        <v>92.82</v>
      </c>
      <c r="O1990">
        <v>75.98</v>
      </c>
      <c r="P1990">
        <v>130</v>
      </c>
      <c r="Q1990">
        <v>15</v>
      </c>
      <c r="R1990">
        <v>92</v>
      </c>
      <c r="S1990">
        <v>75</v>
      </c>
    </row>
    <row r="1991" spans="1:19" hidden="1" x14ac:dyDescent="0.25">
      <c r="A1991">
        <v>22201004</v>
      </c>
      <c r="B1991" t="s">
        <v>18</v>
      </c>
      <c r="C1991" t="s">
        <v>19</v>
      </c>
      <c r="D1991">
        <v>45</v>
      </c>
      <c r="E1991">
        <v>42</v>
      </c>
      <c r="F1991">
        <v>3</v>
      </c>
      <c r="G1991">
        <v>2</v>
      </c>
      <c r="H1991" s="1">
        <v>1.238425925925926E-3</v>
      </c>
      <c r="I1991">
        <v>2022</v>
      </c>
      <c r="J1991" t="s">
        <v>83</v>
      </c>
      <c r="K1991" s="2" t="str">
        <f>HYPERLINK("https://www.nba.com/stats/events?CFID=&amp;CFPARAMS=&amp;GameEventID=287&amp;GameID=0022201004&amp;Season=2022-23&amp;flag=1&amp;title=Leonard%2012'%20Jump%20Shot%20(10%20PTS)%20(P.%20George%204%20AST)", "12' Jump Shot (10 PTS) (P. George 4 AST)")</f>
        <v>12' Jump Shot (10 PTS) (P. George 4 AST)</v>
      </c>
      <c r="L1991" s="2" t="str">
        <f>HYPERLINK("https://www.nba.com/game/...-vs-...-0022201004/play-by-play?watchFullGame=true", "LAC vs NYK - Q2 01:47.00")</f>
        <v>LAC vs NYK - Q2 01:47.00</v>
      </c>
      <c r="M1991">
        <v>12.25</v>
      </c>
      <c r="N1991">
        <v>92.56</v>
      </c>
      <c r="O1991">
        <v>74.260000000000005</v>
      </c>
      <c r="P1991">
        <v>121</v>
      </c>
      <c r="Q1991">
        <v>17</v>
      </c>
      <c r="R1991">
        <v>92</v>
      </c>
      <c r="S1991">
        <v>74</v>
      </c>
    </row>
    <row r="1992" spans="1:19" hidden="1" x14ac:dyDescent="0.25">
      <c r="A1992">
        <v>21900626</v>
      </c>
      <c r="B1992" t="s">
        <v>18</v>
      </c>
      <c r="C1992" t="s">
        <v>84</v>
      </c>
      <c r="D1992">
        <v>82</v>
      </c>
      <c r="E1992">
        <v>90</v>
      </c>
      <c r="F1992">
        <v>8</v>
      </c>
      <c r="G1992">
        <v>3</v>
      </c>
      <c r="H1992" s="1">
        <v>5.4050925925925924E-3</v>
      </c>
      <c r="I1992">
        <v>2019</v>
      </c>
      <c r="J1992" t="s">
        <v>83</v>
      </c>
      <c r="K1992" s="2" t="str">
        <f>HYPERLINK("https://www.nba.com/stats/events?CFID=&amp;CFPARAMS=&amp;GameEventID=443&amp;GameID=0021900626&amp;Season=2019-20&amp;flag=1&amp;title=Leonard%2012'%20jumpshot%20(29%20PTS)", "12' jumpshot (29 PTS)")</f>
        <v>12' jumpshot (29 PTS)</v>
      </c>
      <c r="L1992" s="2" t="str">
        <f>HYPERLINK("https://www.nba.com/game/...-vs-...-0021900626/play-by-play?watchFullGame=true", "LAC vs NOP - Q3 07:47.00")</f>
        <v>LAC vs NOP - Q3 07:47.00</v>
      </c>
      <c r="M1992">
        <v>11.54</v>
      </c>
      <c r="N1992">
        <v>92.2</v>
      </c>
      <c r="O1992">
        <v>27.52</v>
      </c>
      <c r="P1992">
        <v>-112</v>
      </c>
      <c r="Q1992">
        <v>21</v>
      </c>
      <c r="R1992">
        <v>92</v>
      </c>
      <c r="S1992">
        <v>27</v>
      </c>
    </row>
    <row r="1993" spans="1:19" hidden="1" x14ac:dyDescent="0.25">
      <c r="A1993">
        <v>22000501</v>
      </c>
      <c r="B1993" t="s">
        <v>18</v>
      </c>
      <c r="C1993" t="s">
        <v>19</v>
      </c>
      <c r="D1993">
        <v>12</v>
      </c>
      <c r="E1993">
        <v>9</v>
      </c>
      <c r="F1993">
        <v>3</v>
      </c>
      <c r="G1993">
        <v>1</v>
      </c>
      <c r="H1993" s="1">
        <v>4.4560185185185189E-3</v>
      </c>
      <c r="I1993">
        <v>2020</v>
      </c>
      <c r="J1993" t="s">
        <v>83</v>
      </c>
      <c r="K1993" s="2" t="str">
        <f>HYPERLINK("https://www.nba.com/stats/events?CFID=&amp;CFPARAMS=&amp;GameEventID=57&amp;GameID=0022000501&amp;Season=2020-21&amp;flag=1&amp;title=Leonard%2011'%20turnaround%20Jump%20Shot%20(4%20PTS)%20(P.%20Beverley%201%20AST)", "11' turnaround Jump Shot (4 PTS) (P. Beverley 1 AST)")</f>
        <v>11' turnaround Jump Shot (4 PTS) (P. Beverley 1 AST)</v>
      </c>
      <c r="L1993" s="2" t="str">
        <f>HYPERLINK("https://www.nba.com/game/...-vs-...-0022000501/play-by-play?watchFullGame=true", "LAC vs MEM - Q1 06:25.00")</f>
        <v>LAC vs MEM - Q1 06:25.00</v>
      </c>
      <c r="M1993">
        <v>11.25</v>
      </c>
      <c r="N1993">
        <v>92.2</v>
      </c>
      <c r="O1993">
        <v>72.13</v>
      </c>
      <c r="P1993">
        <v>111</v>
      </c>
      <c r="Q1993">
        <v>21</v>
      </c>
      <c r="R1993">
        <v>92</v>
      </c>
      <c r="S1993">
        <v>72</v>
      </c>
    </row>
    <row r="1994" spans="1:19" hidden="1" x14ac:dyDescent="0.25">
      <c r="A1994">
        <v>22300658</v>
      </c>
      <c r="B1994" t="s">
        <v>18</v>
      </c>
      <c r="C1994" t="s">
        <v>19</v>
      </c>
      <c r="D1994">
        <v>6</v>
      </c>
      <c r="E1994">
        <v>9</v>
      </c>
      <c r="F1994">
        <v>3</v>
      </c>
      <c r="G1994">
        <v>1</v>
      </c>
      <c r="H1994" s="1">
        <v>5.7407407407407407E-3</v>
      </c>
      <c r="I1994">
        <v>2023</v>
      </c>
      <c r="J1994" t="s">
        <v>83</v>
      </c>
      <c r="K1994" s="2" t="str">
        <f>HYPERLINK("https://www.nba.com/stats/events?CFID=&amp;CFPARAMS=&amp;GameEventID=46&amp;GameID=0022300658&amp;Season=2023-24&amp;flag=1&amp;title=Leonard%2011'%20driving%20floating%20Jump%20Shot%20(4%20PTS)%20(J.%20Harden%202%20AST)", "11' driving floating Jump Shot (4 PTS) (J. Harden 2 AST)")</f>
        <v>11' driving floating Jump Shot (4 PTS) (J. Harden 2 AST)</v>
      </c>
      <c r="L1994" s="2" t="str">
        <f>HYPERLINK("https://www.nba.com/game/...-vs-...-0022300658/play-by-play?watchFullGame=true", "LAC vs CLE - Q1 08:16.00")</f>
        <v>LAC vs CLE - Q1 08:16.00</v>
      </c>
      <c r="M1994">
        <v>11.01</v>
      </c>
      <c r="N1994">
        <v>92.85</v>
      </c>
      <c r="O1994">
        <v>71.81</v>
      </c>
      <c r="P1994">
        <v>109</v>
      </c>
      <c r="Q1994">
        <v>15</v>
      </c>
      <c r="R1994">
        <v>92</v>
      </c>
      <c r="S1994">
        <v>71</v>
      </c>
    </row>
    <row r="1995" spans="1:19" hidden="1" x14ac:dyDescent="0.25">
      <c r="A1995">
        <v>22000308</v>
      </c>
      <c r="B1995" t="s">
        <v>18</v>
      </c>
      <c r="C1995" t="s">
        <v>19</v>
      </c>
      <c r="D1995">
        <v>116</v>
      </c>
      <c r="E1995">
        <v>107</v>
      </c>
      <c r="F1995">
        <v>9</v>
      </c>
      <c r="G1995">
        <v>4</v>
      </c>
      <c r="H1995" s="1">
        <v>2.8009259259259259E-3</v>
      </c>
      <c r="I1995">
        <v>2020</v>
      </c>
      <c r="J1995" t="s">
        <v>83</v>
      </c>
      <c r="K1995" s="2" t="str">
        <f>HYPERLINK("https://www.nba.com/stats/events?CFID=&amp;CFPARAMS=&amp;GameEventID=544&amp;GameID=0022000308&amp;Season=2020-21&amp;flag=1&amp;title=Leonard%2010'%20pullup%20Jump%20Shot%20(26%20PTS)", "10' pullup Jump Shot (26 PTS)")</f>
        <v>10' pullup Jump Shot (26 PTS)</v>
      </c>
      <c r="L1995" s="2" t="str">
        <f>HYPERLINK("https://www.nba.com/game/...-vs-...-0022000308/play-by-play?watchFullGame=true", "LAC vs NYK - Q4 04:02.00")</f>
        <v>LAC vs NYK - Q4 04:02.00</v>
      </c>
      <c r="M1995">
        <v>10.89</v>
      </c>
      <c r="N1995">
        <v>92.59</v>
      </c>
      <c r="O1995">
        <v>28.5</v>
      </c>
      <c r="P1995">
        <v>-107</v>
      </c>
      <c r="Q1995">
        <v>17</v>
      </c>
      <c r="R1995">
        <v>92</v>
      </c>
      <c r="S1995">
        <v>28</v>
      </c>
    </row>
    <row r="1996" spans="1:19" hidden="1" x14ac:dyDescent="0.25">
      <c r="A1996">
        <v>22300014</v>
      </c>
      <c r="B1996" t="s">
        <v>18</v>
      </c>
      <c r="C1996" t="s">
        <v>19</v>
      </c>
      <c r="D1996">
        <v>7</v>
      </c>
      <c r="E1996">
        <v>0</v>
      </c>
      <c r="F1996">
        <v>7</v>
      </c>
      <c r="G1996">
        <v>1</v>
      </c>
      <c r="H1996" s="1">
        <v>7.1990740740740739E-3</v>
      </c>
      <c r="I1996">
        <v>2023</v>
      </c>
      <c r="J1996" t="s">
        <v>83</v>
      </c>
      <c r="K1996" s="2" t="str">
        <f>HYPERLINK("https://www.nba.com/stats/events?CFID=&amp;CFPARAMS=&amp;GameEventID=21&amp;GameID=0022300014&amp;Season=2023-24&amp;flag=1&amp;title=Leonard%209'%20driving%20floating%20Jump%20Shot%20(4%20PTS)", "9' driving floating Jump Shot (4 PTS)")</f>
        <v>9' driving floating Jump Shot (4 PTS)</v>
      </c>
      <c r="L1996" s="2" t="str">
        <f>HYPERLINK("https://www.nba.com/game/...-vs-...-0022300014/play-by-play?watchFullGame=true", "LAC vs DAL - Q1 10:22.00")</f>
        <v>LAC vs DAL - Q1 10:22.00</v>
      </c>
      <c r="M1996">
        <v>9.35</v>
      </c>
      <c r="N1996">
        <v>92.59</v>
      </c>
      <c r="O1996">
        <v>31.62</v>
      </c>
      <c r="P1996">
        <v>-92</v>
      </c>
      <c r="Q1996">
        <v>17</v>
      </c>
      <c r="R1996">
        <v>92</v>
      </c>
      <c r="S1996">
        <v>31</v>
      </c>
    </row>
    <row r="1997" spans="1:19" hidden="1" x14ac:dyDescent="0.25">
      <c r="A1997">
        <v>22000289</v>
      </c>
      <c r="B1997" t="s">
        <v>18</v>
      </c>
      <c r="C1997" t="s">
        <v>19</v>
      </c>
      <c r="D1997">
        <v>52</v>
      </c>
      <c r="E1997">
        <v>45</v>
      </c>
      <c r="F1997">
        <v>7</v>
      </c>
      <c r="G1997">
        <v>2</v>
      </c>
      <c r="H1997" s="1">
        <v>2.0370370370370369E-3</v>
      </c>
      <c r="I1997">
        <v>2020</v>
      </c>
      <c r="J1997" t="s">
        <v>83</v>
      </c>
      <c r="K1997" s="2" t="str">
        <f>HYPERLINK("https://www.nba.com/stats/events?CFID=&amp;CFPARAMS=&amp;GameEventID=275&amp;GameID=0022000289&amp;Season=2020-21&amp;flag=1&amp;title=Leonard%209'%20turnaround%20fadeaway%20Jump%20Shot%20(13%20PTS)", "9' turnaround fadeaway Jump Shot (13 PTS)")</f>
        <v>9' turnaround fadeaway Jump Shot (13 PTS)</v>
      </c>
      <c r="L1997" s="2" t="str">
        <f>HYPERLINK("https://www.nba.com/game/...-vs-...-0022000289/play-by-play?watchFullGame=true", "LAC vs ORL - Q2 02:56.00")</f>
        <v>LAC vs ORL - Q2 02:56.00</v>
      </c>
      <c r="M1997">
        <v>9.33</v>
      </c>
      <c r="N1997">
        <v>92.99</v>
      </c>
      <c r="O1997">
        <v>68.45</v>
      </c>
      <c r="P1997">
        <v>92</v>
      </c>
      <c r="Q1997">
        <v>13</v>
      </c>
      <c r="R1997">
        <v>92</v>
      </c>
      <c r="S1997">
        <v>68</v>
      </c>
    </row>
    <row r="1998" spans="1:19" hidden="1" x14ac:dyDescent="0.25">
      <c r="A1998">
        <v>22300537</v>
      </c>
      <c r="B1998" t="s">
        <v>18</v>
      </c>
      <c r="C1998" t="s">
        <v>19</v>
      </c>
      <c r="D1998">
        <v>91</v>
      </c>
      <c r="E1998">
        <v>68</v>
      </c>
      <c r="F1998">
        <v>23</v>
      </c>
      <c r="G1998">
        <v>3</v>
      </c>
      <c r="H1998" s="1">
        <v>2.7777777777777779E-3</v>
      </c>
      <c r="I1998">
        <v>2023</v>
      </c>
      <c r="J1998" t="s">
        <v>83</v>
      </c>
      <c r="K1998" s="2" t="str">
        <f>HYPERLINK("https://www.nba.com/stats/events?CFID=&amp;CFPARAMS=&amp;GameEventID=412&amp;GameID=0022300537&amp;Season=2023-24&amp;flag=1&amp;title=Leonard%208'%20driving%20floating%20Jump%20Shot%20(22%20PTS)", "8' driving floating Jump Shot (22 PTS)")</f>
        <v>8' driving floating Jump Shot (22 PTS)</v>
      </c>
      <c r="L1998" s="2" t="str">
        <f>HYPERLINK("https://www.nba.com/game/...-vs-...-0022300537/play-by-play?watchFullGame=true", "LAC vs MEM - Q3 04:00.00")</f>
        <v>LAC vs MEM - Q3 04:00.00</v>
      </c>
      <c r="M1998">
        <v>8.4600000000000009</v>
      </c>
      <c r="N1998">
        <v>92.85</v>
      </c>
      <c r="O1998">
        <v>66.67</v>
      </c>
      <c r="P1998">
        <v>83</v>
      </c>
      <c r="Q1998">
        <v>15</v>
      </c>
      <c r="R1998">
        <v>92</v>
      </c>
      <c r="S1998">
        <v>66</v>
      </c>
    </row>
    <row r="1999" spans="1:19" hidden="1" x14ac:dyDescent="0.25">
      <c r="A1999">
        <v>22300264</v>
      </c>
      <c r="B1999" t="s">
        <v>18</v>
      </c>
      <c r="C1999" t="s">
        <v>88</v>
      </c>
      <c r="D1999">
        <v>79</v>
      </c>
      <c r="E1999">
        <v>56</v>
      </c>
      <c r="F1999">
        <v>23</v>
      </c>
      <c r="G1999">
        <v>3</v>
      </c>
      <c r="H1999" s="1">
        <v>6.5509259259259262E-3</v>
      </c>
      <c r="I1999">
        <v>2023</v>
      </c>
      <c r="J1999" t="s">
        <v>83</v>
      </c>
      <c r="K1999" s="2" t="str">
        <f>HYPERLINK("https://www.nba.com/stats/events?CFID=&amp;CFPARAMS=&amp;GameEventID=381&amp;GameID=0022300264&amp;Season=2023-24&amp;flag=1&amp;title=Leonard%20alley-oop%20DUNK%20(18%20PTS)%20(J.%20Harden%203%20AST)", "Alley-oop DUNK (18 PTS) (J. Harden 3 AST)")</f>
        <v>Alley-oop DUNK (18 PTS) (J. Harden 3 AST)</v>
      </c>
      <c r="L1999" s="2" t="str">
        <f>HYPERLINK("https://www.nba.com/game/...-vs-...-0022300264/play-by-play?watchFullGame=true", "LAC vs SAC - Q3 09:26.00")</f>
        <v>LAC vs SAC - Q3 09:26.00</v>
      </c>
      <c r="M1999">
        <v>2.33</v>
      </c>
      <c r="N1999">
        <v>92.59</v>
      </c>
      <c r="O1999">
        <v>46.81</v>
      </c>
      <c r="P1999">
        <v>-16</v>
      </c>
      <c r="Q1999">
        <v>17</v>
      </c>
      <c r="R1999">
        <v>92</v>
      </c>
      <c r="S1999">
        <v>46</v>
      </c>
    </row>
    <row r="2000" spans="1:19" hidden="1" x14ac:dyDescent="0.25">
      <c r="A2000">
        <v>22000308</v>
      </c>
      <c r="B2000" t="s">
        <v>18</v>
      </c>
      <c r="C2000" t="s">
        <v>19</v>
      </c>
      <c r="D2000">
        <v>79</v>
      </c>
      <c r="E2000">
        <v>72</v>
      </c>
      <c r="F2000">
        <v>7</v>
      </c>
      <c r="G2000">
        <v>3</v>
      </c>
      <c r="H2000" s="1">
        <v>5.4745370370370373E-3</v>
      </c>
      <c r="I2000">
        <v>2020</v>
      </c>
      <c r="J2000" t="s">
        <v>83</v>
      </c>
      <c r="K2000" s="2" t="str">
        <f>HYPERLINK("https://www.nba.com/stats/events?CFID=&amp;CFPARAMS=&amp;GameEventID=351&amp;GameID=0022000308&amp;Season=2020-21&amp;flag=1&amp;title=Leonard%208'%20turnaround%20fadeaway%20Jump%20Shot%20(16%20PTS)", "8' turnaround fadeaway Jump Shot (16 PTS)")</f>
        <v>8' turnaround fadeaway Jump Shot (16 PTS)</v>
      </c>
      <c r="L2000" s="2" t="str">
        <f>HYPERLINK("https://www.nba.com/game/...-vs-...-0022000308/play-by-play?watchFullGame=true", "LAC vs NYK - Q3 07:53.00")</f>
        <v>LAC vs NYK - Q3 07:53.00</v>
      </c>
      <c r="M2000">
        <v>8.17</v>
      </c>
      <c r="N2000">
        <v>92.33</v>
      </c>
      <c r="O2000">
        <v>34.14</v>
      </c>
      <c r="P2000">
        <v>-79</v>
      </c>
      <c r="Q2000">
        <v>20</v>
      </c>
      <c r="R2000">
        <v>92</v>
      </c>
      <c r="S2000">
        <v>34</v>
      </c>
    </row>
    <row r="2001" spans="1:19" hidden="1" x14ac:dyDescent="0.25">
      <c r="A2001">
        <v>22000251</v>
      </c>
      <c r="B2001" t="s">
        <v>18</v>
      </c>
      <c r="C2001" t="s">
        <v>19</v>
      </c>
      <c r="D2001">
        <v>50</v>
      </c>
      <c r="E2001">
        <v>37</v>
      </c>
      <c r="F2001">
        <v>13</v>
      </c>
      <c r="G2001">
        <v>2</v>
      </c>
      <c r="H2001" s="1">
        <v>1.7708333333333332E-3</v>
      </c>
      <c r="I2001">
        <v>2020</v>
      </c>
      <c r="J2001" t="s">
        <v>83</v>
      </c>
      <c r="K2001" s="2" t="str">
        <f>HYPERLINK("https://www.nba.com/stats/events?CFID=&amp;CFPARAMS=&amp;GameEventID=279&amp;GameID=0022000251&amp;Season=2020-21&amp;flag=1&amp;title=Leonard%207'%20turnaround%20fadeaway%20Jump%20Shot%20(18%20PTS)", "7' turnaround fadeaway Jump Shot (18 PTS)")</f>
        <v>7' turnaround fadeaway Jump Shot (18 PTS)</v>
      </c>
      <c r="L2001" s="2" t="str">
        <f>HYPERLINK("https://www.nba.com/game/...-vs-...-0022000251/play-by-play?watchFullGame=true", "LAC vs OKC - Q2 02:33.00")</f>
        <v>LAC vs OKC - Q2 02:33.00</v>
      </c>
      <c r="M2001">
        <v>7.38</v>
      </c>
      <c r="N2001">
        <v>92.99</v>
      </c>
      <c r="O2001">
        <v>64.53</v>
      </c>
      <c r="P2001">
        <v>73</v>
      </c>
      <c r="Q2001">
        <v>13</v>
      </c>
      <c r="R2001">
        <v>92</v>
      </c>
      <c r="S2001">
        <v>64</v>
      </c>
    </row>
    <row r="2002" spans="1:19" hidden="1" x14ac:dyDescent="0.25">
      <c r="A2002">
        <v>22000350</v>
      </c>
      <c r="B2002" t="s">
        <v>18</v>
      </c>
      <c r="C2002" t="s">
        <v>19</v>
      </c>
      <c r="D2002">
        <v>108</v>
      </c>
      <c r="E2002">
        <v>106</v>
      </c>
      <c r="F2002">
        <v>2</v>
      </c>
      <c r="G2002">
        <v>4</v>
      </c>
      <c r="H2002" s="1">
        <v>1.9212962962962964E-3</v>
      </c>
      <c r="I2002">
        <v>2020</v>
      </c>
      <c r="J2002" t="s">
        <v>83</v>
      </c>
      <c r="K2002" s="2" t="str">
        <f>HYPERLINK("https://www.nba.com/stats/events?CFID=&amp;CFPARAMS=&amp;GameEventID=572&amp;GameID=0022000350&amp;Season=2020-21&amp;flag=1&amp;title=Leonard%206'%20turnaround%20Jump%20Shot%20(28%20PTS)", "6' turnaround Jump Shot (28 PTS)")</f>
        <v>6' turnaround Jump Shot (28 PTS)</v>
      </c>
      <c r="L2002" s="2" t="str">
        <f>HYPERLINK("https://www.nba.com/game/...-vs-...-0022000350/play-by-play?watchFullGame=true", "LAC vs BOS - Q4 02:46.00")</f>
        <v>LAC vs BOS - Q4 02:46.00</v>
      </c>
      <c r="M2002">
        <v>6.95</v>
      </c>
      <c r="N2002">
        <v>92.72</v>
      </c>
      <c r="O2002">
        <v>63.55</v>
      </c>
      <c r="P2002">
        <v>68</v>
      </c>
      <c r="Q2002">
        <v>16</v>
      </c>
      <c r="R2002">
        <v>92</v>
      </c>
      <c r="S2002">
        <v>63</v>
      </c>
    </row>
    <row r="2003" spans="1:19" hidden="1" x14ac:dyDescent="0.25">
      <c r="A2003">
        <v>22200480</v>
      </c>
      <c r="B2003" t="s">
        <v>18</v>
      </c>
      <c r="C2003" t="s">
        <v>19</v>
      </c>
      <c r="D2003">
        <v>53</v>
      </c>
      <c r="E2003">
        <v>36</v>
      </c>
      <c r="F2003">
        <v>17</v>
      </c>
      <c r="G2003">
        <v>2</v>
      </c>
      <c r="H2003" s="1">
        <v>3.9120370370370368E-3</v>
      </c>
      <c r="I2003">
        <v>2022</v>
      </c>
      <c r="J2003" t="s">
        <v>83</v>
      </c>
      <c r="K2003" s="2" t="str">
        <f>HYPERLINK("https://www.nba.com/stats/events?CFID=&amp;CFPARAMS=&amp;GameEventID=212&amp;GameID=0022200480&amp;Season=2022-23&amp;flag=1&amp;title=Leonard%20pullup%20Jump%20Shot%20(10%20PTS)", "Pullup Jump Shot (10 PTS)")</f>
        <v>Pullup Jump Shot (10 PTS)</v>
      </c>
      <c r="L2003" s="2" t="str">
        <f>HYPERLINK("https://www.nba.com/game/...-vs-...-0022200480/play-by-play?watchFullGame=true", "LAC vs PHI - Q2 05:38.00")</f>
        <v>LAC vs PHI - Q2 05:38.00</v>
      </c>
      <c r="M2003">
        <v>5.66</v>
      </c>
      <c r="N2003">
        <v>92.56</v>
      </c>
      <c r="O2003">
        <v>39.22</v>
      </c>
      <c r="P2003">
        <v>-54</v>
      </c>
      <c r="Q2003">
        <v>17</v>
      </c>
      <c r="R2003">
        <v>92</v>
      </c>
      <c r="S2003">
        <v>39</v>
      </c>
    </row>
    <row r="2004" spans="1:19" hidden="1" x14ac:dyDescent="0.25">
      <c r="A2004">
        <v>22301215</v>
      </c>
      <c r="B2004" t="s">
        <v>18</v>
      </c>
      <c r="C2004" t="s">
        <v>19</v>
      </c>
      <c r="D2004">
        <v>8</v>
      </c>
      <c r="E2004">
        <v>19</v>
      </c>
      <c r="F2004">
        <v>11</v>
      </c>
      <c r="G2004">
        <v>1</v>
      </c>
      <c r="H2004" s="1">
        <v>4.9074074074074072E-3</v>
      </c>
      <c r="I2004">
        <v>2023</v>
      </c>
      <c r="J2004" t="s">
        <v>83</v>
      </c>
      <c r="K2004" s="2" t="str">
        <f>HYPERLINK("https://www.nba.com/stats/events?CFID=&amp;CFPARAMS=&amp;GameEventID=41&amp;GameID=0022301215&amp;Season=2023-24&amp;flag=1&amp;title=Leonard%20pullup%20Jump%20Shot%20(2%20PTS)%20(J.%20Harden%202%20AST)", "Pullup Jump Shot (2 PTS) (J. Harden 2 AST)")</f>
        <v>Pullup Jump Shot (2 PTS) (J. Harden 2 AST)</v>
      </c>
      <c r="L2004" s="2" t="str">
        <f>HYPERLINK("https://www.nba.com/game/...-vs-...-0022301215/play-by-play?watchFullGame=true", "LAC vs DEN - Q1 07:04.00")</f>
        <v>LAC vs DEN - Q1 07:04.00</v>
      </c>
      <c r="M2004">
        <v>5.07</v>
      </c>
      <c r="N2004">
        <v>92.3</v>
      </c>
      <c r="O2004">
        <v>59.31</v>
      </c>
      <c r="P2004">
        <v>47</v>
      </c>
      <c r="Q2004">
        <v>20</v>
      </c>
      <c r="R2004">
        <v>92</v>
      </c>
      <c r="S2004">
        <v>59</v>
      </c>
    </row>
    <row r="2005" spans="1:19" hidden="1" x14ac:dyDescent="0.25">
      <c r="A2005">
        <v>22000061</v>
      </c>
      <c r="B2005" t="s">
        <v>18</v>
      </c>
      <c r="C2005" t="s">
        <v>89</v>
      </c>
      <c r="D2005">
        <v>84</v>
      </c>
      <c r="E2005">
        <v>57</v>
      </c>
      <c r="F2005">
        <v>27</v>
      </c>
      <c r="G2005">
        <v>3</v>
      </c>
      <c r="H2005" s="1">
        <v>6.7592592592592591E-3</v>
      </c>
      <c r="I2005">
        <v>2020</v>
      </c>
      <c r="J2005" t="s">
        <v>83</v>
      </c>
      <c r="K2005" s="2" t="str">
        <f>HYPERLINK("https://www.nba.com/stats/events?CFID=&amp;CFPARAMS=&amp;GameEventID=335&amp;GameID=0022000061&amp;Season=2020-21&amp;flag=1&amp;title=Leonard%20driving%20Hook%20(18%20PTS)", "Driving Hook (18 PTS)")</f>
        <v>Driving Hook (18 PTS)</v>
      </c>
      <c r="L2005" s="2" t="str">
        <f>HYPERLINK("https://www.nba.com/game/...-vs-...-0022000061/play-by-play?watchFullGame=true", "LAC vs POR - Q3 09:44.00")</f>
        <v>LAC vs POR - Q3 09:44.00</v>
      </c>
      <c r="M2005">
        <v>4.5599999999999996</v>
      </c>
      <c r="N2005">
        <v>92.85</v>
      </c>
      <c r="O2005">
        <v>58.65</v>
      </c>
      <c r="P2005">
        <v>43</v>
      </c>
      <c r="Q2005">
        <v>15</v>
      </c>
      <c r="R2005">
        <v>92</v>
      </c>
      <c r="S2005">
        <v>58</v>
      </c>
    </row>
    <row r="2006" spans="1:19" hidden="1" x14ac:dyDescent="0.25">
      <c r="A2006">
        <v>42000223</v>
      </c>
      <c r="B2006" t="s">
        <v>18</v>
      </c>
      <c r="C2006" t="s">
        <v>87</v>
      </c>
      <c r="D2006">
        <v>77</v>
      </c>
      <c r="E2006">
        <v>61</v>
      </c>
      <c r="F2006">
        <v>16</v>
      </c>
      <c r="G2006">
        <v>3</v>
      </c>
      <c r="H2006" s="1">
        <v>5.0231481481481481E-3</v>
      </c>
      <c r="I2006" t="s">
        <v>94</v>
      </c>
      <c r="J2006" t="s">
        <v>83</v>
      </c>
      <c r="K2006" s="2" t="str">
        <f>HYPERLINK("https://www.nba.com/stats/events?CFID=&amp;CFPARAMS=&amp;GameEventID=345&amp;GameID=0042000223&amp;Season=2020-21&amp;flag=1&amp;title=Leonard%20driving%20reverse%20Layup%20(18%20PTS)", "Driving reverse Layup (18 PTS)")</f>
        <v>Driving reverse Layup (18 PTS)</v>
      </c>
      <c r="L2006" s="2" t="str">
        <f>HYPERLINK("https://www.nba.com/game/...-vs-...-0042000223/play-by-play?watchFullGame=true", "LAC vs UTA - Q3 07:14.00")</f>
        <v>LAC vs UTA - Q3 07:14.00</v>
      </c>
      <c r="M2006">
        <v>4.53</v>
      </c>
      <c r="N2006">
        <v>92.95</v>
      </c>
      <c r="O2006">
        <v>41.35</v>
      </c>
      <c r="P2006">
        <v>92</v>
      </c>
      <c r="Q2006">
        <v>41</v>
      </c>
      <c r="R2006">
        <v>92</v>
      </c>
      <c r="S2006">
        <v>41</v>
      </c>
    </row>
    <row r="2007" spans="1:19" hidden="1" x14ac:dyDescent="0.25">
      <c r="A2007">
        <v>41900235</v>
      </c>
      <c r="B2007" t="s">
        <v>18</v>
      </c>
      <c r="C2007" t="s">
        <v>90</v>
      </c>
      <c r="D2007">
        <v>27</v>
      </c>
      <c r="E2007">
        <v>23</v>
      </c>
      <c r="F2007">
        <v>4</v>
      </c>
      <c r="G2007">
        <v>1</v>
      </c>
      <c r="H2007" s="1">
        <v>2.9861111111111109E-4</v>
      </c>
      <c r="I2007" t="s">
        <v>85</v>
      </c>
      <c r="J2007" t="s">
        <v>83</v>
      </c>
      <c r="K2007" s="2" t="str">
        <f>HYPERLINK("https://www.nba.com/stats/events?CFID=&amp;CFPARAMS=&amp;GameEventID=143&amp;GameID=0041900235&amp;Season=2019-20&amp;flag=1&amp;title=Leonard%20layup%20(11%20PTS)", "Layup (11 PTS)")</f>
        <v>Layup (11 PTS)</v>
      </c>
      <c r="L2007" s="2" t="str">
        <f>HYPERLINK("https://www.nba.com/game/...-vs-...-0041900235/play-by-play?watchFullGame=true", "LAC vs DEN - Q1 00:25.80")</f>
        <v>LAC vs DEN - Q1 00:25.80</v>
      </c>
      <c r="M2007">
        <v>4.34</v>
      </c>
      <c r="N2007">
        <v>92.59</v>
      </c>
      <c r="O2007">
        <v>57.42</v>
      </c>
      <c r="P2007">
        <v>37</v>
      </c>
      <c r="Q2007">
        <v>17</v>
      </c>
      <c r="R2007">
        <v>92</v>
      </c>
      <c r="S2007">
        <v>57</v>
      </c>
    </row>
    <row r="2008" spans="1:19" hidden="1" x14ac:dyDescent="0.25">
      <c r="A2008">
        <v>42000223</v>
      </c>
      <c r="B2008" t="s">
        <v>18</v>
      </c>
      <c r="C2008" t="s">
        <v>19</v>
      </c>
      <c r="D2008">
        <v>66</v>
      </c>
      <c r="E2008">
        <v>49</v>
      </c>
      <c r="F2008">
        <v>17</v>
      </c>
      <c r="G2008">
        <v>3</v>
      </c>
      <c r="H2008" s="1">
        <v>7.6157407407407406E-3</v>
      </c>
      <c r="I2008" t="s">
        <v>94</v>
      </c>
      <c r="J2008" t="s">
        <v>83</v>
      </c>
      <c r="K2008" s="2" t="str">
        <f>HYPERLINK("https://www.nba.com/stats/events?CFID=&amp;CFPARAMS=&amp;GameEventID=296&amp;GameID=0042000223&amp;Season=2020-21&amp;flag=1&amp;title=Leonard%20turnaround%20Jump%20Shot%20(12%20PTS)", "Turnaround Jump Shot (12 PTS)")</f>
        <v>Turnaround Jump Shot (12 PTS)</v>
      </c>
      <c r="L2008" s="2" t="str">
        <f>HYPERLINK("https://www.nba.com/game/...-vs-...-0042000223/play-by-play?watchFullGame=true", "LAC vs UTA - Q3 10:58.00")</f>
        <v>LAC vs UTA - Q3 10:58.00</v>
      </c>
      <c r="M2008">
        <v>4.0999999999999996</v>
      </c>
      <c r="N2008">
        <v>92.56</v>
      </c>
      <c r="O2008">
        <v>42.58</v>
      </c>
      <c r="P2008">
        <v>92</v>
      </c>
      <c r="Q2008">
        <v>42</v>
      </c>
      <c r="R2008">
        <v>92</v>
      </c>
      <c r="S2008">
        <v>42</v>
      </c>
    </row>
    <row r="2009" spans="1:19" hidden="1" x14ac:dyDescent="0.25">
      <c r="A2009">
        <v>21901291</v>
      </c>
      <c r="B2009" t="s">
        <v>18</v>
      </c>
      <c r="C2009" t="s">
        <v>90</v>
      </c>
      <c r="D2009">
        <v>19</v>
      </c>
      <c r="E2009">
        <v>26</v>
      </c>
      <c r="F2009">
        <v>7</v>
      </c>
      <c r="G2009">
        <v>1</v>
      </c>
      <c r="H2009" s="1">
        <v>2.662037037037037E-3</v>
      </c>
      <c r="I2009">
        <v>2019</v>
      </c>
      <c r="J2009" t="s">
        <v>83</v>
      </c>
      <c r="K2009" s="2" t="str">
        <f>HYPERLINK("https://www.nba.com/stats/events?CFID=&amp;CFPARAMS=&amp;GameEventID=89&amp;GameID=0021901291&amp;Season=2019-20&amp;flag=1&amp;title=Leonard%20layup%20(8%20PTS)", "Layup (8 PTS)")</f>
        <v>Layup (8 PTS)</v>
      </c>
      <c r="L2009" s="2" t="str">
        <f>HYPERLINK("https://www.nba.com/game/...-vs-...-0021901291/play-by-play?watchFullGame=true", "LAC vs BKN - Q1 03:50.00")</f>
        <v>LAC vs BKN - Q1 03:50.00</v>
      </c>
      <c r="M2009">
        <v>4.01</v>
      </c>
      <c r="N2009">
        <v>92.07</v>
      </c>
      <c r="O2009">
        <v>44.19</v>
      </c>
      <c r="P2009">
        <v>-29</v>
      </c>
      <c r="Q2009">
        <v>22</v>
      </c>
      <c r="R2009">
        <v>92</v>
      </c>
      <c r="S2009">
        <v>44</v>
      </c>
    </row>
    <row r="2010" spans="1:19" hidden="1" x14ac:dyDescent="0.25">
      <c r="A2010">
        <v>41900153</v>
      </c>
      <c r="B2010" t="s">
        <v>18</v>
      </c>
      <c r="C2010" t="s">
        <v>90</v>
      </c>
      <c r="D2010">
        <v>98</v>
      </c>
      <c r="E2010">
        <v>82</v>
      </c>
      <c r="F2010">
        <v>16</v>
      </c>
      <c r="G2010">
        <v>3</v>
      </c>
      <c r="H2010" s="1">
        <v>5.2546296296296293E-4</v>
      </c>
      <c r="I2010" t="s">
        <v>86</v>
      </c>
      <c r="J2010" t="s">
        <v>83</v>
      </c>
      <c r="K2010" s="2" t="str">
        <f>HYPERLINK("https://www.nba.com/stats/events?CFID=&amp;CFPARAMS=&amp;GameEventID=478&amp;GameID=0041900153&amp;Season=2019-20&amp;flag=1&amp;title=Leonard%20layup%20(27%20PTS)", "Layup (27 PTS)")</f>
        <v>Layup (27 PTS)</v>
      </c>
      <c r="L2010" s="2" t="str">
        <f>HYPERLINK("https://www.nba.com/game/...-vs-...-0041900153/play-by-play?watchFullGame=true", "LAC vs DAL - Q3 00:45.40")</f>
        <v>LAC vs DAL - Q3 00:45.40</v>
      </c>
      <c r="M2010">
        <v>3.8</v>
      </c>
      <c r="N2010">
        <v>92.07</v>
      </c>
      <c r="O2010">
        <v>55.22</v>
      </c>
      <c r="P2010">
        <v>26</v>
      </c>
      <c r="Q2010">
        <v>22</v>
      </c>
      <c r="R2010">
        <v>92</v>
      </c>
      <c r="S2010">
        <v>55</v>
      </c>
    </row>
    <row r="2011" spans="1:19" hidden="1" x14ac:dyDescent="0.25">
      <c r="A2011">
        <v>21900589</v>
      </c>
      <c r="B2011" t="s">
        <v>18</v>
      </c>
      <c r="C2011" t="s">
        <v>90</v>
      </c>
      <c r="D2011">
        <v>104</v>
      </c>
      <c r="E2011">
        <v>112</v>
      </c>
      <c r="F2011">
        <v>8</v>
      </c>
      <c r="G2011">
        <v>4</v>
      </c>
      <c r="H2011" s="1">
        <v>3.3217592592592592E-4</v>
      </c>
      <c r="I2011">
        <v>2019</v>
      </c>
      <c r="J2011" t="s">
        <v>83</v>
      </c>
      <c r="K2011" s="2" t="str">
        <f>HYPERLINK("https://www.nba.com/stats/events?CFID=&amp;CFPARAMS=&amp;GameEventID=686&amp;GameID=0021900589&amp;Season=2019-20&amp;flag=1&amp;title=Leonard%20layup%20(30%20PTS)", "Layup (30 PTS)")</f>
        <v>Layup (30 PTS)</v>
      </c>
      <c r="L2011" s="2" t="str">
        <f>HYPERLINK("https://www.nba.com/game/...-vs-...-0021900589/play-by-play?watchFullGame=true", "LAC vs DEN - Q4 00:28.70")</f>
        <v>LAC vs DEN - Q4 00:28.70</v>
      </c>
      <c r="M2011">
        <v>3.54</v>
      </c>
      <c r="N2011">
        <v>92.59</v>
      </c>
      <c r="O2011">
        <v>55.46</v>
      </c>
      <c r="P2011">
        <v>27</v>
      </c>
      <c r="Q2011">
        <v>17</v>
      </c>
      <c r="R2011">
        <v>92</v>
      </c>
      <c r="S2011">
        <v>55</v>
      </c>
    </row>
    <row r="2012" spans="1:19" hidden="1" x14ac:dyDescent="0.25">
      <c r="A2012">
        <v>42000221</v>
      </c>
      <c r="B2012" t="s">
        <v>18</v>
      </c>
      <c r="C2012" t="s">
        <v>87</v>
      </c>
      <c r="D2012">
        <v>100</v>
      </c>
      <c r="E2012">
        <v>105</v>
      </c>
      <c r="F2012">
        <v>5</v>
      </c>
      <c r="G2012">
        <v>4</v>
      </c>
      <c r="H2012" s="1">
        <v>2.7777777777777779E-3</v>
      </c>
      <c r="I2012" t="s">
        <v>94</v>
      </c>
      <c r="J2012" t="s">
        <v>83</v>
      </c>
      <c r="K2012" s="2" t="str">
        <f>HYPERLINK("https://www.nba.com/stats/events?CFID=&amp;CFPARAMS=&amp;GameEventID=644&amp;GameID=0042000221&amp;Season=2020-21&amp;flag=1&amp;title=Leonard%20Layup%20(21%20PTS)", "Layup (21 PTS)")</f>
        <v>Layup (21 PTS)</v>
      </c>
      <c r="L2012" s="2" t="str">
        <f>HYPERLINK("https://www.nba.com/game/...-vs-...-0042000221/play-by-play?watchFullGame=true", "LAC vs UTA - Q4 04:00.00")</f>
        <v>LAC vs UTA - Q4 04:00.00</v>
      </c>
      <c r="M2012">
        <v>3.33</v>
      </c>
      <c r="N2012">
        <v>92.46</v>
      </c>
      <c r="O2012">
        <v>44.43</v>
      </c>
      <c r="P2012">
        <v>92</v>
      </c>
      <c r="Q2012">
        <v>44</v>
      </c>
      <c r="R2012">
        <v>92</v>
      </c>
      <c r="S2012">
        <v>44</v>
      </c>
    </row>
    <row r="2013" spans="1:19" hidden="1" x14ac:dyDescent="0.25">
      <c r="A2013">
        <v>21901291</v>
      </c>
      <c r="B2013" t="s">
        <v>18</v>
      </c>
      <c r="C2013" t="s">
        <v>84</v>
      </c>
      <c r="D2013">
        <v>51</v>
      </c>
      <c r="E2013">
        <v>67</v>
      </c>
      <c r="F2013">
        <v>16</v>
      </c>
      <c r="G2013">
        <v>2</v>
      </c>
      <c r="H2013" s="1">
        <v>1.8749999999999999E-3</v>
      </c>
      <c r="I2013">
        <v>2019</v>
      </c>
      <c r="J2013" t="s">
        <v>83</v>
      </c>
      <c r="K2013" s="2" t="str">
        <f>HYPERLINK("https://www.nba.com/stats/events?CFID=&amp;CFPARAMS=&amp;GameEventID=274&amp;GameID=0021901291&amp;Season=2019-20&amp;flag=1&amp;title=Leonard%20jumpshot%20(12%20PTS)", "Jumpshot (12 PTS)")</f>
        <v>Jumpshot (12 PTS)</v>
      </c>
      <c r="L2013" s="2" t="str">
        <f>HYPERLINK("https://www.nba.com/game/...-vs-...-0021901291/play-by-play?watchFullGame=true", "LAC vs BKN - Q2 02:42.00")</f>
        <v>LAC vs BKN - Q2 02:42.00</v>
      </c>
      <c r="M2013">
        <v>3.19</v>
      </c>
      <c r="N2013">
        <v>92.2</v>
      </c>
      <c r="O2013">
        <v>46.39</v>
      </c>
      <c r="P2013">
        <v>-18</v>
      </c>
      <c r="Q2013">
        <v>21</v>
      </c>
      <c r="R2013">
        <v>92</v>
      </c>
      <c r="S2013">
        <v>46</v>
      </c>
    </row>
    <row r="2014" spans="1:19" hidden="1" x14ac:dyDescent="0.25">
      <c r="A2014">
        <v>22200918</v>
      </c>
      <c r="B2014" t="s">
        <v>18</v>
      </c>
      <c r="C2014" t="s">
        <v>87</v>
      </c>
      <c r="D2014">
        <v>6</v>
      </c>
      <c r="E2014">
        <v>20</v>
      </c>
      <c r="F2014">
        <v>14</v>
      </c>
      <c r="G2014">
        <v>1</v>
      </c>
      <c r="H2014" s="1">
        <v>3.472222222222222E-3</v>
      </c>
      <c r="I2014">
        <v>2022</v>
      </c>
      <c r="J2014" t="s">
        <v>83</v>
      </c>
      <c r="K2014" s="2" t="str">
        <f>HYPERLINK("https://www.nba.com/stats/events?CFID=&amp;CFPARAMS=&amp;GameEventID=82&amp;GameID=0022200918&amp;Season=2022-23&amp;flag=1&amp;title=Leonard%20running%20Layup%20(4%20PTS)%20(B.%20Hyland%201%20AST)", "Running Layup (4 PTS) (B. Hyland 1 AST)")</f>
        <v>Running Layup (4 PTS) (B. Hyland 1 AST)</v>
      </c>
      <c r="L2014" s="2" t="str">
        <f>HYPERLINK("https://www.nba.com/game/...-vs-...-0022200918/play-by-play?watchFullGame=true", "LAC vs DEN - Q1 05:00.00")</f>
        <v>LAC vs DEN - Q1 05:00.00</v>
      </c>
      <c r="M2014">
        <v>3.16</v>
      </c>
      <c r="N2014">
        <v>92.46</v>
      </c>
      <c r="O2014">
        <v>44.85</v>
      </c>
      <c r="P2014">
        <v>-26</v>
      </c>
      <c r="Q2014">
        <v>18</v>
      </c>
      <c r="R2014">
        <v>92</v>
      </c>
      <c r="S2014">
        <v>44</v>
      </c>
    </row>
    <row r="2015" spans="1:19" hidden="1" x14ac:dyDescent="0.25">
      <c r="A2015">
        <v>22000324</v>
      </c>
      <c r="B2015" t="s">
        <v>18</v>
      </c>
      <c r="C2015" t="s">
        <v>87</v>
      </c>
      <c r="D2015">
        <v>81</v>
      </c>
      <c r="E2015">
        <v>82</v>
      </c>
      <c r="F2015">
        <v>1</v>
      </c>
      <c r="G2015">
        <v>3</v>
      </c>
      <c r="H2015" s="1">
        <v>1.6087962962962963E-3</v>
      </c>
      <c r="I2015">
        <v>2020</v>
      </c>
      <c r="J2015" t="s">
        <v>83</v>
      </c>
      <c r="K2015" s="2" t="str">
        <f>HYPERLINK("https://www.nba.com/stats/events?CFID=&amp;CFPARAMS=&amp;GameEventID=408&amp;GameID=0022000324&amp;Season=2020-21&amp;flag=1&amp;title=Leonard%20driving%20Layup%20(20%20PTS)", "Driving Layup (20 PTS)")</f>
        <v>Driving Layup (20 PTS)</v>
      </c>
      <c r="L2015" s="2" t="str">
        <f>HYPERLINK("https://www.nba.com/game/...-vs-...-0022000324/play-by-play?watchFullGame=true", "LAC vs BKN - Q3 02:19.00")</f>
        <v>LAC vs BKN - Q3 02:19.00</v>
      </c>
      <c r="M2015">
        <v>3.15</v>
      </c>
      <c r="N2015">
        <v>92.07</v>
      </c>
      <c r="O2015">
        <v>54.48</v>
      </c>
      <c r="P2015">
        <v>22</v>
      </c>
      <c r="Q2015">
        <v>22</v>
      </c>
      <c r="R2015">
        <v>92</v>
      </c>
      <c r="S2015">
        <v>54</v>
      </c>
    </row>
    <row r="2016" spans="1:19" hidden="1" x14ac:dyDescent="0.25">
      <c r="A2016">
        <v>21900626</v>
      </c>
      <c r="B2016" t="s">
        <v>18</v>
      </c>
      <c r="C2016" t="s">
        <v>90</v>
      </c>
      <c r="D2016">
        <v>120</v>
      </c>
      <c r="E2016">
        <v>117</v>
      </c>
      <c r="F2016">
        <v>3</v>
      </c>
      <c r="G2016">
        <v>4</v>
      </c>
      <c r="H2016" s="1">
        <v>4.4560185185185189E-3</v>
      </c>
      <c r="I2016">
        <v>2019</v>
      </c>
      <c r="J2016" t="s">
        <v>83</v>
      </c>
      <c r="K2016" s="2" t="str">
        <f>HYPERLINK("https://www.nba.com/stats/events?CFID=&amp;CFPARAMS=&amp;GameEventID=645&amp;GameID=0021900626&amp;Season=2019-20&amp;flag=1&amp;title=Leonard%20layup%20(35%20PTS)", "Layup (35 PTS)")</f>
        <v>Layup (35 PTS)</v>
      </c>
      <c r="L2016" s="2" t="str">
        <f>HYPERLINK("https://www.nba.com/game/...-vs-...-0021900626/play-by-play?watchFullGame=true", "LAC vs NOP - Q4 06:25.00")</f>
        <v>LAC vs NOP - Q4 06:25.00</v>
      </c>
      <c r="M2016">
        <v>3.1</v>
      </c>
      <c r="N2016">
        <v>92.72</v>
      </c>
      <c r="O2016">
        <v>54.48</v>
      </c>
      <c r="P2016">
        <v>22</v>
      </c>
      <c r="Q2016">
        <v>16</v>
      </c>
      <c r="R2016">
        <v>92</v>
      </c>
      <c r="S2016">
        <v>54</v>
      </c>
    </row>
    <row r="2017" spans="1:19" hidden="1" x14ac:dyDescent="0.25">
      <c r="A2017">
        <v>41900153</v>
      </c>
      <c r="B2017" t="s">
        <v>18</v>
      </c>
      <c r="C2017" t="s">
        <v>90</v>
      </c>
      <c r="D2017">
        <v>112</v>
      </c>
      <c r="E2017">
        <v>98</v>
      </c>
      <c r="F2017">
        <v>14</v>
      </c>
      <c r="G2017">
        <v>4</v>
      </c>
      <c r="H2017" s="1">
        <v>5.8217592592592592E-3</v>
      </c>
      <c r="I2017" t="s">
        <v>86</v>
      </c>
      <c r="J2017" t="s">
        <v>83</v>
      </c>
      <c r="K2017" s="2" t="str">
        <f>HYPERLINK("https://www.nba.com/stats/events?CFID=&amp;CFPARAMS=&amp;GameEventID=557&amp;GameID=0041900153&amp;Season=2019-20&amp;flag=1&amp;title=Leonard%20layup%20(29%20PTS)", "Layup (29 PTS)")</f>
        <v>Layup (29 PTS)</v>
      </c>
      <c r="L2017" s="2" t="str">
        <f>HYPERLINK("https://www.nba.com/game/...-vs-...-0041900153/play-by-play?watchFullGame=true", "LAC vs DAL - Q4 08:23.00")</f>
        <v>LAC vs DAL - Q4 08:23.00</v>
      </c>
      <c r="M2017">
        <v>3.1</v>
      </c>
      <c r="N2017">
        <v>92.72</v>
      </c>
      <c r="O2017">
        <v>54.48</v>
      </c>
      <c r="P2017">
        <v>22</v>
      </c>
      <c r="Q2017">
        <v>16</v>
      </c>
      <c r="R2017">
        <v>92</v>
      </c>
      <c r="S2017">
        <v>54</v>
      </c>
    </row>
    <row r="2018" spans="1:19" hidden="1" x14ac:dyDescent="0.25">
      <c r="A2018">
        <v>22200945</v>
      </c>
      <c r="B2018" t="s">
        <v>18</v>
      </c>
      <c r="C2018" t="s">
        <v>87</v>
      </c>
      <c r="D2018">
        <v>17</v>
      </c>
      <c r="E2018">
        <v>17</v>
      </c>
      <c r="F2018">
        <v>0</v>
      </c>
      <c r="G2018">
        <v>1</v>
      </c>
      <c r="H2018" s="1">
        <v>2.9282407407407408E-3</v>
      </c>
      <c r="I2018">
        <v>2022</v>
      </c>
      <c r="J2018" t="s">
        <v>83</v>
      </c>
      <c r="K2018" s="2" t="str">
        <f>HYPERLINK("https://www.nba.com/stats/events?CFID=&amp;CFPARAMS=&amp;GameEventID=94&amp;GameID=0022200945&amp;Season=2022-23&amp;flag=1&amp;title=Leonard%20alley-oop%20Layup%20(5%20PTS)%20(P.%20George%202%20AST)", "Alley-oop Layup (5 PTS) (P. George 2 AST)")</f>
        <v>Alley-oop Layup (5 PTS) (P. George 2 AST)</v>
      </c>
      <c r="L2018" s="2" t="str">
        <f>HYPERLINK("https://www.nba.com/game/...-vs-...-0022200945/play-by-play?watchFullGame=true", "LAC vs GSW - Q1 04:13.00")</f>
        <v>LAC vs GSW - Q1 04:13.00</v>
      </c>
      <c r="M2018">
        <v>3.06</v>
      </c>
      <c r="N2018">
        <v>92.46</v>
      </c>
      <c r="O2018">
        <v>54.9</v>
      </c>
      <c r="P2018">
        <v>25</v>
      </c>
      <c r="Q2018">
        <v>18</v>
      </c>
      <c r="R2018">
        <v>92</v>
      </c>
      <c r="S2018">
        <v>54</v>
      </c>
    </row>
    <row r="2019" spans="1:19" hidden="1" x14ac:dyDescent="0.25">
      <c r="A2019">
        <v>22200701</v>
      </c>
      <c r="B2019" t="s">
        <v>18</v>
      </c>
      <c r="C2019" t="s">
        <v>87</v>
      </c>
      <c r="D2019">
        <v>20</v>
      </c>
      <c r="E2019">
        <v>16</v>
      </c>
      <c r="F2019">
        <v>4</v>
      </c>
      <c r="G2019">
        <v>1</v>
      </c>
      <c r="H2019" s="1">
        <v>2.0254629629629629E-3</v>
      </c>
      <c r="I2019">
        <v>2022</v>
      </c>
      <c r="J2019" t="s">
        <v>83</v>
      </c>
      <c r="K2019" s="2" t="str">
        <f>HYPERLINK("https://www.nba.com/stats/events?CFID=&amp;CFPARAMS=&amp;GameEventID=109&amp;GameID=0022200701&amp;Season=2022-23&amp;flag=1&amp;title=Leonard%20driving%20Layup%20(5%20PTS)", "Driving Layup (5 PTS)")</f>
        <v>Driving Layup (5 PTS)</v>
      </c>
      <c r="L2019" s="2" t="str">
        <f>HYPERLINK("https://www.nba.com/game/...-vs-...-0022200701/play-by-play?watchFullGame=true", "LAC vs DAL - Q1 02:55.00")</f>
        <v>LAC vs DAL - Q1 02:55.00</v>
      </c>
      <c r="M2019">
        <v>3.04</v>
      </c>
      <c r="N2019">
        <v>92.33</v>
      </c>
      <c r="O2019">
        <v>45.34</v>
      </c>
      <c r="P2019">
        <v>-23</v>
      </c>
      <c r="Q2019">
        <v>20</v>
      </c>
      <c r="R2019">
        <v>92</v>
      </c>
      <c r="S2019">
        <v>45</v>
      </c>
    </row>
    <row r="2020" spans="1:19" hidden="1" x14ac:dyDescent="0.25">
      <c r="A2020">
        <v>22000188</v>
      </c>
      <c r="B2020" t="s">
        <v>18</v>
      </c>
      <c r="C2020" t="s">
        <v>87</v>
      </c>
      <c r="D2020">
        <v>16</v>
      </c>
      <c r="E2020">
        <v>13</v>
      </c>
      <c r="F2020">
        <v>3</v>
      </c>
      <c r="G2020">
        <v>1</v>
      </c>
      <c r="H2020" s="1">
        <v>4.8148148148148152E-3</v>
      </c>
      <c r="I2020">
        <v>2020</v>
      </c>
      <c r="J2020" t="s">
        <v>83</v>
      </c>
      <c r="K2020" s="2" t="str">
        <f>HYPERLINK("https://www.nba.com/stats/events?CFID=&amp;CFPARAMS=&amp;GameEventID=57&amp;GameID=0022000188&amp;Season=2020-21&amp;flag=1&amp;title=Leonard%20Layup%20(8%20PTS)", "Layup (8 PTS)")</f>
        <v>Layup (8 PTS)</v>
      </c>
      <c r="L2020" s="2" t="str">
        <f>HYPERLINK("https://www.nba.com/game/...-vs-...-0022000188/play-by-play?watchFullGame=true", "LAC vs SAC - Q1 06:56.00")</f>
        <v>LAC vs SAC - Q1 06:56.00</v>
      </c>
      <c r="M2020">
        <v>3</v>
      </c>
      <c r="N2020">
        <v>92.72</v>
      </c>
      <c r="O2020">
        <v>44.92</v>
      </c>
      <c r="P2020">
        <v>-25</v>
      </c>
      <c r="Q2020">
        <v>16</v>
      </c>
      <c r="R2020">
        <v>92</v>
      </c>
      <c r="S2020">
        <v>44</v>
      </c>
    </row>
    <row r="2021" spans="1:19" hidden="1" x14ac:dyDescent="0.25">
      <c r="A2021">
        <v>22000324</v>
      </c>
      <c r="B2021" t="s">
        <v>18</v>
      </c>
      <c r="C2021" t="s">
        <v>87</v>
      </c>
      <c r="D2021">
        <v>106</v>
      </c>
      <c r="E2021">
        <v>110</v>
      </c>
      <c r="F2021">
        <v>4</v>
      </c>
      <c r="G2021">
        <v>4</v>
      </c>
      <c r="H2021" s="1">
        <v>2.2800925925925927E-3</v>
      </c>
      <c r="I2021">
        <v>2020</v>
      </c>
      <c r="J2021" t="s">
        <v>83</v>
      </c>
      <c r="K2021" s="2" t="str">
        <f>HYPERLINK("https://www.nba.com/stats/events?CFID=&amp;CFPARAMS=&amp;GameEventID=549&amp;GameID=0022000324&amp;Season=2020-21&amp;flag=1&amp;title=Leonard%20driving%20Layup%20(29%20PTS)", "Driving Layup (29 PTS)")</f>
        <v>Driving Layup (29 PTS)</v>
      </c>
      <c r="L2021" s="2" t="str">
        <f>HYPERLINK("https://www.nba.com/game/...-vs-...-0022000324/play-by-play?watchFullGame=true", "LAC vs BKN - Q4 03:17.00")</f>
        <v>LAC vs BKN - Q4 03:17.00</v>
      </c>
      <c r="M2021">
        <v>2.99</v>
      </c>
      <c r="N2021">
        <v>92.46</v>
      </c>
      <c r="O2021">
        <v>54.73</v>
      </c>
      <c r="P2021">
        <v>24</v>
      </c>
      <c r="Q2021">
        <v>18</v>
      </c>
      <c r="R2021">
        <v>92</v>
      </c>
      <c r="S2021">
        <v>54</v>
      </c>
    </row>
    <row r="2022" spans="1:19" hidden="1" x14ac:dyDescent="0.25">
      <c r="A2022">
        <v>41900235</v>
      </c>
      <c r="B2022" t="s">
        <v>18</v>
      </c>
      <c r="C2022" t="s">
        <v>90</v>
      </c>
      <c r="D2022">
        <v>25</v>
      </c>
      <c r="E2022">
        <v>16</v>
      </c>
      <c r="F2022">
        <v>9</v>
      </c>
      <c r="G2022">
        <v>1</v>
      </c>
      <c r="H2022" s="1">
        <v>1.9097222222222222E-3</v>
      </c>
      <c r="I2022" t="s">
        <v>85</v>
      </c>
      <c r="J2022" t="s">
        <v>83</v>
      </c>
      <c r="K2022" s="2" t="str">
        <f>HYPERLINK("https://www.nba.com/stats/events?CFID=&amp;CFPARAMS=&amp;GameEventID=107&amp;GameID=0041900235&amp;Season=2019-20&amp;flag=1&amp;title=Leonard%20layup%20(9%20PTS)%20(L.%20Williams%201%20AST)", "Layup (9 PTS) (L. Williams 1 AST)")</f>
        <v>Layup (9 PTS) (L. Williams 1 AST)</v>
      </c>
      <c r="L2022" s="2" t="str">
        <f>HYPERLINK("https://www.nba.com/game/...-vs-...-0041900235/play-by-play?watchFullGame=true", "LAC vs DEN - Q1 02:45.00")</f>
        <v>LAC vs DEN - Q1 02:45.00</v>
      </c>
      <c r="M2022">
        <v>2.86</v>
      </c>
      <c r="N2022">
        <v>92.59</v>
      </c>
      <c r="O2022">
        <v>53.5</v>
      </c>
      <c r="P2022">
        <v>18</v>
      </c>
      <c r="Q2022">
        <v>17</v>
      </c>
      <c r="R2022">
        <v>92</v>
      </c>
      <c r="S2022">
        <v>53</v>
      </c>
    </row>
    <row r="2023" spans="1:19" hidden="1" x14ac:dyDescent="0.25">
      <c r="A2023">
        <v>42000175</v>
      </c>
      <c r="B2023" t="s">
        <v>18</v>
      </c>
      <c r="C2023" t="s">
        <v>87</v>
      </c>
      <c r="D2023">
        <v>40</v>
      </c>
      <c r="E2023">
        <v>42</v>
      </c>
      <c r="F2023">
        <v>2</v>
      </c>
      <c r="G2023">
        <v>2</v>
      </c>
      <c r="H2023" s="1">
        <v>5.2314814814814811E-3</v>
      </c>
      <c r="I2023" t="s">
        <v>91</v>
      </c>
      <c r="J2023" t="s">
        <v>83</v>
      </c>
      <c r="K2023" s="2" t="str">
        <f>HYPERLINK("https://www.nba.com/stats/events?CFID=&amp;CFPARAMS=&amp;GameEventID=241&amp;GameID=0042000175&amp;Season=2020-21&amp;flag=1&amp;title=Leonard%20driving%20Layup%20(6%20PTS)", "Driving Layup (6 PTS)")</f>
        <v>Driving Layup (6 PTS)</v>
      </c>
      <c r="L2023" s="2" t="str">
        <f>HYPERLINK("https://www.nba.com/game/...-vs-...-0042000175/play-by-play?watchFullGame=true", "LAC vs DAL - Q2 07:32.00")</f>
        <v>LAC vs DAL - Q2 07:32.00</v>
      </c>
      <c r="M2023">
        <v>2.85</v>
      </c>
      <c r="N2023">
        <v>92.07</v>
      </c>
      <c r="O2023">
        <v>46.39</v>
      </c>
      <c r="P2023">
        <v>92</v>
      </c>
      <c r="Q2023">
        <v>46</v>
      </c>
      <c r="R2023">
        <v>92</v>
      </c>
      <c r="S2023">
        <v>46</v>
      </c>
    </row>
    <row r="2024" spans="1:19" hidden="1" x14ac:dyDescent="0.25">
      <c r="A2024">
        <v>42000221</v>
      </c>
      <c r="B2024" t="s">
        <v>18</v>
      </c>
      <c r="C2024" t="s">
        <v>87</v>
      </c>
      <c r="D2024">
        <v>66</v>
      </c>
      <c r="E2024">
        <v>59</v>
      </c>
      <c r="F2024">
        <v>7</v>
      </c>
      <c r="G2024">
        <v>3</v>
      </c>
      <c r="H2024" s="1">
        <v>5.2777777777777779E-3</v>
      </c>
      <c r="I2024" t="s">
        <v>94</v>
      </c>
      <c r="J2024" t="s">
        <v>83</v>
      </c>
      <c r="K2024" s="2" t="str">
        <f>HYPERLINK("https://www.nba.com/stats/events?CFID=&amp;CFPARAMS=&amp;GameEventID=405&amp;GameID=0042000221&amp;Season=2020-21&amp;flag=1&amp;title=Leonard%20driving%20Layup%20(11%20PTS)%20(I.%20Zubac%202%20AST)", "Driving Layup (11 PTS) (I. Zubac 2 AST)")</f>
        <v>Driving Layup (11 PTS) (I. Zubac 2 AST)</v>
      </c>
      <c r="L2024" s="2" t="str">
        <f>HYPERLINK("https://www.nba.com/game/...-vs-...-0042000221/play-by-play?watchFullGame=true", "LAC vs UTA - Q3 07:36.00")</f>
        <v>LAC vs UTA - Q3 07:36.00</v>
      </c>
      <c r="M2024">
        <v>2.76</v>
      </c>
      <c r="N2024">
        <v>92.59</v>
      </c>
      <c r="O2024">
        <v>45.66</v>
      </c>
      <c r="P2024">
        <v>92</v>
      </c>
      <c r="Q2024">
        <v>45</v>
      </c>
      <c r="R2024">
        <v>92</v>
      </c>
      <c r="S2024">
        <v>45</v>
      </c>
    </row>
    <row r="2025" spans="1:19" hidden="1" x14ac:dyDescent="0.25">
      <c r="A2025">
        <v>21901307</v>
      </c>
      <c r="B2025" t="s">
        <v>18</v>
      </c>
      <c r="C2025" t="s">
        <v>90</v>
      </c>
      <c r="D2025">
        <v>65</v>
      </c>
      <c r="E2025">
        <v>63</v>
      </c>
      <c r="F2025">
        <v>2</v>
      </c>
      <c r="G2025">
        <v>3</v>
      </c>
      <c r="H2025" s="1">
        <v>5.7060185185185183E-3</v>
      </c>
      <c r="I2025">
        <v>2019</v>
      </c>
      <c r="J2025" t="s">
        <v>83</v>
      </c>
      <c r="K2025" s="2" t="str">
        <f>HYPERLINK("https://www.nba.com/stats/events?CFID=&amp;CFPARAMS=&amp;GameEventID=369&amp;GameID=0021901307&amp;Season=2019-20&amp;flag=1&amp;title=Leonard%20layup%20(20%20PTS)", "Layup (20 PTS)")</f>
        <v>Layup (20 PTS)</v>
      </c>
      <c r="L2025" s="2" t="str">
        <f>HYPERLINK("https://www.nba.com/game/...-vs-...-0021901307/play-by-play?watchFullGame=true", "LAC vs DEN - Q3 08:13.00")</f>
        <v>LAC vs DEN - Q3 08:13.00</v>
      </c>
      <c r="M2025">
        <v>2.73</v>
      </c>
      <c r="N2025">
        <v>92.33</v>
      </c>
      <c r="O2025">
        <v>47.86</v>
      </c>
      <c r="P2025">
        <v>-11</v>
      </c>
      <c r="Q2025">
        <v>20</v>
      </c>
      <c r="R2025">
        <v>92</v>
      </c>
      <c r="S2025">
        <v>47</v>
      </c>
    </row>
    <row r="2026" spans="1:19" hidden="1" x14ac:dyDescent="0.25">
      <c r="A2026">
        <v>21900523</v>
      </c>
      <c r="B2026" t="s">
        <v>18</v>
      </c>
      <c r="C2026" t="s">
        <v>90</v>
      </c>
      <c r="D2026">
        <v>91</v>
      </c>
      <c r="E2026">
        <v>110</v>
      </c>
      <c r="F2026">
        <v>19</v>
      </c>
      <c r="G2026">
        <v>4</v>
      </c>
      <c r="H2026" s="1">
        <v>5.208333333333333E-3</v>
      </c>
      <c r="I2026">
        <v>2019</v>
      </c>
      <c r="J2026" t="s">
        <v>83</v>
      </c>
      <c r="K2026" s="2" t="str">
        <f>HYPERLINK("https://www.nba.com/stats/events?CFID=&amp;CFPARAMS=&amp;GameEventID=601&amp;GameID=0021900523&amp;Season=2019-20&amp;flag=1&amp;title=Leonard%20layup%20(24%20PTS)", "Layup (24 PTS)")</f>
        <v>Layup (24 PTS)</v>
      </c>
      <c r="L2026" s="2" t="str">
        <f>HYPERLINK("https://www.nba.com/game/...-vs-...-0021900523/play-by-play?watchFullGame=true", "LAC vs MEM - Q4 07:30.00")</f>
        <v>LAC vs MEM - Q4 07:30.00</v>
      </c>
      <c r="M2026">
        <v>2.71</v>
      </c>
      <c r="N2026">
        <v>92.3</v>
      </c>
      <c r="O2026">
        <v>51.89</v>
      </c>
      <c r="P2026">
        <v>9</v>
      </c>
      <c r="Q2026">
        <v>20</v>
      </c>
      <c r="R2026">
        <v>92</v>
      </c>
      <c r="S2026">
        <v>51</v>
      </c>
    </row>
    <row r="2027" spans="1:19" hidden="1" x14ac:dyDescent="0.25">
      <c r="A2027">
        <v>22300309</v>
      </c>
      <c r="B2027" t="s">
        <v>18</v>
      </c>
      <c r="C2027" t="s">
        <v>87</v>
      </c>
      <c r="D2027">
        <v>17</v>
      </c>
      <c r="E2027">
        <v>13</v>
      </c>
      <c r="F2027">
        <v>4</v>
      </c>
      <c r="G2027">
        <v>1</v>
      </c>
      <c r="H2027" s="1">
        <v>4.2013888888888891E-3</v>
      </c>
      <c r="I2027">
        <v>2023</v>
      </c>
      <c r="J2027" t="s">
        <v>83</v>
      </c>
      <c r="K2027" s="2" t="str">
        <f>HYPERLINK("https://www.nba.com/stats/events?CFID=&amp;CFPARAMS=&amp;GameEventID=66&amp;GameID=0022300309&amp;Season=2023-24&amp;flag=1&amp;title=Leonard%20running%20Layup%20(2%20PTS)%20(J.%20Harden%203%20AST)", "Running Layup (2 PTS) (J. Harden 3 AST)")</f>
        <v>Running Layup (2 PTS) (J. Harden 3 AST)</v>
      </c>
      <c r="L2027" s="2" t="str">
        <f>HYPERLINK("https://www.nba.com/game/...-vs-...-0022300309/play-by-play?watchFullGame=true", "LAC vs SAC - Q1 06:03.00")</f>
        <v>LAC vs SAC - Q1 06:03.00</v>
      </c>
      <c r="M2027">
        <v>2.68</v>
      </c>
      <c r="N2027">
        <v>92.03</v>
      </c>
      <c r="O2027">
        <v>47.06</v>
      </c>
      <c r="P2027">
        <v>-15</v>
      </c>
      <c r="Q2027">
        <v>22</v>
      </c>
      <c r="R2027">
        <v>92</v>
      </c>
      <c r="S2027">
        <v>47</v>
      </c>
    </row>
    <row r="2028" spans="1:19" hidden="1" x14ac:dyDescent="0.25">
      <c r="A2028">
        <v>41900152</v>
      </c>
      <c r="B2028" t="s">
        <v>18</v>
      </c>
      <c r="C2028" t="s">
        <v>90</v>
      </c>
      <c r="D2028">
        <v>95</v>
      </c>
      <c r="E2028">
        <v>108</v>
      </c>
      <c r="F2028">
        <v>13</v>
      </c>
      <c r="G2028">
        <v>4</v>
      </c>
      <c r="H2028" s="1">
        <v>5.0347222222222225E-3</v>
      </c>
      <c r="I2028" t="s">
        <v>86</v>
      </c>
      <c r="J2028" t="s">
        <v>83</v>
      </c>
      <c r="K2028" s="2" t="str">
        <f>HYPERLINK("https://www.nba.com/stats/events?CFID=&amp;CFPARAMS=&amp;GameEventID=626&amp;GameID=0041900152&amp;Season=2019-20&amp;flag=1&amp;title=Leonard%20layup%20(31%20PTS)", "Layup (31 PTS)")</f>
        <v>Layup (31 PTS)</v>
      </c>
      <c r="L2028" s="2" t="str">
        <f>HYPERLINK("https://www.nba.com/game/...-vs-...-0041900152/play-by-play?watchFullGame=true", "LAC vs DAL - Q4 07:15.00")</f>
        <v>LAC vs DAL - Q4 07:15.00</v>
      </c>
      <c r="M2028">
        <v>2.66</v>
      </c>
      <c r="N2028">
        <v>92.99</v>
      </c>
      <c r="O2028">
        <v>53.75</v>
      </c>
      <c r="P2028">
        <v>19</v>
      </c>
      <c r="Q2028">
        <v>13</v>
      </c>
      <c r="R2028">
        <v>92</v>
      </c>
      <c r="S2028">
        <v>53</v>
      </c>
    </row>
    <row r="2029" spans="1:19" hidden="1" x14ac:dyDescent="0.25">
      <c r="A2029">
        <v>22300897</v>
      </c>
      <c r="B2029" t="s">
        <v>18</v>
      </c>
      <c r="C2029" t="s">
        <v>87</v>
      </c>
      <c r="D2029">
        <v>30</v>
      </c>
      <c r="E2029">
        <v>46</v>
      </c>
      <c r="F2029">
        <v>16</v>
      </c>
      <c r="G2029">
        <v>2</v>
      </c>
      <c r="H2029" s="1">
        <v>4.0972222222222226E-3</v>
      </c>
      <c r="I2029">
        <v>2023</v>
      </c>
      <c r="J2029" t="s">
        <v>83</v>
      </c>
      <c r="K2029" s="2" t="str">
        <f>HYPERLINK("https://www.nba.com/stats/events?CFID=&amp;CFPARAMS=&amp;GameEventID=230&amp;GameID=0022300897&amp;Season=2023-24&amp;flag=1&amp;title=Leonard%20driving%20Layup%20(6%20PTS)", "Driving Layup (6 PTS)")</f>
        <v>Driving Layup (6 PTS)</v>
      </c>
      <c r="L2029" s="2" t="str">
        <f>HYPERLINK("https://www.nba.com/game/...-vs-...-0022300897/play-by-play?watchFullGame=true", "LAC vs HOU - Q2 05:54.00")</f>
        <v>LAC vs HOU - Q2 05:54.00</v>
      </c>
      <c r="M2029">
        <v>2.65</v>
      </c>
      <c r="N2029">
        <v>92.07</v>
      </c>
      <c r="O2029">
        <v>47.06</v>
      </c>
      <c r="P2029">
        <v>-15</v>
      </c>
      <c r="Q2029">
        <v>22</v>
      </c>
      <c r="R2029">
        <v>92</v>
      </c>
      <c r="S2029">
        <v>47</v>
      </c>
    </row>
    <row r="2030" spans="1:19" hidden="1" x14ac:dyDescent="0.25">
      <c r="A2030">
        <v>22300865</v>
      </c>
      <c r="B2030" t="s">
        <v>18</v>
      </c>
      <c r="C2030" t="s">
        <v>88</v>
      </c>
      <c r="D2030">
        <v>79</v>
      </c>
      <c r="E2030">
        <v>64</v>
      </c>
      <c r="F2030">
        <v>15</v>
      </c>
      <c r="G2030">
        <v>2</v>
      </c>
      <c r="H2030" s="1">
        <v>5.9027777777777773E-5</v>
      </c>
      <c r="I2030">
        <v>2023</v>
      </c>
      <c r="J2030" t="s">
        <v>83</v>
      </c>
      <c r="K2030" s="2" t="str">
        <f>HYPERLINK("https://www.nba.com/stats/events?CFID=&amp;CFPARAMS=&amp;GameEventID=316&amp;GameID=0022300865&amp;Season=2023-24&amp;flag=1&amp;title=Leonard%20running%20DUNK%20(13%20PTS)%20(A.%20Coffey%203%20AST)", "Running DUNK (13 PTS) (A. Coffey 3 AST)")</f>
        <v>Running DUNK (13 PTS) (A. Coffey 3 AST)</v>
      </c>
      <c r="L2030" s="2" t="str">
        <f>HYPERLINK("https://www.nba.com/game/...-vs-...-0022300865/play-by-play?watchFullGame=true", "LAC vs WAS - Q2 00:05.10")</f>
        <v>LAC vs WAS - Q2 00:05.10</v>
      </c>
      <c r="M2030">
        <v>2.4</v>
      </c>
      <c r="N2030">
        <v>92.03</v>
      </c>
      <c r="O2030">
        <v>48.28</v>
      </c>
      <c r="P2030">
        <v>-9</v>
      </c>
      <c r="Q2030">
        <v>22</v>
      </c>
      <c r="R2030">
        <v>92</v>
      </c>
      <c r="S2030">
        <v>48</v>
      </c>
    </row>
    <row r="2031" spans="1:19" hidden="1" x14ac:dyDescent="0.25">
      <c r="A2031">
        <v>21900377</v>
      </c>
      <c r="B2031" t="s">
        <v>18</v>
      </c>
      <c r="C2031" t="s">
        <v>90</v>
      </c>
      <c r="D2031">
        <v>52</v>
      </c>
      <c r="E2031">
        <v>51</v>
      </c>
      <c r="F2031">
        <v>1</v>
      </c>
      <c r="G2031">
        <v>2</v>
      </c>
      <c r="H2031" s="1">
        <v>2.5000000000000001E-3</v>
      </c>
      <c r="I2031">
        <v>2019</v>
      </c>
      <c r="J2031" t="s">
        <v>83</v>
      </c>
      <c r="K2031" s="2" t="str">
        <f>HYPERLINK("https://www.nba.com/stats/events?CFID=&amp;CFPARAMS=&amp;GameEventID=287&amp;GameID=0021900377&amp;Season=2019-20&amp;flag=1&amp;title=Leonard%20layup%20(20%20PTS)", "Layup (20 PTS)")</f>
        <v>Layup (20 PTS)</v>
      </c>
      <c r="L2031" s="2" t="str">
        <f>HYPERLINK("https://www.nba.com/game/...-vs-...-0021900377/play-by-play?watchFullGame=true", "LAC vs MIN - Q2 03:36.00")</f>
        <v>LAC vs MIN - Q2 03:36.00</v>
      </c>
      <c r="M2031">
        <v>2.63</v>
      </c>
      <c r="N2031">
        <v>92.33</v>
      </c>
      <c r="O2031">
        <v>51.54</v>
      </c>
      <c r="P2031">
        <v>8</v>
      </c>
      <c r="Q2031">
        <v>20</v>
      </c>
      <c r="R2031">
        <v>92</v>
      </c>
      <c r="S2031">
        <v>51</v>
      </c>
    </row>
    <row r="2032" spans="1:19" hidden="1" x14ac:dyDescent="0.25">
      <c r="A2032">
        <v>22400927</v>
      </c>
      <c r="B2032" t="s">
        <v>18</v>
      </c>
      <c r="C2032" t="s">
        <v>88</v>
      </c>
      <c r="D2032">
        <v>37</v>
      </c>
      <c r="E2032">
        <v>42</v>
      </c>
      <c r="F2032">
        <v>5</v>
      </c>
      <c r="G2032">
        <v>2</v>
      </c>
      <c r="H2032" s="1">
        <v>3.3912037037037036E-3</v>
      </c>
      <c r="I2032">
        <v>2024</v>
      </c>
      <c r="J2032" t="s">
        <v>83</v>
      </c>
      <c r="K2032" s="2" t="str">
        <f>HYPERLINK("https://www.nba.com/stats/events?CFID=&amp;CFPARAMS=&amp;GameEventID=228&amp;GameID=0022400927&amp;Season=2024-25&amp;flag=1&amp;title=Leonard%20running%20DUNK%20(7%20PTS)%20(Dunn%202%20AST)", "Running DUNK (7 PTS) (K. Dunn 2 AST)")</f>
        <v>Running DUNK (7 PTS) (K. Dunn 2 AST)</v>
      </c>
      <c r="L2032" s="2" t="str">
        <f>HYPERLINK("https://www.nba.com/game/...-vs-...-0022400927/play-by-play?watchFullGame=true", "LAC vs SAC - Q2 04:53.00")</f>
        <v>LAC vs SAC - Q2 04:53.00</v>
      </c>
      <c r="M2032">
        <v>1.91</v>
      </c>
      <c r="N2032">
        <v>92.59</v>
      </c>
      <c r="O2032">
        <v>48.28</v>
      </c>
      <c r="P2032">
        <v>-9</v>
      </c>
      <c r="Q2032">
        <v>17</v>
      </c>
      <c r="R2032">
        <v>92</v>
      </c>
      <c r="S2032">
        <v>48</v>
      </c>
    </row>
    <row r="2033" spans="1:19" hidden="1" x14ac:dyDescent="0.25">
      <c r="A2033">
        <v>22400671</v>
      </c>
      <c r="B2033" t="s">
        <v>18</v>
      </c>
      <c r="C2033" t="s">
        <v>88</v>
      </c>
      <c r="D2033">
        <v>56</v>
      </c>
      <c r="E2033">
        <v>49</v>
      </c>
      <c r="F2033">
        <v>7</v>
      </c>
      <c r="G2033">
        <v>2</v>
      </c>
      <c r="H2033" s="1">
        <v>2.7083333333333334E-3</v>
      </c>
      <c r="I2033">
        <v>2024</v>
      </c>
      <c r="J2033" t="s">
        <v>83</v>
      </c>
      <c r="K2033" s="2" t="str">
        <f>HYPERLINK("https://www.nba.com/stats/events?CFID=&amp;CFPARAMS=&amp;GameEventID=281&amp;GameID=0022400671&amp;Season=2024-25&amp;flag=1&amp;title=Leonard%20running%20DUNK%20(12%20PTS)%20(J.%20Harden%208%20AST)", "Running DUNK (12 PTS) (J. Harden 8 AST)")</f>
        <v>Running DUNK (12 PTS) (J. Harden 8 AST)</v>
      </c>
      <c r="L2033" s="2" t="str">
        <f>HYPERLINK("https://www.nba.com/game/...-vs-...-0022400671/play-by-play?watchFullGame=true", "LAC vs SAS - Q2 03:54.00")</f>
        <v>LAC vs SAS - Q2 03:54.00</v>
      </c>
      <c r="M2033">
        <v>1.59</v>
      </c>
      <c r="N2033">
        <v>92.99</v>
      </c>
      <c r="O2033">
        <v>48.28</v>
      </c>
      <c r="P2033">
        <v>-9</v>
      </c>
      <c r="Q2033">
        <v>13</v>
      </c>
      <c r="R2033">
        <v>92</v>
      </c>
      <c r="S2033">
        <v>48</v>
      </c>
    </row>
    <row r="2034" spans="1:19" hidden="1" x14ac:dyDescent="0.25">
      <c r="A2034">
        <v>22300264</v>
      </c>
      <c r="B2034" t="s">
        <v>18</v>
      </c>
      <c r="C2034" t="s">
        <v>87</v>
      </c>
      <c r="D2034">
        <v>100</v>
      </c>
      <c r="E2034">
        <v>81</v>
      </c>
      <c r="F2034">
        <v>19</v>
      </c>
      <c r="G2034">
        <v>3</v>
      </c>
      <c r="H2034" s="1">
        <v>4.5023148148148147E-4</v>
      </c>
      <c r="I2034">
        <v>2023</v>
      </c>
      <c r="J2034" t="s">
        <v>83</v>
      </c>
      <c r="K2034" s="2" t="str">
        <f>HYPERLINK("https://www.nba.com/stats/events?CFID=&amp;CFPARAMS=&amp;GameEventID=483&amp;GameID=0022300264&amp;Season=2023-24&amp;flag=1&amp;title=Leonard%20driving%20reverse%20Layup%20(27%20PTS)%20(J.%20Harden%206%20AST)", "Driving reverse Layup (27 PTS) (J. Harden 6 AST)")</f>
        <v>Driving reverse Layup (27 PTS) (J. Harden 6 AST)</v>
      </c>
      <c r="L2034" s="2" t="str">
        <f>HYPERLINK("https://www.nba.com/game/...-vs-...-0022300264/play-by-play?watchFullGame=true", "LAC vs SAC - Q3 00:38.90")</f>
        <v>LAC vs SAC - Q3 00:38.90</v>
      </c>
      <c r="M2034">
        <v>2.5499999999999998</v>
      </c>
      <c r="N2034">
        <v>92.85</v>
      </c>
      <c r="O2034">
        <v>45.83</v>
      </c>
      <c r="P2034">
        <v>-21</v>
      </c>
      <c r="Q2034">
        <v>15</v>
      </c>
      <c r="R2034">
        <v>92</v>
      </c>
      <c r="S2034">
        <v>45</v>
      </c>
    </row>
    <row r="2035" spans="1:19" hidden="1" x14ac:dyDescent="0.25">
      <c r="A2035">
        <v>41900232</v>
      </c>
      <c r="B2035" t="s">
        <v>18</v>
      </c>
      <c r="C2035" t="s">
        <v>84</v>
      </c>
      <c r="D2035">
        <v>50</v>
      </c>
      <c r="E2035">
        <v>63</v>
      </c>
      <c r="F2035">
        <v>13</v>
      </c>
      <c r="G2035">
        <v>2</v>
      </c>
      <c r="H2035" s="1">
        <v>1.8402777777777777E-3</v>
      </c>
      <c r="I2035" t="s">
        <v>85</v>
      </c>
      <c r="J2035" t="s">
        <v>83</v>
      </c>
      <c r="K2035" s="2" t="str">
        <f>HYPERLINK("https://www.nba.com/stats/events?CFID=&amp;CFPARAMS=&amp;GameEventID=293&amp;GameID=0041900232&amp;Season=2019-20&amp;flag=1&amp;title=Leonard%20jumpshot%20(8%20PTS)", "Jumpshot (8 PTS)")</f>
        <v>Jumpshot (8 PTS)</v>
      </c>
      <c r="L2035" s="2" t="str">
        <f>HYPERLINK("https://www.nba.com/game/...-vs-...-0041900232/play-by-play?watchFullGame=true", "LAC vs DEN - Q2 02:39.00")</f>
        <v>LAC vs DEN - Q2 02:39.00</v>
      </c>
      <c r="M2035">
        <v>2.54</v>
      </c>
      <c r="N2035">
        <v>92.33</v>
      </c>
      <c r="O2035">
        <v>50.8</v>
      </c>
      <c r="P2035">
        <v>4</v>
      </c>
      <c r="Q2035">
        <v>20</v>
      </c>
      <c r="R2035">
        <v>92</v>
      </c>
      <c r="S2035">
        <v>50</v>
      </c>
    </row>
    <row r="2036" spans="1:19" hidden="1" x14ac:dyDescent="0.25">
      <c r="A2036">
        <v>22201082</v>
      </c>
      <c r="B2036" t="s">
        <v>18</v>
      </c>
      <c r="C2036" t="s">
        <v>87</v>
      </c>
      <c r="D2036">
        <v>41</v>
      </c>
      <c r="E2036">
        <v>37</v>
      </c>
      <c r="F2036">
        <v>4</v>
      </c>
      <c r="G2036">
        <v>2</v>
      </c>
      <c r="H2036" s="1">
        <v>3.0902777777777777E-3</v>
      </c>
      <c r="I2036">
        <v>2022</v>
      </c>
      <c r="J2036" t="s">
        <v>83</v>
      </c>
      <c r="K2036" s="2" t="str">
        <f>HYPERLINK("https://www.nba.com/stats/events?CFID=&amp;CFPARAMS=&amp;GameEventID=253&amp;GameID=0022201082&amp;Season=2022-23&amp;flag=1&amp;title=Leonard%20driving%20Layup%20(6%20PTS)%20(P.%20George%202%20AST)", "Driving Layup (6 PTS) (P. George 2 AST)")</f>
        <v>Driving Layup (6 PTS) (P. George 2 AST)</v>
      </c>
      <c r="L2036" s="2" t="str">
        <f>HYPERLINK("https://www.nba.com/game/...-vs-...-0022201082/play-by-play?watchFullGame=true", "LAC vs OKC - Q2 04:27.00")</f>
        <v>LAC vs OKC - Q2 04:27.00</v>
      </c>
      <c r="M2036">
        <v>2.5</v>
      </c>
      <c r="N2036">
        <v>92.03</v>
      </c>
      <c r="O2036">
        <v>52.21</v>
      </c>
      <c r="P2036">
        <v>11</v>
      </c>
      <c r="Q2036">
        <v>22</v>
      </c>
      <c r="R2036">
        <v>92</v>
      </c>
      <c r="S2036">
        <v>52</v>
      </c>
    </row>
    <row r="2037" spans="1:19" hidden="1" x14ac:dyDescent="0.25">
      <c r="A2037">
        <v>22300473</v>
      </c>
      <c r="B2037" t="s">
        <v>18</v>
      </c>
      <c r="C2037" t="s">
        <v>87</v>
      </c>
      <c r="D2037">
        <v>65</v>
      </c>
      <c r="E2037">
        <v>46</v>
      </c>
      <c r="F2037">
        <v>19</v>
      </c>
      <c r="G2037">
        <v>2</v>
      </c>
      <c r="H2037" s="1">
        <v>1.2731481481481483E-3</v>
      </c>
      <c r="I2037">
        <v>2023</v>
      </c>
      <c r="J2037" t="s">
        <v>83</v>
      </c>
      <c r="K2037" s="2" t="str">
        <f>HYPERLINK("https://www.nba.com/stats/events?CFID=&amp;CFPARAMS=&amp;GameEventID=287&amp;GameID=0022300473&amp;Season=2023-24&amp;flag=1&amp;title=Leonard%20driving%20Layup%20(12%20PTS)", "Driving Layup (12 PTS)")</f>
        <v>Driving Layup (12 PTS)</v>
      </c>
      <c r="L2037" s="2" t="str">
        <f>HYPERLINK("https://www.nba.com/game/...-vs-...-0022300473/play-by-play?watchFullGame=true", "LAC vs PHX - Q2 01:50.00")</f>
        <v>LAC vs PHX - Q2 01:50.00</v>
      </c>
      <c r="M2037">
        <v>2.4500000000000002</v>
      </c>
      <c r="N2037">
        <v>92.85</v>
      </c>
      <c r="O2037">
        <v>53.92</v>
      </c>
      <c r="P2037">
        <v>20</v>
      </c>
      <c r="Q2037">
        <v>15</v>
      </c>
      <c r="R2037">
        <v>92</v>
      </c>
      <c r="S2037">
        <v>53</v>
      </c>
    </row>
    <row r="2038" spans="1:19" hidden="1" x14ac:dyDescent="0.25">
      <c r="A2038">
        <v>21900051</v>
      </c>
      <c r="B2038" t="s">
        <v>18</v>
      </c>
      <c r="C2038" t="s">
        <v>90</v>
      </c>
      <c r="D2038">
        <v>37</v>
      </c>
      <c r="E2038">
        <v>38</v>
      </c>
      <c r="F2038">
        <v>1</v>
      </c>
      <c r="G2038">
        <v>2</v>
      </c>
      <c r="H2038" s="1">
        <v>6.0069444444444441E-3</v>
      </c>
      <c r="I2038">
        <v>2019</v>
      </c>
      <c r="J2038" t="s">
        <v>83</v>
      </c>
      <c r="K2038" s="2" t="str">
        <f>HYPERLINK("https://www.nba.com/stats/events?CFID=&amp;CFPARAMS=&amp;GameEventID=197&amp;GameID=0021900051&amp;Season=2019-20&amp;flag=1&amp;title=[LAC]%20Leonard%20layup:%20Made%20(10%20PTS)%20assist:%20Williams%20(1%20AST)", "[LAC] Leonard layup: Made (10 PTS) assist: Williams (1 AST)")</f>
        <v>[LAC] Leonard layup: Made (10 PTS) assist: Williams (1 AST)</v>
      </c>
      <c r="L2038" s="2" t="str">
        <f>HYPERLINK("https://www.nba.com/game/...-vs-...-0021900051/play-by-play?watchFullGame=true", "LAC vs CHA - Q2 08:39.00")</f>
        <v>LAC vs CHA - Q2 08:39.00</v>
      </c>
      <c r="M2038">
        <v>2.42</v>
      </c>
      <c r="N2038">
        <v>92.69</v>
      </c>
      <c r="O2038">
        <v>52.14</v>
      </c>
      <c r="P2038">
        <v>11</v>
      </c>
      <c r="Q2038">
        <v>16</v>
      </c>
      <c r="R2038">
        <v>92</v>
      </c>
      <c r="S2038">
        <v>52</v>
      </c>
    </row>
    <row r="2039" spans="1:19" hidden="1" x14ac:dyDescent="0.25">
      <c r="A2039">
        <v>21901307</v>
      </c>
      <c r="B2039" t="s">
        <v>18</v>
      </c>
      <c r="C2039" t="s">
        <v>90</v>
      </c>
      <c r="D2039">
        <v>77</v>
      </c>
      <c r="E2039">
        <v>70</v>
      </c>
      <c r="F2039">
        <v>7</v>
      </c>
      <c r="G2039">
        <v>3</v>
      </c>
      <c r="H2039" s="1">
        <v>3.3101851851851851E-3</v>
      </c>
      <c r="I2039">
        <v>2019</v>
      </c>
      <c r="J2039" t="s">
        <v>83</v>
      </c>
      <c r="K2039" s="2" t="str">
        <f>HYPERLINK("https://www.nba.com/stats/events?CFID=&amp;CFPARAMS=&amp;GameEventID=407&amp;GameID=0021901307&amp;Season=2019-20&amp;flag=1&amp;title=Leonard%20layup%20(22%20PTS)", "Layup (22 PTS)")</f>
        <v>Layup (22 PTS)</v>
      </c>
      <c r="L2039" s="2" t="str">
        <f>HYPERLINK("https://www.nba.com/game/...-vs-...-0021901307/play-by-play?watchFullGame=true", "LAC vs DEN - Q3 04:46.00")</f>
        <v>LAC vs DEN - Q3 04:46.00</v>
      </c>
      <c r="M2039">
        <v>2.39</v>
      </c>
      <c r="N2039">
        <v>92.46</v>
      </c>
      <c r="O2039">
        <v>50.07</v>
      </c>
      <c r="P2039">
        <v>92</v>
      </c>
      <c r="Q2039">
        <v>18</v>
      </c>
      <c r="R2039">
        <v>92</v>
      </c>
      <c r="S2039">
        <v>50</v>
      </c>
    </row>
    <row r="2040" spans="1:19" hidden="1" x14ac:dyDescent="0.25">
      <c r="A2040">
        <v>22300127</v>
      </c>
      <c r="B2040" t="s">
        <v>18</v>
      </c>
      <c r="C2040" t="s">
        <v>87</v>
      </c>
      <c r="D2040">
        <v>29</v>
      </c>
      <c r="E2040">
        <v>18</v>
      </c>
      <c r="F2040">
        <v>11</v>
      </c>
      <c r="G2040">
        <v>1</v>
      </c>
      <c r="H2040" s="1">
        <v>2.0138888888888888E-3</v>
      </c>
      <c r="I2040">
        <v>2023</v>
      </c>
      <c r="J2040" t="s">
        <v>83</v>
      </c>
      <c r="K2040" s="2" t="str">
        <f>HYPERLINK("https://www.nba.com/stats/events?CFID=&amp;CFPARAMS=&amp;GameEventID=109&amp;GameID=0022300127&amp;Season=2023-24&amp;flag=1&amp;title=Leonard%20driving%20Layup%20(15%20PTS)", "Driving Layup (15 PTS)")</f>
        <v>Driving Layup (15 PTS)</v>
      </c>
      <c r="L2040" s="2" t="str">
        <f>HYPERLINK("https://www.nba.com/game/...-vs-...-0022300127/play-by-play?watchFullGame=true", "LAC vs LAL - Q1 02:54.00")</f>
        <v>LAC vs LAL - Q1 02:54.00</v>
      </c>
      <c r="M2040">
        <v>2.38</v>
      </c>
      <c r="N2040">
        <v>92.16</v>
      </c>
      <c r="O2040">
        <v>52.21</v>
      </c>
      <c r="P2040">
        <v>11</v>
      </c>
      <c r="Q2040">
        <v>21</v>
      </c>
      <c r="R2040">
        <v>92</v>
      </c>
      <c r="S2040">
        <v>52</v>
      </c>
    </row>
    <row r="2041" spans="1:19" hidden="1" x14ac:dyDescent="0.25">
      <c r="A2041">
        <v>22300873</v>
      </c>
      <c r="B2041" t="s">
        <v>18</v>
      </c>
      <c r="C2041" t="s">
        <v>87</v>
      </c>
      <c r="D2041">
        <v>63</v>
      </c>
      <c r="E2041">
        <v>62</v>
      </c>
      <c r="F2041">
        <v>1</v>
      </c>
      <c r="G2041">
        <v>3</v>
      </c>
      <c r="H2041" s="1">
        <v>2.0601851851851853E-3</v>
      </c>
      <c r="I2041">
        <v>2023</v>
      </c>
      <c r="J2041" t="s">
        <v>83</v>
      </c>
      <c r="K2041" s="2" t="str">
        <f>HYPERLINK("https://www.nba.com/stats/events?CFID=&amp;CFPARAMS=&amp;GameEventID=399&amp;GameID=0022300873&amp;Season=2023-24&amp;flag=1&amp;title=Leonard%20Layup%20(23%20PTS)", "Layup (23 PTS)")</f>
        <v>Layup (23 PTS)</v>
      </c>
      <c r="L2041" s="2" t="str">
        <f>HYPERLINK("https://www.nba.com/game/...-vs-...-0022300873/play-by-play?watchFullGame=true", "LAC vs MIN - Q3 02:58.00")</f>
        <v>LAC vs MIN - Q3 02:58.00</v>
      </c>
      <c r="M2041">
        <v>2.36</v>
      </c>
      <c r="N2041">
        <v>92.51</v>
      </c>
      <c r="O2041">
        <v>53.09</v>
      </c>
      <c r="P2041">
        <v>15</v>
      </c>
      <c r="Q2041">
        <v>18</v>
      </c>
      <c r="R2041">
        <v>92</v>
      </c>
      <c r="S2041">
        <v>53</v>
      </c>
    </row>
    <row r="2042" spans="1:19" hidden="1" x14ac:dyDescent="0.25">
      <c r="A2042">
        <v>42000221</v>
      </c>
      <c r="B2042" t="s">
        <v>18</v>
      </c>
      <c r="C2042" t="s">
        <v>87</v>
      </c>
      <c r="D2042">
        <v>90</v>
      </c>
      <c r="E2042">
        <v>93</v>
      </c>
      <c r="F2042">
        <v>3</v>
      </c>
      <c r="G2042">
        <v>4</v>
      </c>
      <c r="H2042" s="1">
        <v>5.6018518518518518E-3</v>
      </c>
      <c r="I2042" t="s">
        <v>94</v>
      </c>
      <c r="J2042" t="s">
        <v>83</v>
      </c>
      <c r="K2042" s="2" t="str">
        <f>HYPERLINK("https://www.nba.com/stats/events?CFID=&amp;CFPARAMS=&amp;GameEventID=584&amp;GameID=0042000221&amp;Season=2020-21&amp;flag=1&amp;title=Leonard%20cutting%20Layup%20(16%20PTS)%20(R.%20Jackson%203%20AST)", "Cutting Layup (16 PTS) (R. Jackson 3 AST)")</f>
        <v>Cutting Layup (16 PTS) (R. Jackson 3 AST)</v>
      </c>
      <c r="L2042" s="2" t="str">
        <f>HYPERLINK("https://www.nba.com/game/...-vs-...-0042000221/play-by-play?watchFullGame=true", "LAC vs UTA - Q4 08:04.00")</f>
        <v>LAC vs UTA - Q4 08:04.00</v>
      </c>
      <c r="M2042">
        <v>2.36</v>
      </c>
      <c r="N2042">
        <v>92.59</v>
      </c>
      <c r="O2042">
        <v>53.26</v>
      </c>
      <c r="P2042">
        <v>92</v>
      </c>
      <c r="Q2042">
        <v>53</v>
      </c>
      <c r="R2042">
        <v>92</v>
      </c>
      <c r="S2042">
        <v>53</v>
      </c>
    </row>
    <row r="2043" spans="1:19" hidden="1" x14ac:dyDescent="0.25">
      <c r="A2043">
        <v>22000350</v>
      </c>
      <c r="B2043" t="s">
        <v>18</v>
      </c>
      <c r="C2043" t="s">
        <v>87</v>
      </c>
      <c r="D2043">
        <v>71</v>
      </c>
      <c r="E2043">
        <v>61</v>
      </c>
      <c r="F2043">
        <v>10</v>
      </c>
      <c r="G2043">
        <v>3</v>
      </c>
      <c r="H2043" s="1">
        <v>5.2546296296296299E-3</v>
      </c>
      <c r="I2043">
        <v>2020</v>
      </c>
      <c r="J2043" t="s">
        <v>83</v>
      </c>
      <c r="K2043" s="2" t="str">
        <f>HYPERLINK("https://www.nba.com/stats/events?CFID=&amp;CFPARAMS=&amp;GameEventID=368&amp;GameID=0022000350&amp;Season=2020-21&amp;flag=1&amp;title=Leonard%20reverse%20Layup%20(20%20PTS)", "Reverse Layup (20 PTS)")</f>
        <v>Reverse Layup (20 PTS)</v>
      </c>
      <c r="L2043" s="2" t="str">
        <f>HYPERLINK("https://www.nba.com/game/...-vs-...-0022000350/play-by-play?watchFullGame=true", "LAC vs BOS - Q3 07:34.00")</f>
        <v>LAC vs BOS - Q3 07:34.00</v>
      </c>
      <c r="M2043">
        <v>2.35</v>
      </c>
      <c r="N2043">
        <v>92.99</v>
      </c>
      <c r="O2043">
        <v>46.15</v>
      </c>
      <c r="P2043">
        <v>-19</v>
      </c>
      <c r="Q2043">
        <v>13</v>
      </c>
      <c r="R2043">
        <v>92</v>
      </c>
      <c r="S2043">
        <v>46</v>
      </c>
    </row>
    <row r="2044" spans="1:19" hidden="1" x14ac:dyDescent="0.25">
      <c r="A2044">
        <v>22000472</v>
      </c>
      <c r="B2044" t="s">
        <v>18</v>
      </c>
      <c r="C2044" t="s">
        <v>87</v>
      </c>
      <c r="D2044">
        <v>10</v>
      </c>
      <c r="E2044">
        <v>7</v>
      </c>
      <c r="F2044">
        <v>3</v>
      </c>
      <c r="G2044">
        <v>1</v>
      </c>
      <c r="H2044" s="1">
        <v>5.5092592592592589E-3</v>
      </c>
      <c r="I2044">
        <v>2020</v>
      </c>
      <c r="J2044" t="s">
        <v>83</v>
      </c>
      <c r="K2044" s="2" t="str">
        <f>HYPERLINK("https://www.nba.com/stats/events?CFID=&amp;CFPARAMS=&amp;GameEventID=45&amp;GameID=0022000472&amp;Season=2020-21&amp;flag=1&amp;title=Leonard%20driving%20Layup%20(8%20PTS)", "Driving Layup (8 PTS)")</f>
        <v>Driving Layup (8 PTS)</v>
      </c>
      <c r="L2044" s="2" t="str">
        <f>HYPERLINK("https://www.nba.com/game/...-vs-...-0022000472/play-by-play?watchFullGame=true", "LAC vs BKN - Q1 07:56.00")</f>
        <v>LAC vs BKN - Q1 07:56.00</v>
      </c>
      <c r="M2044">
        <v>2.2999999999999998</v>
      </c>
      <c r="N2044">
        <v>92.46</v>
      </c>
      <c r="O2044">
        <v>52.77</v>
      </c>
      <c r="P2044">
        <v>14</v>
      </c>
      <c r="Q2044">
        <v>18</v>
      </c>
      <c r="R2044">
        <v>92</v>
      </c>
      <c r="S2044">
        <v>52</v>
      </c>
    </row>
    <row r="2045" spans="1:19" hidden="1" x14ac:dyDescent="0.25">
      <c r="A2045">
        <v>22000509</v>
      </c>
      <c r="B2045" t="s">
        <v>18</v>
      </c>
      <c r="C2045" t="s">
        <v>87</v>
      </c>
      <c r="D2045">
        <v>24</v>
      </c>
      <c r="E2045">
        <v>19</v>
      </c>
      <c r="F2045">
        <v>5</v>
      </c>
      <c r="G2045">
        <v>1</v>
      </c>
      <c r="H2045" s="1">
        <v>2.2569444444444442E-3</v>
      </c>
      <c r="I2045">
        <v>2020</v>
      </c>
      <c r="J2045" t="s">
        <v>83</v>
      </c>
      <c r="K2045" s="2" t="str">
        <f>HYPERLINK("https://www.nba.com/stats/events?CFID=&amp;CFPARAMS=&amp;GameEventID=107&amp;GameID=0022000509&amp;Season=2020-21&amp;flag=1&amp;title=Leonard%20alley-oop%20Layup%20(8%20PTS)%20(P.%20George%202%20AST)", "Alley-oop Layup (8 PTS) (P. George 2 AST)")</f>
        <v>Alley-oop Layup (8 PTS) (P. George 2 AST)</v>
      </c>
      <c r="L2045" s="2" t="str">
        <f>HYPERLINK("https://www.nba.com/game/...-vs-...-0022000509/play-by-play?watchFullGame=true", "LAC vs MEM - Q1 03:15.00")</f>
        <v>LAC vs MEM - Q1 03:15.00</v>
      </c>
      <c r="M2045">
        <v>2.2799999999999998</v>
      </c>
      <c r="N2045">
        <v>92.59</v>
      </c>
      <c r="O2045">
        <v>53.01</v>
      </c>
      <c r="P2045">
        <v>15</v>
      </c>
      <c r="Q2045">
        <v>17</v>
      </c>
      <c r="R2045">
        <v>92</v>
      </c>
      <c r="S2045">
        <v>53</v>
      </c>
    </row>
    <row r="2046" spans="1:19" hidden="1" x14ac:dyDescent="0.25">
      <c r="A2046">
        <v>42000175</v>
      </c>
      <c r="B2046" t="s">
        <v>18</v>
      </c>
      <c r="C2046" t="s">
        <v>87</v>
      </c>
      <c r="D2046">
        <v>27</v>
      </c>
      <c r="E2046">
        <v>33</v>
      </c>
      <c r="F2046">
        <v>6</v>
      </c>
      <c r="G2046">
        <v>1</v>
      </c>
      <c r="H2046" s="1">
        <v>4.6990740740740744E-4</v>
      </c>
      <c r="I2046" t="s">
        <v>91</v>
      </c>
      <c r="J2046" t="s">
        <v>83</v>
      </c>
      <c r="K2046" s="2" t="str">
        <f>HYPERLINK("https://www.nba.com/stats/events?CFID=&amp;CFPARAMS=&amp;GameEventID=139&amp;GameID=0042000175&amp;Season=2020-21&amp;flag=1&amp;title=Leonard%20driving%20Layup%20(4%20PTS)%20(P.%20George%203%20AST)", "Driving Layup (4 PTS) (P. George 3 AST)")</f>
        <v>Driving Layup (4 PTS) (P. George 3 AST)</v>
      </c>
      <c r="L2046" s="2" t="str">
        <f>HYPERLINK("https://www.nba.com/game/...-vs-...-0042000175/play-by-play?watchFullGame=true", "LAC vs DAL - Q1 00:40.60")</f>
        <v>LAC vs DAL - Q1 00:40.60</v>
      </c>
      <c r="M2046">
        <v>2.2400000000000002</v>
      </c>
      <c r="N2046">
        <v>92.2</v>
      </c>
      <c r="O2046">
        <v>48.35</v>
      </c>
      <c r="P2046">
        <v>92</v>
      </c>
      <c r="Q2046">
        <v>48</v>
      </c>
      <c r="R2046">
        <v>92</v>
      </c>
      <c r="S2046">
        <v>48</v>
      </c>
    </row>
    <row r="2047" spans="1:19" hidden="1" x14ac:dyDescent="0.25">
      <c r="A2047">
        <v>22300304</v>
      </c>
      <c r="B2047" t="s">
        <v>18</v>
      </c>
      <c r="C2047" t="s">
        <v>87</v>
      </c>
      <c r="D2047">
        <v>19</v>
      </c>
      <c r="E2047">
        <v>7</v>
      </c>
      <c r="F2047">
        <v>12</v>
      </c>
      <c r="G2047">
        <v>1</v>
      </c>
      <c r="H2047" s="1">
        <v>5.0000000000000001E-3</v>
      </c>
      <c r="I2047">
        <v>2023</v>
      </c>
      <c r="J2047" t="s">
        <v>83</v>
      </c>
      <c r="K2047" s="2" t="str">
        <f>HYPERLINK("https://www.nba.com/stats/events?CFID=&amp;CFPARAMS=&amp;GameEventID=43&amp;GameID=0022300304&amp;Season=2023-24&amp;flag=1&amp;title=Leonard%20running%20finger%20roll%20Layup%20(4%20PTS)%20(P.%20George%203%20AST)", "Running finger roll Layup (4 PTS) (P. George 3 AST)")</f>
        <v>Running finger roll Layup (4 PTS) (P. George 3 AST)</v>
      </c>
      <c r="L2047" s="2" t="str">
        <f>HYPERLINK("https://www.nba.com/game/...-vs-...-0022300304/play-by-play?watchFullGame=true", "LAC vs POR - Q1 07:12.00")</f>
        <v>LAC vs POR - Q1 07:12.00</v>
      </c>
      <c r="M2047">
        <v>2.2400000000000002</v>
      </c>
      <c r="N2047">
        <v>92.16</v>
      </c>
      <c r="O2047">
        <v>48.53</v>
      </c>
      <c r="P2047">
        <v>-7</v>
      </c>
      <c r="Q2047">
        <v>21</v>
      </c>
      <c r="R2047">
        <v>92</v>
      </c>
      <c r="S2047">
        <v>48</v>
      </c>
    </row>
    <row r="2048" spans="1:19" hidden="1" x14ac:dyDescent="0.25">
      <c r="A2048">
        <v>42000171</v>
      </c>
      <c r="B2048" t="s">
        <v>18</v>
      </c>
      <c r="C2048" t="s">
        <v>87</v>
      </c>
      <c r="D2048">
        <v>10</v>
      </c>
      <c r="E2048">
        <v>19</v>
      </c>
      <c r="F2048">
        <v>9</v>
      </c>
      <c r="G2048">
        <v>1</v>
      </c>
      <c r="H2048" s="1">
        <v>3.8773148148148148E-3</v>
      </c>
      <c r="I2048" t="s">
        <v>91</v>
      </c>
      <c r="J2048" t="s">
        <v>83</v>
      </c>
      <c r="K2048" s="2" t="str">
        <f>HYPERLINK("https://www.nba.com/stats/events?CFID=&amp;CFPARAMS=&amp;GameEventID=84&amp;GameID=0042000171&amp;Season=2020-21&amp;flag=1&amp;title=Leonard%20driving%20reverse%20Layup%20(4%20PTS)", "Driving reverse Layup (4 PTS)")</f>
        <v>Driving reverse Layup (4 PTS)</v>
      </c>
      <c r="L2048" s="2" t="str">
        <f>HYPERLINK("https://www.nba.com/game/...-vs-...-0042000171/play-by-play?watchFullGame=true", "LAC vs DAL - Q1 05:35.00")</f>
        <v>LAC vs DAL - Q1 05:35.00</v>
      </c>
      <c r="M2048">
        <v>2.23</v>
      </c>
      <c r="N2048">
        <v>92.07</v>
      </c>
      <c r="O2048">
        <v>49.33</v>
      </c>
      <c r="P2048">
        <v>92</v>
      </c>
      <c r="Q2048">
        <v>49</v>
      </c>
      <c r="R2048">
        <v>92</v>
      </c>
      <c r="S2048">
        <v>49</v>
      </c>
    </row>
    <row r="2049" spans="1:19" hidden="1" x14ac:dyDescent="0.25">
      <c r="A2049">
        <v>22000799</v>
      </c>
      <c r="B2049" t="s">
        <v>18</v>
      </c>
      <c r="C2049" t="s">
        <v>87</v>
      </c>
      <c r="D2049">
        <v>57</v>
      </c>
      <c r="E2049">
        <v>44</v>
      </c>
      <c r="F2049">
        <v>13</v>
      </c>
      <c r="G2049">
        <v>2</v>
      </c>
      <c r="H2049" s="1">
        <v>2.0486111111111113E-3</v>
      </c>
      <c r="I2049">
        <v>2020</v>
      </c>
      <c r="J2049" t="s">
        <v>83</v>
      </c>
      <c r="K2049" s="2" t="str">
        <f>HYPERLINK("https://www.nba.com/stats/events?CFID=&amp;CFPARAMS=&amp;GameEventID=303&amp;GameID=0022000799&amp;Season=2020-21&amp;flag=1&amp;title=Leonard%20Layup%20(11%20PTS)", "Layup (11 PTS)")</f>
        <v>Layup (11 PTS)</v>
      </c>
      <c r="L2049" s="2" t="str">
        <f>HYPERLINK("https://www.nba.com/game/...-vs-...-0022000799/play-by-play?watchFullGame=true", "LAC vs HOU - Q2 02:57.00")</f>
        <v>LAC vs HOU - Q2 02:57.00</v>
      </c>
      <c r="M2049">
        <v>2.21</v>
      </c>
      <c r="N2049">
        <v>92.07</v>
      </c>
      <c r="O2049">
        <v>50.07</v>
      </c>
      <c r="P2049">
        <v>92</v>
      </c>
      <c r="Q2049">
        <v>22</v>
      </c>
      <c r="R2049">
        <v>92</v>
      </c>
      <c r="S2049">
        <v>50</v>
      </c>
    </row>
    <row r="2050" spans="1:19" hidden="1" x14ac:dyDescent="0.25">
      <c r="A2050">
        <v>22200604</v>
      </c>
      <c r="B2050" t="s">
        <v>18</v>
      </c>
      <c r="C2050" t="s">
        <v>88</v>
      </c>
      <c r="D2050">
        <v>24</v>
      </c>
      <c r="E2050">
        <v>19</v>
      </c>
      <c r="F2050">
        <v>5</v>
      </c>
      <c r="G2050">
        <v>1</v>
      </c>
      <c r="H2050" s="1">
        <v>2.3263888888888887E-3</v>
      </c>
      <c r="I2050">
        <v>2022</v>
      </c>
      <c r="J2050" t="s">
        <v>83</v>
      </c>
      <c r="K2050" s="2" t="str">
        <f>HYPERLINK("https://www.nba.com/stats/events?CFID=&amp;CFPARAMS=&amp;GameEventID=108&amp;GameID=0022200604&amp;Season=2022-23&amp;flag=1&amp;title=Leonard%20running%20DUNK%20(6%20PTS)%20(N.%20Powell%202%20AST)", "Running DUNK (6 PTS) (N. Powell 2 AST)")</f>
        <v>Running DUNK (6 PTS) (N. Powell 2 AST)</v>
      </c>
      <c r="L2050" s="2" t="str">
        <f>HYPERLINK("https://www.nba.com/game/...-vs-...-0022200604/play-by-play?watchFullGame=true", "LAC vs ATL - Q1 03:21.00")</f>
        <v>LAC vs ATL - Q1 03:21.00</v>
      </c>
      <c r="M2050">
        <v>1.89</v>
      </c>
      <c r="N2050">
        <v>92.56</v>
      </c>
      <c r="O2050">
        <v>48.53</v>
      </c>
      <c r="P2050">
        <v>-7</v>
      </c>
      <c r="Q2050">
        <v>17</v>
      </c>
      <c r="R2050">
        <v>92</v>
      </c>
      <c r="S2050">
        <v>48</v>
      </c>
    </row>
    <row r="2051" spans="1:19" hidden="1" x14ac:dyDescent="0.25">
      <c r="A2051">
        <v>22000720</v>
      </c>
      <c r="B2051" t="s">
        <v>18</v>
      </c>
      <c r="C2051" t="s">
        <v>87</v>
      </c>
      <c r="D2051">
        <v>67</v>
      </c>
      <c r="E2051">
        <v>59</v>
      </c>
      <c r="F2051">
        <v>8</v>
      </c>
      <c r="G2051">
        <v>3</v>
      </c>
      <c r="H2051" s="1">
        <v>2.0601851851851853E-3</v>
      </c>
      <c r="I2051">
        <v>2020</v>
      </c>
      <c r="J2051" t="s">
        <v>83</v>
      </c>
      <c r="K2051" s="2" t="str">
        <f>HYPERLINK("https://www.nba.com/stats/events?CFID=&amp;CFPARAMS=&amp;GameEventID=396&amp;GameID=0022000720&amp;Season=2020-21&amp;flag=1&amp;title=Leonard%20driving%20reverse%20Layup%20(23%20PTS)", "Driving reverse Layup (23 PTS)")</f>
        <v>Driving reverse Layup (23 PTS)</v>
      </c>
      <c r="L2051" s="2" t="str">
        <f>HYPERLINK("https://www.nba.com/game/...-vs-...-0022000720/play-by-play?watchFullGame=true", "LAC vs ORL - Q3 02:58.00")</f>
        <v>LAC vs ORL - Q3 02:58.00</v>
      </c>
      <c r="M2051">
        <v>2.15</v>
      </c>
      <c r="N2051">
        <v>92.99</v>
      </c>
      <c r="O2051">
        <v>46.64</v>
      </c>
      <c r="P2051">
        <v>-17</v>
      </c>
      <c r="Q2051">
        <v>13</v>
      </c>
      <c r="R2051">
        <v>92</v>
      </c>
      <c r="S2051">
        <v>46</v>
      </c>
    </row>
    <row r="2052" spans="1:19" hidden="1" x14ac:dyDescent="0.25">
      <c r="A2052">
        <v>22300024</v>
      </c>
      <c r="B2052" t="s">
        <v>18</v>
      </c>
      <c r="C2052" t="s">
        <v>87</v>
      </c>
      <c r="D2052">
        <v>14</v>
      </c>
      <c r="E2052">
        <v>11</v>
      </c>
      <c r="F2052">
        <v>3</v>
      </c>
      <c r="G2052">
        <v>1</v>
      </c>
      <c r="H2052" s="1">
        <v>4.5254629629629629E-3</v>
      </c>
      <c r="I2052">
        <v>2023</v>
      </c>
      <c r="J2052" t="s">
        <v>83</v>
      </c>
      <c r="K2052" s="2" t="str">
        <f>HYPERLINK("https://www.nba.com/stats/events?CFID=&amp;CFPARAMS=&amp;GameEventID=69&amp;GameID=0022300024&amp;Season=2023-24&amp;flag=1&amp;title=Leonard%20cutting%20Layup%20(2%20PTS)%20(I.%20Zubac%202%20AST)", "Cutting Layup (2 PTS) (I. Zubac 2 AST)")</f>
        <v>Cutting Layup (2 PTS) (I. Zubac 2 AST)</v>
      </c>
      <c r="L2052" s="2" t="str">
        <f>HYPERLINK("https://www.nba.com/game/...-vs-...-0022300024/play-by-play?watchFullGame=true", "LAC vs DEN - Q1 06:31.00")</f>
        <v>LAC vs DEN - Q1 06:31.00</v>
      </c>
      <c r="M2052">
        <v>2.14</v>
      </c>
      <c r="N2052">
        <v>92.2</v>
      </c>
      <c r="O2052">
        <v>50.98</v>
      </c>
      <c r="P2052">
        <v>5</v>
      </c>
      <c r="Q2052">
        <v>21</v>
      </c>
      <c r="R2052">
        <v>92</v>
      </c>
      <c r="S2052">
        <v>50</v>
      </c>
    </row>
    <row r="2053" spans="1:19" hidden="1" x14ac:dyDescent="0.25">
      <c r="A2053">
        <v>22000520</v>
      </c>
      <c r="B2053" t="s">
        <v>18</v>
      </c>
      <c r="C2053" t="s">
        <v>89</v>
      </c>
      <c r="D2053">
        <v>13</v>
      </c>
      <c r="E2053">
        <v>15</v>
      </c>
      <c r="F2053">
        <v>2</v>
      </c>
      <c r="G2053">
        <v>1</v>
      </c>
      <c r="H2053" s="1">
        <v>3.9236111111111112E-3</v>
      </c>
      <c r="I2053">
        <v>2020</v>
      </c>
      <c r="J2053" t="s">
        <v>83</v>
      </c>
      <c r="K2053" s="2" t="str">
        <f>HYPERLINK("https://www.nba.com/stats/events?CFID=&amp;CFPARAMS=&amp;GameEventID=62&amp;GameID=0022000520&amp;Season=2020-21&amp;flag=1&amp;title=Leonard%20driving%20Hook%20(5%20PTS)", "Driving Hook (5 PTS)")</f>
        <v>Driving Hook (5 PTS)</v>
      </c>
      <c r="L2053" s="2" t="str">
        <f>HYPERLINK("https://www.nba.com/game/...-vs-...-0022000520/play-by-play?watchFullGame=true", "LAC vs MIL - Q1 05:39.00")</f>
        <v>LAC vs MIL - Q1 05:39.00</v>
      </c>
      <c r="M2053">
        <v>2.12</v>
      </c>
      <c r="N2053">
        <v>92.2</v>
      </c>
      <c r="O2053">
        <v>50.8</v>
      </c>
      <c r="P2053">
        <v>4</v>
      </c>
      <c r="Q2053">
        <v>21</v>
      </c>
      <c r="R2053">
        <v>92</v>
      </c>
      <c r="S2053">
        <v>50</v>
      </c>
    </row>
    <row r="2054" spans="1:19" hidden="1" x14ac:dyDescent="0.25">
      <c r="A2054">
        <v>22000239</v>
      </c>
      <c r="B2054" t="s">
        <v>18</v>
      </c>
      <c r="C2054" t="s">
        <v>87</v>
      </c>
      <c r="D2054">
        <v>6</v>
      </c>
      <c r="E2054">
        <v>6</v>
      </c>
      <c r="F2054">
        <v>0</v>
      </c>
      <c r="G2054">
        <v>1</v>
      </c>
      <c r="H2054" s="1">
        <v>6.3310185185185188E-3</v>
      </c>
      <c r="I2054">
        <v>2020</v>
      </c>
      <c r="J2054" t="s">
        <v>83</v>
      </c>
      <c r="K2054" s="2" t="str">
        <f>HYPERLINK("https://www.nba.com/stats/events?CFID=&amp;CFPARAMS=&amp;GameEventID=38&amp;GameID=0022000239&amp;Season=2020-21&amp;flag=1&amp;title=Leonard%20driving%20finger%20roll%20Layup%20(2%20PTS)", "Driving finger roll Layup (2 PTS)")</f>
        <v>Driving finger roll Layup (2 PTS)</v>
      </c>
      <c r="L2054" s="2" t="str">
        <f>HYPERLINK("https://www.nba.com/game/...-vs-...-0022000239/play-by-play?watchFullGame=true", "LAC vs OKC - Q1 09:07.00")</f>
        <v>LAC vs OKC - Q1 09:07.00</v>
      </c>
      <c r="M2054">
        <v>2.08</v>
      </c>
      <c r="N2054">
        <v>92.2</v>
      </c>
      <c r="O2054">
        <v>50.07</v>
      </c>
      <c r="P2054">
        <v>92</v>
      </c>
      <c r="Q2054">
        <v>21</v>
      </c>
      <c r="R2054">
        <v>92</v>
      </c>
      <c r="S2054">
        <v>50</v>
      </c>
    </row>
    <row r="2055" spans="1:19" hidden="1" x14ac:dyDescent="0.25">
      <c r="A2055">
        <v>22000775</v>
      </c>
      <c r="B2055" t="s">
        <v>18</v>
      </c>
      <c r="C2055" t="s">
        <v>87</v>
      </c>
      <c r="D2055">
        <v>9</v>
      </c>
      <c r="E2055">
        <v>3</v>
      </c>
      <c r="F2055">
        <v>6</v>
      </c>
      <c r="G2055">
        <v>1</v>
      </c>
      <c r="H2055" s="1">
        <v>6.8402777777777776E-3</v>
      </c>
      <c r="I2055">
        <v>2020</v>
      </c>
      <c r="J2055" t="s">
        <v>83</v>
      </c>
      <c r="K2055" s="2" t="str">
        <f>HYPERLINK("https://www.nba.com/stats/events?CFID=&amp;CFPARAMS=&amp;GameEventID=21&amp;GameID=0022000775&amp;Season=2020-21&amp;flag=1&amp;title=Leonard%20driving%20reverse%20Layup%20(2%20PTS)", "Driving reverse Layup (2 PTS)")</f>
        <v>Driving reverse Layup (2 PTS)</v>
      </c>
      <c r="L2055" s="2" t="str">
        <f>HYPERLINK("https://www.nba.com/game/...-vs-...-0022000775/play-by-play?watchFullGame=true", "LAC vs POR - Q1 09:51.00")</f>
        <v>LAC vs POR - Q1 09:51.00</v>
      </c>
      <c r="M2055">
        <v>2.08</v>
      </c>
      <c r="N2055">
        <v>92.59</v>
      </c>
      <c r="O2055">
        <v>47.62</v>
      </c>
      <c r="P2055">
        <v>-12</v>
      </c>
      <c r="Q2055">
        <v>17</v>
      </c>
      <c r="R2055">
        <v>92</v>
      </c>
      <c r="S2055">
        <v>47</v>
      </c>
    </row>
    <row r="2056" spans="1:19" hidden="1" x14ac:dyDescent="0.25">
      <c r="A2056">
        <v>22000366</v>
      </c>
      <c r="B2056" t="s">
        <v>18</v>
      </c>
      <c r="C2056" t="s">
        <v>87</v>
      </c>
      <c r="D2056">
        <v>5</v>
      </c>
      <c r="E2056">
        <v>4</v>
      </c>
      <c r="F2056">
        <v>1</v>
      </c>
      <c r="G2056">
        <v>1</v>
      </c>
      <c r="H2056" s="1">
        <v>6.4351851851851853E-3</v>
      </c>
      <c r="I2056">
        <v>2020</v>
      </c>
      <c r="J2056" t="s">
        <v>83</v>
      </c>
      <c r="K2056" s="2" t="str">
        <f>HYPERLINK("https://www.nba.com/stats/events?CFID=&amp;CFPARAMS=&amp;GameEventID=32&amp;GameID=0022000366&amp;Season=2020-21&amp;flag=1&amp;title=Leonard%20alley-oop%20Layup%20(2%20PTS)%20(R.%20Jackson%201%20AST)", "Alley-oop Layup (2 PTS) (R. Jackson 1 AST)")</f>
        <v>Alley-oop Layup (2 PTS) (R. Jackson 1 AST)</v>
      </c>
      <c r="L2056" s="2" t="str">
        <f>HYPERLINK("https://www.nba.com/game/...-vs-...-0022000366/play-by-play?watchFullGame=true", "LAC vs SAC - Q1 09:16.00")</f>
        <v>LAC vs SAC - Q1 09:16.00</v>
      </c>
      <c r="M2056">
        <v>2.06</v>
      </c>
      <c r="N2056">
        <v>92.85</v>
      </c>
      <c r="O2056">
        <v>47.13</v>
      </c>
      <c r="P2056">
        <v>-14</v>
      </c>
      <c r="Q2056">
        <v>15</v>
      </c>
      <c r="R2056">
        <v>92</v>
      </c>
      <c r="S2056">
        <v>47</v>
      </c>
    </row>
    <row r="2057" spans="1:19" hidden="1" x14ac:dyDescent="0.25">
      <c r="A2057">
        <v>21900051</v>
      </c>
      <c r="B2057" t="s">
        <v>18</v>
      </c>
      <c r="C2057" t="s">
        <v>90</v>
      </c>
      <c r="D2057">
        <v>40</v>
      </c>
      <c r="E2057">
        <v>40</v>
      </c>
      <c r="F2057">
        <v>0</v>
      </c>
      <c r="G2057">
        <v>2</v>
      </c>
      <c r="H2057" s="1">
        <v>5.162037037037037E-3</v>
      </c>
      <c r="I2057">
        <v>2019</v>
      </c>
      <c r="J2057" t="s">
        <v>83</v>
      </c>
      <c r="K2057" s="2" t="str">
        <f>HYPERLINK("https://www.nba.com/stats/events?CFID=&amp;CFPARAMS=&amp;GameEventID=217&amp;GameID=0021900051&amp;Season=2019-20&amp;flag=1&amp;title=[LAC]%20Leonard%20layup:%20Made%20(12%20PTS)%20assist:%20Williams%20(2%20AST)", "[LAC] Leonard layup: Made (12 PTS) assist: Williams (2 AST)")</f>
        <v>[LAC] Leonard layup: Made (12 PTS) assist: Williams (2 AST)</v>
      </c>
      <c r="L2057" s="2" t="str">
        <f>HYPERLINK("https://www.nba.com/game/...-vs-...-0021900051/play-by-play?watchFullGame=true", "LAC vs CHA - Q2 07:26.00")</f>
        <v>LAC vs CHA - Q2 07:26.00</v>
      </c>
      <c r="M2057">
        <v>2.0099999999999998</v>
      </c>
      <c r="N2057">
        <v>92.95</v>
      </c>
      <c r="O2057">
        <v>51.16</v>
      </c>
      <c r="P2057">
        <v>6</v>
      </c>
      <c r="Q2057">
        <v>14</v>
      </c>
      <c r="R2057">
        <v>92</v>
      </c>
      <c r="S2057">
        <v>51</v>
      </c>
    </row>
    <row r="2058" spans="1:19" hidden="1" x14ac:dyDescent="0.25">
      <c r="A2058">
        <v>22301079</v>
      </c>
      <c r="B2058" t="s">
        <v>18</v>
      </c>
      <c r="C2058" t="s">
        <v>88</v>
      </c>
      <c r="D2058">
        <v>22</v>
      </c>
      <c r="E2058">
        <v>15</v>
      </c>
      <c r="F2058">
        <v>7</v>
      </c>
      <c r="G2058">
        <v>1</v>
      </c>
      <c r="H2058" s="1">
        <v>1.8981481481481482E-3</v>
      </c>
      <c r="I2058">
        <v>2023</v>
      </c>
      <c r="J2058" t="s">
        <v>83</v>
      </c>
      <c r="K2058" s="2" t="str">
        <f>HYPERLINK("https://www.nba.com/stats/events?CFID=&amp;CFPARAMS=&amp;GameEventID=85&amp;GameID=0022301079&amp;Season=2023-24&amp;flag=1&amp;title=Leonard%20DUNK%20(6%20PTS)%20(I.%20Zubac%201%20AST)", "DUNK (6 PTS) (I. Zubac 1 AST)")</f>
        <v>DUNK (6 PTS) (I. Zubac 1 AST)</v>
      </c>
      <c r="L2058" s="2" t="str">
        <f>HYPERLINK("https://www.nba.com/game/...-vs-...-0022301079/play-by-play?watchFullGame=true", "LAC vs CHA - Q1 02:44.00")</f>
        <v>LAC vs CHA - Q1 02:44.00</v>
      </c>
      <c r="M2058">
        <v>2.17</v>
      </c>
      <c r="N2058">
        <v>92.2</v>
      </c>
      <c r="O2058">
        <v>48.77</v>
      </c>
      <c r="P2058">
        <v>-6</v>
      </c>
      <c r="Q2058">
        <v>21</v>
      </c>
      <c r="R2058">
        <v>92</v>
      </c>
      <c r="S2058">
        <v>48</v>
      </c>
    </row>
    <row r="2059" spans="1:19" hidden="1" x14ac:dyDescent="0.25">
      <c r="A2059">
        <v>22300074</v>
      </c>
      <c r="B2059" t="s">
        <v>18</v>
      </c>
      <c r="C2059" t="s">
        <v>88</v>
      </c>
      <c r="D2059">
        <v>2</v>
      </c>
      <c r="E2059">
        <v>0</v>
      </c>
      <c r="F2059">
        <v>2</v>
      </c>
      <c r="G2059">
        <v>1</v>
      </c>
      <c r="H2059" s="1">
        <v>7.5925925925925926E-3</v>
      </c>
      <c r="I2059">
        <v>2023</v>
      </c>
      <c r="J2059" t="s">
        <v>83</v>
      </c>
      <c r="K2059" s="2" t="str">
        <f>HYPERLINK("https://www.nba.com/stats/events?CFID=&amp;CFPARAMS=&amp;GameEventID=17&amp;GameID=0022300074&amp;Season=2023-24&amp;flag=1&amp;title=Leonard%20cutting%20DUNK%20(2%20PTS)%20(P.%20George%201%20AST)", "Cutting DUNK (2 PTS) (P. George 1 AST)")</f>
        <v>Cutting DUNK (2 PTS) (P. George 1 AST)</v>
      </c>
      <c r="L2059" s="2" t="str">
        <f>HYPERLINK("https://www.nba.com/game/...-vs-...-0022300074/play-by-play?watchFullGame=true", "LAC vs POR - Q1 10:56.00")</f>
        <v>LAC vs POR - Q1 10:56.00</v>
      </c>
      <c r="M2059">
        <v>1.73</v>
      </c>
      <c r="N2059">
        <v>92.69</v>
      </c>
      <c r="O2059">
        <v>48.77</v>
      </c>
      <c r="P2059">
        <v>-6</v>
      </c>
      <c r="Q2059">
        <v>16</v>
      </c>
      <c r="R2059">
        <v>92</v>
      </c>
      <c r="S2059">
        <v>48</v>
      </c>
    </row>
    <row r="2060" spans="1:19" hidden="1" x14ac:dyDescent="0.25">
      <c r="A2060">
        <v>22300325</v>
      </c>
      <c r="B2060" t="s">
        <v>18</v>
      </c>
      <c r="C2060" t="s">
        <v>88</v>
      </c>
      <c r="D2060">
        <v>90</v>
      </c>
      <c r="E2060">
        <v>79</v>
      </c>
      <c r="F2060">
        <v>11</v>
      </c>
      <c r="G2060">
        <v>3</v>
      </c>
      <c r="H2060" s="1">
        <v>3.5532407407407409E-3</v>
      </c>
      <c r="I2060">
        <v>2023</v>
      </c>
      <c r="J2060" t="s">
        <v>83</v>
      </c>
      <c r="K2060" s="2" t="str">
        <f>HYPERLINK("https://www.nba.com/stats/events?CFID=&amp;CFPARAMS=&amp;GameEventID=429&amp;GameID=0022300325&amp;Season=2023-24&amp;flag=1&amp;title=Leonard%20running%20DUNK%20(23%20PTS)%20(J.%20Harden%2014%20AST)", "Running DUNK (23 PTS) (J. Harden 14 AST)")</f>
        <v>Running DUNK (23 PTS) (J. Harden 14 AST)</v>
      </c>
      <c r="L2060" s="2" t="str">
        <f>HYPERLINK("https://www.nba.com/game/...-vs-...-0022300325/play-by-play?watchFullGame=true", "LAC vs GSW - Q3 05:07.00")</f>
        <v>LAC vs GSW - Q3 05:07.00</v>
      </c>
      <c r="M2060">
        <v>2.0499999999999998</v>
      </c>
      <c r="N2060">
        <v>92.3</v>
      </c>
      <c r="O2060">
        <v>49.02</v>
      </c>
      <c r="P2060">
        <v>-5</v>
      </c>
      <c r="Q2060">
        <v>20</v>
      </c>
      <c r="R2060">
        <v>92</v>
      </c>
      <c r="S2060">
        <v>49</v>
      </c>
    </row>
    <row r="2061" spans="1:19" hidden="1" x14ac:dyDescent="0.25">
      <c r="A2061">
        <v>22000644</v>
      </c>
      <c r="B2061" t="s">
        <v>18</v>
      </c>
      <c r="C2061" t="s">
        <v>88</v>
      </c>
      <c r="D2061">
        <v>50</v>
      </c>
      <c r="E2061">
        <v>30</v>
      </c>
      <c r="F2061">
        <v>20</v>
      </c>
      <c r="G2061">
        <v>2</v>
      </c>
      <c r="H2061" s="1">
        <v>4.7685185185185183E-3</v>
      </c>
      <c r="I2061">
        <v>2020</v>
      </c>
      <c r="J2061" t="s">
        <v>83</v>
      </c>
      <c r="K2061" s="2" t="str">
        <f>HYPERLINK("https://www.nba.com/stats/events?CFID=&amp;CFPARAMS=&amp;GameEventID=221&amp;GameID=0022000644&amp;Season=2020-21&amp;flag=1&amp;title=Leonard%20running%20alley-oop%20DUNK%20(6%20PTS)%20(P.%20George%205%20AST)", "Running alley-oop DUNK (6 PTS) (P. George 5 AST)")</f>
        <v>Running alley-oop DUNK (6 PTS) (P. George 5 AST)</v>
      </c>
      <c r="L2061" s="2" t="str">
        <f>HYPERLINK("https://www.nba.com/game/...-vs-...-0022000644/play-by-play?watchFullGame=true", "LAC vs CHA - Q2 06:52.00")</f>
        <v>LAC vs CHA - Q2 06:52.00</v>
      </c>
      <c r="M2061">
        <v>1.42</v>
      </c>
      <c r="N2061">
        <v>92.99</v>
      </c>
      <c r="O2061">
        <v>49.09</v>
      </c>
      <c r="P2061">
        <v>-5</v>
      </c>
      <c r="Q2061">
        <v>13</v>
      </c>
      <c r="R2061">
        <v>92</v>
      </c>
      <c r="S2061">
        <v>49</v>
      </c>
    </row>
    <row r="2062" spans="1:19" hidden="1" x14ac:dyDescent="0.25">
      <c r="A2062">
        <v>22200970</v>
      </c>
      <c r="B2062" t="s">
        <v>18</v>
      </c>
      <c r="C2062" t="s">
        <v>88</v>
      </c>
      <c r="D2062">
        <v>81</v>
      </c>
      <c r="E2062">
        <v>76</v>
      </c>
      <c r="F2062">
        <v>5</v>
      </c>
      <c r="G2062">
        <v>3</v>
      </c>
      <c r="H2062" s="1">
        <v>5.5671296296296293E-3</v>
      </c>
      <c r="I2062">
        <v>2022</v>
      </c>
      <c r="J2062" t="s">
        <v>83</v>
      </c>
      <c r="K2062" s="2" t="str">
        <f>HYPERLINK("https://www.nba.com/stats/events?CFID=&amp;CFPARAMS=&amp;GameEventID=384&amp;GameID=0022200970&amp;Season=2022-23&amp;flag=1&amp;title=Leonard%20cutting%20DUNK%20(16%20PTS)%20(R.%20Westbrook%204%20AST)", "Cutting DUNK (16 PTS) (R. Westbrook 4 AST)")</f>
        <v>Cutting DUNK (16 PTS) (R. Westbrook 4 AST)</v>
      </c>
      <c r="L2062" s="2" t="str">
        <f>HYPERLINK("https://www.nba.com/game/...-vs-...-0022200970/play-by-play?watchFullGame=true", "LAC vs MEM - Q3 08:01.00")</f>
        <v>LAC vs MEM - Q3 08:01.00</v>
      </c>
      <c r="M2062">
        <v>2.27</v>
      </c>
      <c r="N2062">
        <v>92.03</v>
      </c>
      <c r="O2062">
        <v>49.26</v>
      </c>
      <c r="P2062">
        <v>-4</v>
      </c>
      <c r="Q2062">
        <v>22</v>
      </c>
      <c r="R2062">
        <v>92</v>
      </c>
      <c r="S2062">
        <v>49</v>
      </c>
    </row>
    <row r="2063" spans="1:19" hidden="1" x14ac:dyDescent="0.25">
      <c r="A2063">
        <v>22201196</v>
      </c>
      <c r="B2063" t="s">
        <v>18</v>
      </c>
      <c r="C2063" t="s">
        <v>88</v>
      </c>
      <c r="D2063">
        <v>12</v>
      </c>
      <c r="E2063">
        <v>3</v>
      </c>
      <c r="F2063">
        <v>9</v>
      </c>
      <c r="G2063">
        <v>1</v>
      </c>
      <c r="H2063" s="1">
        <v>6.1342592592592594E-3</v>
      </c>
      <c r="I2063">
        <v>2022</v>
      </c>
      <c r="J2063" t="s">
        <v>83</v>
      </c>
      <c r="K2063" s="2" t="str">
        <f>HYPERLINK("https://www.nba.com/stats/events?CFID=&amp;CFPARAMS=&amp;GameEventID=37&amp;GameID=0022201196&amp;Season=2022-23&amp;flag=1&amp;title=Leonard%20running%20DUNK%20(4%20PTS)%20(E.%20Gordon%201%20AST)", "Running DUNK (4 PTS) (E. Gordon 1 AST)")</f>
        <v>Running DUNK (4 PTS) (E. Gordon 1 AST)</v>
      </c>
      <c r="L2063" s="2" t="str">
        <f>HYPERLINK("https://www.nba.com/game/...-vs-...-0022201196/play-by-play?watchFullGame=true", "LAC vs LAL - Q1 08:50.00")</f>
        <v>LAC vs LAL - Q1 08:50.00</v>
      </c>
      <c r="M2063">
        <v>2.02</v>
      </c>
      <c r="N2063">
        <v>92.3</v>
      </c>
      <c r="O2063">
        <v>49.26</v>
      </c>
      <c r="P2063">
        <v>-4</v>
      </c>
      <c r="Q2063">
        <v>20</v>
      </c>
      <c r="R2063">
        <v>92</v>
      </c>
      <c r="S2063">
        <v>49</v>
      </c>
    </row>
    <row r="2064" spans="1:19" hidden="1" x14ac:dyDescent="0.25">
      <c r="A2064">
        <v>22400927</v>
      </c>
      <c r="B2064" t="s">
        <v>18</v>
      </c>
      <c r="C2064" t="s">
        <v>87</v>
      </c>
      <c r="D2064">
        <v>22</v>
      </c>
      <c r="E2064">
        <v>23</v>
      </c>
      <c r="F2064">
        <v>1</v>
      </c>
      <c r="G2064">
        <v>2</v>
      </c>
      <c r="H2064" s="1">
        <v>8.0787037037037043E-3</v>
      </c>
      <c r="I2064">
        <v>2024</v>
      </c>
      <c r="J2064" t="s">
        <v>83</v>
      </c>
      <c r="K2064" s="2" t="str">
        <f>HYPERLINK("https://www.nba.com/stats/events?CFID=&amp;CFPARAMS=&amp;GameEventID=141&amp;GameID=0022400927&amp;Season=2024-25&amp;flag=1&amp;title=Leonard%20driving%20Layup%20(5%20PTS)%20(B.%20Bogdanovic%201%20AST)", "Driving Layup (5 PTS) (B. Bogdanovic 1 AST)")</f>
        <v>Driving Layup (5 PTS) (B. Bogdanovic 1 AST)</v>
      </c>
      <c r="L2064" s="2" t="str">
        <f>HYPERLINK("https://www.nba.com/game/...-vs-...-0022400927/play-by-play?watchFullGame=true", "LAC vs SAC - Q2 11:38.00")</f>
        <v>LAC vs SAC - Q2 11:38.00</v>
      </c>
      <c r="M2064">
        <v>1.99</v>
      </c>
      <c r="N2064">
        <v>92.33</v>
      </c>
      <c r="O2064">
        <v>50.74</v>
      </c>
      <c r="P2064">
        <v>4</v>
      </c>
      <c r="Q2064">
        <v>20</v>
      </c>
      <c r="R2064">
        <v>92</v>
      </c>
      <c r="S2064">
        <v>50</v>
      </c>
    </row>
    <row r="2065" spans="1:19" hidden="1" x14ac:dyDescent="0.25">
      <c r="A2065">
        <v>22400927</v>
      </c>
      <c r="B2065" t="s">
        <v>18</v>
      </c>
      <c r="C2065" t="s">
        <v>87</v>
      </c>
      <c r="D2065">
        <v>39</v>
      </c>
      <c r="E2065">
        <v>42</v>
      </c>
      <c r="F2065">
        <v>3</v>
      </c>
      <c r="G2065">
        <v>2</v>
      </c>
      <c r="H2065" s="1">
        <v>3.1018518518518517E-3</v>
      </c>
      <c r="I2065">
        <v>2024</v>
      </c>
      <c r="J2065" t="s">
        <v>83</v>
      </c>
      <c r="K2065" s="2" t="str">
        <f>HYPERLINK("https://www.nba.com/stats/events?CFID=&amp;CFPARAMS=&amp;GameEventID=232&amp;GameID=0022400927&amp;Season=2024-25&amp;flag=1&amp;title=Leonard%20running%20Layup%20(9%20PTS)%20(J.%20Harden%203%20AST)", "Running Layup (9 PTS) (J. Harden 3 AST)")</f>
        <v>Running Layup (9 PTS) (J. Harden 3 AST)</v>
      </c>
      <c r="L2065" s="2" t="str">
        <f>HYPERLINK("https://www.nba.com/game/...-vs-...-0022400927/play-by-play?watchFullGame=true", "LAC vs SAC - Q2 04:28.00")</f>
        <v>LAC vs SAC - Q2 04:28.00</v>
      </c>
      <c r="M2065">
        <v>1.96</v>
      </c>
      <c r="N2065">
        <v>92.33</v>
      </c>
      <c r="O2065">
        <v>49.75</v>
      </c>
      <c r="P2065">
        <v>-1</v>
      </c>
      <c r="Q2065">
        <v>20</v>
      </c>
      <c r="R2065">
        <v>92</v>
      </c>
      <c r="S2065">
        <v>49</v>
      </c>
    </row>
    <row r="2066" spans="1:19" hidden="1" x14ac:dyDescent="0.25">
      <c r="A2066">
        <v>22200735</v>
      </c>
      <c r="B2066" t="s">
        <v>18</v>
      </c>
      <c r="C2066" t="s">
        <v>87</v>
      </c>
      <c r="D2066">
        <v>5</v>
      </c>
      <c r="E2066">
        <v>3</v>
      </c>
      <c r="F2066">
        <v>2</v>
      </c>
      <c r="G2066">
        <v>1</v>
      </c>
      <c r="H2066" s="1">
        <v>7.2106481481481483E-3</v>
      </c>
      <c r="I2066">
        <v>2022</v>
      </c>
      <c r="J2066" t="s">
        <v>83</v>
      </c>
      <c r="K2066" s="2" t="str">
        <f>HYPERLINK("https://www.nba.com/stats/events?CFID=&amp;CFPARAMS=&amp;GameEventID=20&amp;GameID=0022200735&amp;Season=2022-23&amp;flag=1&amp;title=Leonard%20driving%20Layup%20(2%20PTS)%20(P.%20George%201%20AST)", "Driving Layup (2 PTS) (P. George 1 AST)")</f>
        <v>Driving Layup (2 PTS) (P. George 1 AST)</v>
      </c>
      <c r="L2066" s="2" t="str">
        <f>HYPERLINK("https://www.nba.com/game/...-vs-...-0022200735/play-by-play?watchFullGame=true", "LAC vs SAS - Q1 10:23.00")</f>
        <v>LAC vs SAS - Q1 10:23.00</v>
      </c>
      <c r="M2066">
        <v>1.94</v>
      </c>
      <c r="N2066">
        <v>92.56</v>
      </c>
      <c r="O2066">
        <v>51.72</v>
      </c>
      <c r="P2066">
        <v>9</v>
      </c>
      <c r="Q2066">
        <v>17</v>
      </c>
      <c r="R2066">
        <v>92</v>
      </c>
      <c r="S2066">
        <v>51</v>
      </c>
    </row>
    <row r="2067" spans="1:19" hidden="1" x14ac:dyDescent="0.25">
      <c r="A2067">
        <v>21900523</v>
      </c>
      <c r="B2067" t="s">
        <v>18</v>
      </c>
      <c r="C2067" t="s">
        <v>90</v>
      </c>
      <c r="D2067">
        <v>66</v>
      </c>
      <c r="E2067">
        <v>79</v>
      </c>
      <c r="F2067">
        <v>13</v>
      </c>
      <c r="G2067">
        <v>3</v>
      </c>
      <c r="H2067" s="1">
        <v>5.2777777777777779E-3</v>
      </c>
      <c r="I2067">
        <v>2019</v>
      </c>
      <c r="J2067" t="s">
        <v>83</v>
      </c>
      <c r="K2067" s="2" t="str">
        <f>HYPERLINK("https://www.nba.com/stats/events?CFID=&amp;CFPARAMS=&amp;GameEventID=415&amp;GameID=0021900523&amp;Season=2019-20&amp;flag=1&amp;title=Leonard%20layup%20(22%20PTS)", "Layup (22 PTS)")</f>
        <v>Layup (22 PTS)</v>
      </c>
      <c r="L2067" s="2" t="str">
        <f>HYPERLINK("https://www.nba.com/game/...-vs-...-0021900523/play-by-play?watchFullGame=true", "LAC vs MEM - Q3 07:36.00")</f>
        <v>LAC vs MEM - Q3 07:36.00</v>
      </c>
      <c r="M2067">
        <v>1.93</v>
      </c>
      <c r="N2067">
        <v>92.95</v>
      </c>
      <c r="O2067">
        <v>50.42</v>
      </c>
      <c r="P2067">
        <v>2</v>
      </c>
      <c r="Q2067">
        <v>14</v>
      </c>
      <c r="R2067">
        <v>92</v>
      </c>
      <c r="S2067">
        <v>50</v>
      </c>
    </row>
    <row r="2068" spans="1:19" hidden="1" x14ac:dyDescent="0.25">
      <c r="A2068">
        <v>22200649</v>
      </c>
      <c r="B2068" t="s">
        <v>18</v>
      </c>
      <c r="C2068" t="s">
        <v>87</v>
      </c>
      <c r="D2068">
        <v>7</v>
      </c>
      <c r="E2068">
        <v>6</v>
      </c>
      <c r="F2068">
        <v>1</v>
      </c>
      <c r="G2068">
        <v>1</v>
      </c>
      <c r="H2068" s="1">
        <v>6.3194444444444444E-3</v>
      </c>
      <c r="I2068">
        <v>2022</v>
      </c>
      <c r="J2068" t="s">
        <v>83</v>
      </c>
      <c r="K2068" s="2" t="str">
        <f>HYPERLINK("https://www.nba.com/stats/events?CFID=&amp;CFPARAMS=&amp;GameEventID=30&amp;GameID=0022200649&amp;Season=2022-23&amp;flag=1&amp;title=Leonard%20driving%20Layup%20(2%20PTS)", "Driving Layup (2 PTS)")</f>
        <v>Driving Layup (2 PTS)</v>
      </c>
      <c r="L2068" s="2" t="str">
        <f>HYPERLINK("https://www.nba.com/game/...-vs-...-0022200649/play-by-play?watchFullGame=true", "LAC vs HOU - Q1 09:06.00")</f>
        <v>LAC vs HOU - Q1 09:06.00</v>
      </c>
      <c r="M2068">
        <v>1.87</v>
      </c>
      <c r="N2068">
        <v>92.43</v>
      </c>
      <c r="O2068">
        <v>50</v>
      </c>
      <c r="P2068">
        <v>92</v>
      </c>
      <c r="Q2068">
        <v>19</v>
      </c>
      <c r="R2068">
        <v>92</v>
      </c>
      <c r="S2068">
        <v>50</v>
      </c>
    </row>
    <row r="2069" spans="1:19" hidden="1" x14ac:dyDescent="0.25">
      <c r="A2069">
        <v>22300160</v>
      </c>
      <c r="B2069" t="s">
        <v>18</v>
      </c>
      <c r="C2069" t="s">
        <v>87</v>
      </c>
      <c r="D2069">
        <v>38</v>
      </c>
      <c r="E2069">
        <v>35</v>
      </c>
      <c r="F2069">
        <v>3</v>
      </c>
      <c r="G2069">
        <v>2</v>
      </c>
      <c r="H2069" s="1">
        <v>3.5069444444444445E-3</v>
      </c>
      <c r="I2069">
        <v>2023</v>
      </c>
      <c r="J2069" t="s">
        <v>83</v>
      </c>
      <c r="K2069" s="2" t="str">
        <f>HYPERLINK("https://www.nba.com/stats/events?CFID=&amp;CFPARAMS=&amp;GameEventID=262&amp;GameID=0022300160&amp;Season=2023-24&amp;flag=1&amp;title=Leonard%20cutting%20Layup%20(4%20PTS)%20(J.%20Harden%204%20AST)", "Cutting Layup (4 PTS) (J. Harden 4 AST)")</f>
        <v>Cutting Layup (4 PTS) (J. Harden 4 AST)</v>
      </c>
      <c r="L2069" s="2" t="str">
        <f>HYPERLINK("https://www.nba.com/game/...-vs-...-0022300160/play-by-play?watchFullGame=true", "LAC vs BKN - Q2 05:03.00")</f>
        <v>LAC vs BKN - Q2 05:03.00</v>
      </c>
      <c r="M2069">
        <v>1.86</v>
      </c>
      <c r="N2069">
        <v>92.46</v>
      </c>
      <c r="O2069">
        <v>50.49</v>
      </c>
      <c r="P2069">
        <v>2</v>
      </c>
      <c r="Q2069">
        <v>18</v>
      </c>
      <c r="R2069">
        <v>92</v>
      </c>
      <c r="S2069">
        <v>50</v>
      </c>
    </row>
    <row r="2070" spans="1:19" hidden="1" x14ac:dyDescent="0.25">
      <c r="A2070">
        <v>22300052</v>
      </c>
      <c r="B2070" t="s">
        <v>18</v>
      </c>
      <c r="C2070" t="s">
        <v>87</v>
      </c>
      <c r="D2070">
        <v>77</v>
      </c>
      <c r="E2070">
        <v>75</v>
      </c>
      <c r="F2070">
        <v>2</v>
      </c>
      <c r="G2070">
        <v>3</v>
      </c>
      <c r="H2070" s="1">
        <v>2.8587962962962963E-3</v>
      </c>
      <c r="I2070">
        <v>2023</v>
      </c>
      <c r="J2070" t="s">
        <v>83</v>
      </c>
      <c r="K2070" s="2" t="str">
        <f>HYPERLINK("https://www.nba.com/stats/events?CFID=&amp;CFPARAMS=&amp;GameEventID=429&amp;GameID=0022300052&amp;Season=2023-24&amp;flag=1&amp;title=Leonard%20running%20Layup%20(16%20PTS)", "Running Layup (16 PTS)")</f>
        <v>Running Layup (16 PTS)</v>
      </c>
      <c r="L2070" s="2" t="str">
        <f>HYPERLINK("https://www.nba.com/game/...-vs-...-0022300052/play-by-play?watchFullGame=true", "LAC vs NOP - Q3 04:07.00")</f>
        <v>LAC vs NOP - Q3 04:07.00</v>
      </c>
      <c r="M2070">
        <v>1.83</v>
      </c>
      <c r="N2070">
        <v>92.69</v>
      </c>
      <c r="O2070">
        <v>51.72</v>
      </c>
      <c r="P2070">
        <v>9</v>
      </c>
      <c r="Q2070">
        <v>16</v>
      </c>
      <c r="R2070">
        <v>92</v>
      </c>
      <c r="S2070">
        <v>51</v>
      </c>
    </row>
    <row r="2071" spans="1:19" hidden="1" x14ac:dyDescent="0.25">
      <c r="A2071">
        <v>22300848</v>
      </c>
      <c r="B2071" t="s">
        <v>18</v>
      </c>
      <c r="C2071" t="s">
        <v>87</v>
      </c>
      <c r="D2071">
        <v>60</v>
      </c>
      <c r="E2071">
        <v>48</v>
      </c>
      <c r="F2071">
        <v>12</v>
      </c>
      <c r="G2071">
        <v>2</v>
      </c>
      <c r="H2071" s="1">
        <v>2.1180555555555558E-3</v>
      </c>
      <c r="I2071">
        <v>2023</v>
      </c>
      <c r="J2071" t="s">
        <v>83</v>
      </c>
      <c r="K2071" s="2" t="str">
        <f>HYPERLINK("https://www.nba.com/stats/events?CFID=&amp;CFPARAMS=&amp;GameEventID=288&amp;GameID=0022300848&amp;Season=2023-24&amp;flag=1&amp;title=Leonard%20Layup%20(12%20PTS)%20(T.%20Mann%202%20AST)", "Layup (12 PTS) (T. Mann 2 AST)")</f>
        <v>Layup (12 PTS) (T. Mann 2 AST)</v>
      </c>
      <c r="L2071" s="2" t="str">
        <f>HYPERLINK("https://www.nba.com/game/...-vs-...-0022300848/play-by-play?watchFullGame=true", "LAC vs LAL - Q2 03:03.00")</f>
        <v>LAC vs LAL - Q2 03:03.00</v>
      </c>
      <c r="M2071">
        <v>1.78</v>
      </c>
      <c r="N2071">
        <v>92.69</v>
      </c>
      <c r="O2071">
        <v>48.53</v>
      </c>
      <c r="P2071">
        <v>-7</v>
      </c>
      <c r="Q2071">
        <v>16</v>
      </c>
      <c r="R2071">
        <v>92</v>
      </c>
      <c r="S2071">
        <v>48</v>
      </c>
    </row>
    <row r="2072" spans="1:19" hidden="1" x14ac:dyDescent="0.25">
      <c r="A2072">
        <v>22000251</v>
      </c>
      <c r="B2072" t="s">
        <v>18</v>
      </c>
      <c r="C2072" t="s">
        <v>88</v>
      </c>
      <c r="D2072">
        <v>36</v>
      </c>
      <c r="E2072">
        <v>19</v>
      </c>
      <c r="F2072">
        <v>17</v>
      </c>
      <c r="G2072">
        <v>1</v>
      </c>
      <c r="H2072" s="1">
        <v>3.1250000000000001E-5</v>
      </c>
      <c r="I2072">
        <v>2020</v>
      </c>
      <c r="J2072" t="s">
        <v>83</v>
      </c>
      <c r="K2072" s="2" t="str">
        <f>HYPERLINK("https://www.nba.com/stats/events?CFID=&amp;CFPARAMS=&amp;GameEventID=157&amp;GameID=0022000251&amp;Season=2020-21&amp;flag=1&amp;title=Leonard%20cutting%20DUNK%20(14%20PTS)%20(I.%20Zubac%201%20AST)", "Cutting DUNK (14 PTS) (I. Zubac 1 AST)")</f>
        <v>Cutting DUNK (14 PTS) (I. Zubac 1 AST)</v>
      </c>
      <c r="L2072" s="2" t="str">
        <f>HYPERLINK("https://www.nba.com/game/...-vs-...-0022000251/play-by-play?watchFullGame=true", "LAC vs OKC - Q1 00:02.70")</f>
        <v>LAC vs OKC - Q1 00:02.70</v>
      </c>
      <c r="M2072">
        <v>1.62</v>
      </c>
      <c r="N2072">
        <v>92.72</v>
      </c>
      <c r="O2072">
        <v>49.33</v>
      </c>
      <c r="P2072">
        <v>-3</v>
      </c>
      <c r="Q2072">
        <v>16</v>
      </c>
      <c r="R2072">
        <v>92</v>
      </c>
      <c r="S2072">
        <v>49</v>
      </c>
    </row>
    <row r="2073" spans="1:19" hidden="1" x14ac:dyDescent="0.25">
      <c r="A2073">
        <v>22300917</v>
      </c>
      <c r="B2073" t="s">
        <v>18</v>
      </c>
      <c r="C2073" t="s">
        <v>87</v>
      </c>
      <c r="D2073">
        <v>98</v>
      </c>
      <c r="E2073">
        <v>93</v>
      </c>
      <c r="F2073">
        <v>5</v>
      </c>
      <c r="G2073">
        <v>4</v>
      </c>
      <c r="H2073" s="1">
        <v>4.386574074074074E-3</v>
      </c>
      <c r="I2073">
        <v>2023</v>
      </c>
      <c r="J2073" t="s">
        <v>83</v>
      </c>
      <c r="K2073" s="2" t="str">
        <f>HYPERLINK("https://www.nba.com/stats/events?CFID=&amp;CFPARAMS=&amp;GameEventID=557&amp;GameID=0022300917&amp;Season=2023-24&amp;flag=1&amp;title=Leonard%20driving%20reverse%20Layup%20(17%20PTS)%20(J.%20Harden%2010%20AST)", "Driving reverse Layup (17 PTS) (J. Harden 10 AST)")</f>
        <v>Driving reverse Layup (17 PTS) (J. Harden 10 AST)</v>
      </c>
      <c r="L2073" s="2" t="str">
        <f>HYPERLINK("https://www.nba.com/game/...-vs-...-0022300917/play-by-play?watchFullGame=true", "LAC vs CHI - Q4 06:19.00")</f>
        <v>LAC vs CHI - Q4 06:19.00</v>
      </c>
      <c r="M2073">
        <v>1.73</v>
      </c>
      <c r="N2073">
        <v>92.82</v>
      </c>
      <c r="O2073">
        <v>48.28</v>
      </c>
      <c r="P2073">
        <v>-9</v>
      </c>
      <c r="Q2073">
        <v>15</v>
      </c>
      <c r="R2073">
        <v>92</v>
      </c>
      <c r="S2073">
        <v>48</v>
      </c>
    </row>
    <row r="2074" spans="1:19" hidden="1" x14ac:dyDescent="0.25">
      <c r="A2074">
        <v>22000105</v>
      </c>
      <c r="B2074" t="s">
        <v>18</v>
      </c>
      <c r="C2074" t="s">
        <v>87</v>
      </c>
      <c r="D2074">
        <v>48</v>
      </c>
      <c r="E2074">
        <v>65</v>
      </c>
      <c r="F2074">
        <v>17</v>
      </c>
      <c r="G2074">
        <v>3</v>
      </c>
      <c r="H2074" s="1">
        <v>7.3263888888888892E-3</v>
      </c>
      <c r="I2074">
        <v>2020</v>
      </c>
      <c r="J2074" t="s">
        <v>83</v>
      </c>
      <c r="K2074" s="2" t="str">
        <f>HYPERLINK("https://www.nba.com/stats/events?CFID=&amp;CFPARAMS=&amp;GameEventID=336&amp;GameID=0022000105&amp;Season=2020-21&amp;flag=1&amp;title=Leonard%20driving%20Layup%20(19%20PTS)%20(P.%20Beverley%204%20AST)", "Driving Layup (19 PTS) (P. Beverley 4 AST)")</f>
        <v>Driving Layup (19 PTS) (P. Beverley 4 AST)</v>
      </c>
      <c r="L2074" s="2" t="str">
        <f>HYPERLINK("https://www.nba.com/game/...-vs-...-0022000105/play-by-play?watchFullGame=true", "LAC vs SAS - Q3 10:33.00")</f>
        <v>LAC vs SAS - Q3 10:33.00</v>
      </c>
      <c r="M2074">
        <v>1.64</v>
      </c>
      <c r="N2074">
        <v>92.72</v>
      </c>
      <c r="O2074">
        <v>50.8</v>
      </c>
      <c r="P2074">
        <v>4</v>
      </c>
      <c r="Q2074">
        <v>16</v>
      </c>
      <c r="R2074">
        <v>92</v>
      </c>
      <c r="S2074">
        <v>50</v>
      </c>
    </row>
    <row r="2075" spans="1:19" hidden="1" x14ac:dyDescent="0.25">
      <c r="A2075">
        <v>42000176</v>
      </c>
      <c r="B2075" t="s">
        <v>18</v>
      </c>
      <c r="C2075" t="s">
        <v>87</v>
      </c>
      <c r="D2075">
        <v>46</v>
      </c>
      <c r="E2075">
        <v>45</v>
      </c>
      <c r="F2075">
        <v>1</v>
      </c>
      <c r="G2075">
        <v>2</v>
      </c>
      <c r="H2075" s="1">
        <v>4.6180555555555553E-4</v>
      </c>
      <c r="I2075" t="s">
        <v>91</v>
      </c>
      <c r="J2075" t="s">
        <v>83</v>
      </c>
      <c r="K2075" s="2" t="str">
        <f>HYPERLINK("https://www.nba.com/stats/events?CFID=&amp;CFPARAMS=&amp;GameEventID=306&amp;GameID=0042000176&amp;Season=2020-21&amp;flag=1&amp;title=Leonard%20Layup%20(14%20PTS)%20(P.%20George%201%20AST)", "Layup (14 PTS) (P. George 1 AST)")</f>
        <v>Layup (14 PTS) (P. George 1 AST)</v>
      </c>
      <c r="L2075" s="2" t="str">
        <f>HYPERLINK("https://www.nba.com/game/...-vs-...-0042000176/play-by-play?watchFullGame=true", "LAC vs DAL - Q2 00:39.90")</f>
        <v>LAC vs DAL - Q2 00:39.90</v>
      </c>
      <c r="M2075">
        <v>1.61</v>
      </c>
      <c r="N2075">
        <v>92.99</v>
      </c>
      <c r="O2075">
        <v>51.78</v>
      </c>
      <c r="P2075">
        <v>92</v>
      </c>
      <c r="Q2075">
        <v>51</v>
      </c>
      <c r="R2075">
        <v>92</v>
      </c>
      <c r="S2075">
        <v>51</v>
      </c>
    </row>
    <row r="2076" spans="1:19" hidden="1" x14ac:dyDescent="0.25">
      <c r="A2076">
        <v>21901291</v>
      </c>
      <c r="B2076" t="s">
        <v>18</v>
      </c>
      <c r="C2076" t="s">
        <v>92</v>
      </c>
      <c r="D2076">
        <v>21</v>
      </c>
      <c r="E2076">
        <v>34</v>
      </c>
      <c r="F2076">
        <v>13</v>
      </c>
      <c r="G2076">
        <v>1</v>
      </c>
      <c r="H2076" s="1">
        <v>1.238425925925926E-3</v>
      </c>
      <c r="I2076">
        <v>2019</v>
      </c>
      <c r="J2076" t="s">
        <v>83</v>
      </c>
      <c r="K2076" s="2" t="str">
        <f>HYPERLINK("https://www.nba.com/stats/events?CFID=&amp;CFPARAMS=&amp;GameEventID=109&amp;GameID=0021901291&amp;Season=2019-20&amp;flag=1&amp;title=Leonard%20dunk%20(10%20PTS)", "Dunk (10 PTS)")</f>
        <v>Dunk (10 PTS)</v>
      </c>
      <c r="L2076" s="2" t="str">
        <f>HYPERLINK("https://www.nba.com/game/...-vs-...-0021901291/play-by-play?watchFullGame=true", "LAC vs BKN - Q1 01:47.00")</f>
        <v>LAC vs BKN - Q1 01:47.00</v>
      </c>
      <c r="M2076">
        <v>2.52</v>
      </c>
      <c r="N2076">
        <v>92.33</v>
      </c>
      <c r="O2076">
        <v>49.58</v>
      </c>
      <c r="P2076">
        <v>-2</v>
      </c>
      <c r="Q2076">
        <v>20</v>
      </c>
      <c r="R2076">
        <v>92</v>
      </c>
      <c r="S2076">
        <v>49</v>
      </c>
    </row>
    <row r="2077" spans="1:19" hidden="1" x14ac:dyDescent="0.25">
      <c r="A2077">
        <v>22300897</v>
      </c>
      <c r="B2077" t="s">
        <v>18</v>
      </c>
      <c r="C2077" t="s">
        <v>87</v>
      </c>
      <c r="D2077">
        <v>44</v>
      </c>
      <c r="E2077">
        <v>57</v>
      </c>
      <c r="F2077">
        <v>13</v>
      </c>
      <c r="G2077">
        <v>2</v>
      </c>
      <c r="H2077" s="1">
        <v>3.8773148148148147E-4</v>
      </c>
      <c r="I2077">
        <v>2023</v>
      </c>
      <c r="J2077" t="s">
        <v>83</v>
      </c>
      <c r="K2077" s="2" t="str">
        <f>HYPERLINK("https://www.nba.com/stats/events?CFID=&amp;CFPARAMS=&amp;GameEventID=293&amp;GameID=0022300897&amp;Season=2023-24&amp;flag=1&amp;title=Leonard%20driving%20finger%20roll%20Layup%20(12%20PTS)", "Driving finger roll Layup (12 PTS)")</f>
        <v>Driving finger roll Layup (12 PTS)</v>
      </c>
      <c r="L2077" s="2" t="str">
        <f>HYPERLINK("https://www.nba.com/game/...-vs-...-0022300897/play-by-play?watchFullGame=true", "LAC vs HOU - Q2 00:33.50")</f>
        <v>LAC vs HOU - Q2 00:33.50</v>
      </c>
      <c r="M2077">
        <v>1.55</v>
      </c>
      <c r="N2077">
        <v>92.85</v>
      </c>
      <c r="O2077">
        <v>49.02</v>
      </c>
      <c r="P2077">
        <v>-5</v>
      </c>
      <c r="Q2077">
        <v>15</v>
      </c>
      <c r="R2077">
        <v>92</v>
      </c>
      <c r="S2077">
        <v>49</v>
      </c>
    </row>
    <row r="2078" spans="1:19" hidden="1" x14ac:dyDescent="0.25">
      <c r="A2078">
        <v>22300770</v>
      </c>
      <c r="B2078" t="s">
        <v>18</v>
      </c>
      <c r="C2078" t="s">
        <v>87</v>
      </c>
      <c r="D2078">
        <v>64</v>
      </c>
      <c r="E2078">
        <v>62</v>
      </c>
      <c r="F2078">
        <v>2</v>
      </c>
      <c r="G2078">
        <v>3</v>
      </c>
      <c r="H2078" s="1">
        <v>4.8263888888888887E-3</v>
      </c>
      <c r="I2078">
        <v>2023</v>
      </c>
      <c r="J2078" t="s">
        <v>83</v>
      </c>
      <c r="K2078" s="2" t="str">
        <f>HYPERLINK("https://www.nba.com/stats/events?CFID=&amp;CFPARAMS=&amp;GameEventID=368&amp;GameID=0022300770&amp;Season=2023-24&amp;flag=1&amp;title=Leonard%20Layup%20(16%20PTS)%20(R.%20Westbrook%203%20AST)", "Layup (16 PTS) (R. Westbrook 3 AST)")</f>
        <v>Layup (16 PTS) (R. Westbrook 3 AST)</v>
      </c>
      <c r="L2078" s="2" t="str">
        <f>HYPERLINK("https://www.nba.com/game/...-vs-...-0022300770/play-by-play?watchFullGame=true", "LAC vs MIN - Q3 06:57.00")</f>
        <v>LAC vs MIN - Q3 06:57.00</v>
      </c>
      <c r="M2078">
        <v>1.5</v>
      </c>
      <c r="N2078">
        <v>92.82</v>
      </c>
      <c r="O2078">
        <v>50.25</v>
      </c>
      <c r="P2078">
        <v>1</v>
      </c>
      <c r="Q2078">
        <v>15</v>
      </c>
      <c r="R2078">
        <v>92</v>
      </c>
      <c r="S2078">
        <v>50</v>
      </c>
    </row>
    <row r="2079" spans="1:19" hidden="1" x14ac:dyDescent="0.25">
      <c r="A2079">
        <v>22301043</v>
      </c>
      <c r="B2079" t="s">
        <v>18</v>
      </c>
      <c r="C2079" t="s">
        <v>87</v>
      </c>
      <c r="D2079">
        <v>70</v>
      </c>
      <c r="E2079">
        <v>78</v>
      </c>
      <c r="F2079">
        <v>8</v>
      </c>
      <c r="G2079">
        <v>3</v>
      </c>
      <c r="H2079" s="1">
        <v>5.8449074074074072E-3</v>
      </c>
      <c r="I2079">
        <v>2023</v>
      </c>
      <c r="J2079" t="s">
        <v>83</v>
      </c>
      <c r="K2079" s="2" t="str">
        <f>HYPERLINK("https://www.nba.com/stats/events?CFID=&amp;CFPARAMS=&amp;GameEventID=335&amp;GameID=0022301043&amp;Season=2023-24&amp;flag=1&amp;title=Leonard%20driving%20Layup%20(19%20PTS)%20(I.%20Zubac%202%20AST)", "Driving Layup (19 PTS) (I. Zubac 2 AST)")</f>
        <v>Driving Layup (19 PTS) (I. Zubac 2 AST)</v>
      </c>
      <c r="L2079" s="2" t="str">
        <f>HYPERLINK("https://www.nba.com/game/...-vs-...-0022301043/play-by-play?watchFullGame=true", "LAC vs IND - Q3 08:25.00")</f>
        <v>LAC vs IND - Q3 08:25.00</v>
      </c>
      <c r="M2079">
        <v>1.5</v>
      </c>
      <c r="N2079">
        <v>92.82</v>
      </c>
      <c r="O2079">
        <v>50</v>
      </c>
      <c r="P2079">
        <v>92</v>
      </c>
      <c r="Q2079">
        <v>15</v>
      </c>
      <c r="R2079">
        <v>92</v>
      </c>
      <c r="S2079">
        <v>50</v>
      </c>
    </row>
    <row r="2080" spans="1:19" hidden="1" x14ac:dyDescent="0.25">
      <c r="A2080">
        <v>22300372</v>
      </c>
      <c r="B2080" t="s">
        <v>18</v>
      </c>
      <c r="C2080" t="s">
        <v>87</v>
      </c>
      <c r="D2080">
        <v>12</v>
      </c>
      <c r="E2080">
        <v>11</v>
      </c>
      <c r="F2080">
        <v>1</v>
      </c>
      <c r="G2080">
        <v>1</v>
      </c>
      <c r="H2080" s="1">
        <v>4.5833333333333334E-3</v>
      </c>
      <c r="I2080">
        <v>2023</v>
      </c>
      <c r="J2080" t="s">
        <v>83</v>
      </c>
      <c r="K2080" s="2" t="str">
        <f>HYPERLINK("https://www.nba.com/stats/events?CFID=&amp;CFPARAMS=&amp;GameEventID=62&amp;GameID=0022300372&amp;Season=2023-24&amp;flag=1&amp;title=Leonard%20putback%20Layup%20(4%20PTS)", "Putback Layup (4 PTS)")</f>
        <v>Putback Layup (4 PTS)</v>
      </c>
      <c r="L2080" s="2" t="str">
        <f>HYPERLINK("https://www.nba.com/game/...-vs-...-0022300372/play-by-play?watchFullGame=true", "LAC vs DAL - Q1 06:36.00")</f>
        <v>LAC vs DAL - Q1 06:36.00</v>
      </c>
      <c r="M2080">
        <v>1.47</v>
      </c>
      <c r="N2080">
        <v>92.85</v>
      </c>
      <c r="O2080">
        <v>50.25</v>
      </c>
      <c r="P2080">
        <v>1</v>
      </c>
      <c r="Q2080">
        <v>15</v>
      </c>
      <c r="R2080">
        <v>92</v>
      </c>
      <c r="S2080">
        <v>50</v>
      </c>
    </row>
    <row r="2081" spans="1:19" hidden="1" x14ac:dyDescent="0.25">
      <c r="A2081">
        <v>22000966</v>
      </c>
      <c r="B2081" t="s">
        <v>18</v>
      </c>
      <c r="C2081" t="s">
        <v>87</v>
      </c>
      <c r="D2081">
        <v>2</v>
      </c>
      <c r="E2081">
        <v>0</v>
      </c>
      <c r="F2081">
        <v>2</v>
      </c>
      <c r="G2081">
        <v>1</v>
      </c>
      <c r="H2081" s="1">
        <v>8.1944444444444452E-3</v>
      </c>
      <c r="I2081">
        <v>2020</v>
      </c>
      <c r="J2081" t="s">
        <v>83</v>
      </c>
      <c r="K2081" s="2" t="str">
        <f>HYPERLINK("https://www.nba.com/stats/events?CFID=&amp;CFPARAMS=&amp;GameEventID=7&amp;GameID=0022000966&amp;Season=2020-21&amp;flag=1&amp;title=Leonard%20alley-oop%20Layup%20(2%20PTS)%20(M.%20Morris%20Sr.%201%20AST)", "Alley-oop Layup (2 PTS) (M. Morris Sr. 1 AST)")</f>
        <v>Alley-oop Layup (2 PTS) (M. Morris Sr. 1 AST)</v>
      </c>
      <c r="L2081" s="2" t="str">
        <f>HYPERLINK("https://www.nba.com/game/...-vs-...-0022000966/play-by-play?watchFullGame=true", "LAC vs DEN - Q1 11:48.00")</f>
        <v>LAC vs DEN - Q1 11:48.00</v>
      </c>
      <c r="M2081">
        <v>1.47</v>
      </c>
      <c r="N2081">
        <v>92.85</v>
      </c>
      <c r="O2081">
        <v>50.07</v>
      </c>
      <c r="P2081">
        <v>92</v>
      </c>
      <c r="Q2081">
        <v>15</v>
      </c>
      <c r="R2081">
        <v>92</v>
      </c>
      <c r="S2081">
        <v>50</v>
      </c>
    </row>
    <row r="2082" spans="1:19" hidden="1" x14ac:dyDescent="0.25">
      <c r="A2082">
        <v>22201004</v>
      </c>
      <c r="B2082" t="s">
        <v>18</v>
      </c>
      <c r="C2082" t="s">
        <v>88</v>
      </c>
      <c r="D2082">
        <v>12</v>
      </c>
      <c r="E2082">
        <v>4</v>
      </c>
      <c r="F2082">
        <v>8</v>
      </c>
      <c r="G2082">
        <v>1</v>
      </c>
      <c r="H2082" s="1">
        <v>5.0462962962962961E-3</v>
      </c>
      <c r="I2082">
        <v>2022</v>
      </c>
      <c r="J2082" t="s">
        <v>83</v>
      </c>
      <c r="K2082" s="2" t="str">
        <f>HYPERLINK("https://www.nba.com/stats/events?CFID=&amp;CFPARAMS=&amp;GameEventID=50&amp;GameID=0022201004&amp;Season=2022-23&amp;flag=1&amp;title=Leonard%20running%20DUNK%20(4%20PTS)", "Running DUNK (4 PTS)")</f>
        <v>Running DUNK (4 PTS)</v>
      </c>
      <c r="L2082" s="2" t="str">
        <f>HYPERLINK("https://www.nba.com/game/...-vs-...-0022201004/play-by-play?watchFullGame=true", "LAC vs NYK - Q1 07:16.00")</f>
        <v>LAC vs NYK - Q1 07:16.00</v>
      </c>
      <c r="M2082">
        <v>1.99</v>
      </c>
      <c r="N2082">
        <v>92.3</v>
      </c>
      <c r="O2082">
        <v>49.75</v>
      </c>
      <c r="P2082">
        <v>-1</v>
      </c>
      <c r="Q2082">
        <v>20</v>
      </c>
      <c r="R2082">
        <v>92</v>
      </c>
      <c r="S2082">
        <v>49</v>
      </c>
    </row>
    <row r="2083" spans="1:19" hidden="1" x14ac:dyDescent="0.25">
      <c r="A2083">
        <v>22200766</v>
      </c>
      <c r="B2083" t="s">
        <v>18</v>
      </c>
      <c r="C2083" t="s">
        <v>88</v>
      </c>
      <c r="D2083">
        <v>56</v>
      </c>
      <c r="E2083">
        <v>58</v>
      </c>
      <c r="F2083">
        <v>2</v>
      </c>
      <c r="G2083">
        <v>3</v>
      </c>
      <c r="H2083" s="1">
        <v>7.9282407407407409E-3</v>
      </c>
      <c r="I2083">
        <v>2022</v>
      </c>
      <c r="J2083" t="s">
        <v>83</v>
      </c>
      <c r="K2083" s="2" t="str">
        <f>HYPERLINK("https://www.nba.com/stats/events?CFID=&amp;CFPARAMS=&amp;GameEventID=323&amp;GameID=0022200766&amp;Season=2022-23&amp;flag=1&amp;title=Leonard%20driving%20DUNK%20(13%20PTS)%20(P.%20George%204%20AST)", "Driving DUNK (13 PTS) (P. George 4 AST)")</f>
        <v>Driving DUNK (13 PTS) (P. George 4 AST)</v>
      </c>
      <c r="L2083" s="2" t="str">
        <f>HYPERLINK("https://www.nba.com/game/...-vs-...-0022200766/play-by-play?watchFullGame=true", "LAC vs CHI - Q3 11:25.00")</f>
        <v>LAC vs CHI - Q3 11:25.00</v>
      </c>
      <c r="M2083">
        <v>1.84</v>
      </c>
      <c r="N2083">
        <v>92.46</v>
      </c>
      <c r="O2083">
        <v>49.75</v>
      </c>
      <c r="P2083">
        <v>-1</v>
      </c>
      <c r="Q2083">
        <v>18</v>
      </c>
      <c r="R2083">
        <v>92</v>
      </c>
      <c r="S2083">
        <v>49</v>
      </c>
    </row>
    <row r="2084" spans="1:19" hidden="1" x14ac:dyDescent="0.25">
      <c r="A2084">
        <v>21900212</v>
      </c>
      <c r="B2084" t="s">
        <v>18</v>
      </c>
      <c r="C2084" t="s">
        <v>92</v>
      </c>
      <c r="D2084">
        <v>86</v>
      </c>
      <c r="E2084">
        <v>90</v>
      </c>
      <c r="F2084">
        <v>4</v>
      </c>
      <c r="G2084">
        <v>4</v>
      </c>
      <c r="H2084" s="1">
        <v>2.2685185185185187E-3</v>
      </c>
      <c r="I2084">
        <v>2019</v>
      </c>
      <c r="J2084" t="s">
        <v>83</v>
      </c>
      <c r="K2084" s="2" t="str">
        <f>HYPERLINK("https://www.nba.com/stats/events?CFID=&amp;CFPARAMS=&amp;GameEventID=628&amp;GameID=0021900212&amp;Season=2019-20&amp;flag=1&amp;title=Leonard%20dunk%20(17%20PTS)%20(P.%20Beverley%206%20AST)", "Dunk (17 PTS) (P. Beverley 6 AST)")</f>
        <v>Dunk (17 PTS) (P. Beverley 6 AST)</v>
      </c>
      <c r="L2084" s="2" t="str">
        <f>HYPERLINK("https://www.nba.com/game/...-vs-...-0021900212/play-by-play?watchFullGame=true", "LAC vs BOS - Q4 03:16.00")</f>
        <v>LAC vs BOS - Q4 03:16.00</v>
      </c>
      <c r="M2084">
        <v>2.66</v>
      </c>
      <c r="N2084">
        <v>92.16</v>
      </c>
      <c r="O2084">
        <v>50.18</v>
      </c>
      <c r="P2084">
        <v>1</v>
      </c>
      <c r="Q2084">
        <v>21</v>
      </c>
      <c r="R2084">
        <v>92</v>
      </c>
      <c r="S2084">
        <v>50</v>
      </c>
    </row>
    <row r="2085" spans="1:19" hidden="1" x14ac:dyDescent="0.25">
      <c r="A2085">
        <v>22000172</v>
      </c>
      <c r="B2085" t="s">
        <v>18</v>
      </c>
      <c r="C2085" t="s">
        <v>88</v>
      </c>
      <c r="D2085">
        <v>77</v>
      </c>
      <c r="E2085">
        <v>67</v>
      </c>
      <c r="F2085">
        <v>10</v>
      </c>
      <c r="G2085">
        <v>3</v>
      </c>
      <c r="H2085" s="1">
        <v>1.9675925925925924E-3</v>
      </c>
      <c r="I2085">
        <v>2020</v>
      </c>
      <c r="J2085" t="s">
        <v>83</v>
      </c>
      <c r="K2085" s="2" t="str">
        <f>HYPERLINK("https://www.nba.com/stats/events?CFID=&amp;CFPARAMS=&amp;GameEventID=396&amp;GameID=0022000172&amp;Season=2020-21&amp;flag=1&amp;title=Leonard%20driving%20DUNK%20(14%20PTS)", "Driving DUNK (14 PTS)")</f>
        <v>Driving DUNK (14 PTS)</v>
      </c>
      <c r="L2085" s="2" t="str">
        <f>HYPERLINK("https://www.nba.com/game/...-vs-...-0022000172/play-by-play?watchFullGame=true", "LAC vs NOP - Q3 02:50.00")</f>
        <v>LAC vs NOP - Q3 02:50.00</v>
      </c>
      <c r="M2085">
        <v>1.74</v>
      </c>
      <c r="N2085">
        <v>92.56</v>
      </c>
      <c r="O2085">
        <v>50.18</v>
      </c>
      <c r="P2085">
        <v>1</v>
      </c>
      <c r="Q2085">
        <v>17</v>
      </c>
      <c r="R2085">
        <v>92</v>
      </c>
      <c r="S2085">
        <v>50</v>
      </c>
    </row>
    <row r="2086" spans="1:19" hidden="1" x14ac:dyDescent="0.25">
      <c r="A2086">
        <v>21900589</v>
      </c>
      <c r="B2086" t="s">
        <v>18</v>
      </c>
      <c r="C2086" t="s">
        <v>92</v>
      </c>
      <c r="D2086">
        <v>64</v>
      </c>
      <c r="E2086">
        <v>82</v>
      </c>
      <c r="F2086">
        <v>18</v>
      </c>
      <c r="G2086">
        <v>3</v>
      </c>
      <c r="H2086" s="1">
        <v>3.2986111111111111E-3</v>
      </c>
      <c r="I2086">
        <v>2019</v>
      </c>
      <c r="J2086" t="s">
        <v>83</v>
      </c>
      <c r="K2086" s="2" t="str">
        <f>HYPERLINK("https://www.nba.com/stats/events?CFID=&amp;CFPARAMS=&amp;GameEventID=421&amp;GameID=0021900589&amp;Season=2019-20&amp;flag=1&amp;title=Leonard%20dunk%20(21%20PTS)", "Dunk (21 PTS)")</f>
        <v>Dunk (21 PTS)</v>
      </c>
      <c r="L2086" s="2" t="str">
        <f>HYPERLINK("https://www.nba.com/game/...-vs-...-0021900589/play-by-play?watchFullGame=true", "LAC vs DEN - Q3 04:45.00")</f>
        <v>LAC vs DEN - Q3 04:45.00</v>
      </c>
      <c r="M2086">
        <v>2.4</v>
      </c>
      <c r="N2086">
        <v>92.46</v>
      </c>
      <c r="O2086">
        <v>50.31</v>
      </c>
      <c r="P2086">
        <v>2</v>
      </c>
      <c r="Q2086">
        <v>18</v>
      </c>
      <c r="R2086">
        <v>92</v>
      </c>
      <c r="S2086">
        <v>50</v>
      </c>
    </row>
    <row r="2087" spans="1:19" hidden="1" x14ac:dyDescent="0.25">
      <c r="A2087">
        <v>22000605</v>
      </c>
      <c r="B2087" t="s">
        <v>18</v>
      </c>
      <c r="C2087" t="s">
        <v>88</v>
      </c>
      <c r="D2087">
        <v>6</v>
      </c>
      <c r="E2087">
        <v>3</v>
      </c>
      <c r="F2087">
        <v>3</v>
      </c>
      <c r="G2087">
        <v>1</v>
      </c>
      <c r="H2087" s="1">
        <v>6.9444444444444441E-3</v>
      </c>
      <c r="I2087">
        <v>2020</v>
      </c>
      <c r="J2087" t="s">
        <v>83</v>
      </c>
      <c r="K2087" s="2" t="str">
        <f>HYPERLINK("https://www.nba.com/stats/events?CFID=&amp;CFPARAMS=&amp;GameEventID=17&amp;GameID=0022000605&amp;Season=2020-21&amp;flag=1&amp;title=Leonard%20running%20DUNK%20(2%20PTS)%20(P.%20George%201%20AST)", "Running DUNK (2 PTS) (P. George 1 AST)")</f>
        <v>Running DUNK (2 PTS) (P. George 1 AST)</v>
      </c>
      <c r="L2087" s="2" t="str">
        <f>HYPERLINK("https://www.nba.com/game/...-vs-...-0022000605/play-by-play?watchFullGame=true", "LAC vs DAL - Q1 10:00.00")</f>
        <v>LAC vs DAL - Q1 10:00.00</v>
      </c>
      <c r="M2087">
        <v>1.85</v>
      </c>
      <c r="N2087">
        <v>92.46</v>
      </c>
      <c r="O2087">
        <v>50.31</v>
      </c>
      <c r="P2087">
        <v>2</v>
      </c>
      <c r="Q2087">
        <v>18</v>
      </c>
      <c r="R2087">
        <v>92</v>
      </c>
      <c r="S2087">
        <v>50</v>
      </c>
    </row>
    <row r="2088" spans="1:19" hidden="1" x14ac:dyDescent="0.25">
      <c r="A2088">
        <v>22000788</v>
      </c>
      <c r="B2088" t="s">
        <v>18</v>
      </c>
      <c r="C2088" t="s">
        <v>88</v>
      </c>
      <c r="D2088">
        <v>69</v>
      </c>
      <c r="E2088">
        <v>69</v>
      </c>
      <c r="F2088">
        <v>0</v>
      </c>
      <c r="G2088">
        <v>3</v>
      </c>
      <c r="H2088" s="1">
        <v>3.9699074074074072E-3</v>
      </c>
      <c r="I2088">
        <v>2020</v>
      </c>
      <c r="J2088" t="s">
        <v>83</v>
      </c>
      <c r="K2088" s="2" t="str">
        <f>HYPERLINK("https://www.nba.com/stats/events?CFID=&amp;CFPARAMS=&amp;GameEventID=344&amp;GameID=0022000788&amp;Season=2020-21&amp;flag=1&amp;title=Leonard%20driving%20DUNK%20(12%20PTS)%20(R.%20Jackson%203%20AST)", "Driving DUNK (12 PTS) (R. Jackson 3 AST)")</f>
        <v>Driving DUNK (12 PTS) (R. Jackson 3 AST)</v>
      </c>
      <c r="L2088" s="2" t="str">
        <f>HYPERLINK("https://www.nba.com/game/...-vs-...-0022000788/play-by-play?watchFullGame=true", "LAC vs PHX - Q3 05:43.00")</f>
        <v>LAC vs PHX - Q3 05:43.00</v>
      </c>
      <c r="M2088">
        <v>1.72</v>
      </c>
      <c r="N2088">
        <v>92.59</v>
      </c>
      <c r="O2088">
        <v>50.31</v>
      </c>
      <c r="P2088">
        <v>2</v>
      </c>
      <c r="Q2088">
        <v>17</v>
      </c>
      <c r="R2088">
        <v>92</v>
      </c>
      <c r="S2088">
        <v>50</v>
      </c>
    </row>
    <row r="2089" spans="1:19" hidden="1" x14ac:dyDescent="0.25">
      <c r="A2089">
        <v>22000116</v>
      </c>
      <c r="B2089" t="s">
        <v>18</v>
      </c>
      <c r="C2089" t="s">
        <v>88</v>
      </c>
      <c r="D2089">
        <v>61</v>
      </c>
      <c r="E2089">
        <v>60</v>
      </c>
      <c r="F2089">
        <v>1</v>
      </c>
      <c r="G2089">
        <v>3</v>
      </c>
      <c r="H2089" s="1">
        <v>5.37037037037037E-3</v>
      </c>
      <c r="I2089">
        <v>2020</v>
      </c>
      <c r="J2089" t="s">
        <v>83</v>
      </c>
      <c r="K2089" s="2" t="str">
        <f>HYPERLINK("https://www.nba.com/stats/events?CFID=&amp;CFPARAMS=&amp;GameEventID=389&amp;GameID=0022000116&amp;Season=2020-21&amp;flag=1&amp;title=Leonard%20running%20alley-oop%20DUNK%20(8%20PTS)%20(P.%20George%202%20AST)", "Running alley-oop DUNK (8 PTS) (P. George 2 AST)")</f>
        <v>Running alley-oop DUNK (8 PTS) (P. George 2 AST)</v>
      </c>
      <c r="L2089" s="2" t="str">
        <f>HYPERLINK("https://www.nba.com/game/...-vs-...-0022000116/play-by-play?watchFullGame=true", "LAC vs GSW - Q3 07:44.00")</f>
        <v>LAC vs GSW - Q3 07:44.00</v>
      </c>
      <c r="M2089">
        <v>2.14</v>
      </c>
      <c r="N2089">
        <v>92.2</v>
      </c>
      <c r="O2089">
        <v>51.05</v>
      </c>
      <c r="P2089">
        <v>5</v>
      </c>
      <c r="Q2089">
        <v>21</v>
      </c>
      <c r="R2089">
        <v>92</v>
      </c>
      <c r="S2089">
        <v>51</v>
      </c>
    </row>
    <row r="2090" spans="1:19" hidden="1" x14ac:dyDescent="0.25">
      <c r="A2090">
        <v>22301079</v>
      </c>
      <c r="B2090" t="s">
        <v>18</v>
      </c>
      <c r="C2090" t="s">
        <v>88</v>
      </c>
      <c r="D2090">
        <v>27</v>
      </c>
      <c r="E2090">
        <v>19</v>
      </c>
      <c r="F2090">
        <v>8</v>
      </c>
      <c r="G2090">
        <v>1</v>
      </c>
      <c r="H2090" s="1">
        <v>9.3749999999999997E-4</v>
      </c>
      <c r="I2090">
        <v>2023</v>
      </c>
      <c r="J2090" t="s">
        <v>83</v>
      </c>
      <c r="K2090" s="2" t="str">
        <f>HYPERLINK("https://www.nba.com/stats/events?CFID=&amp;CFPARAMS=&amp;GameEventID=111&amp;GameID=0022301079&amp;Season=2023-24&amp;flag=1&amp;title=Leonard%20driving%20DUNK%20(8%20PTS)", "Driving DUNK (8 PTS)")</f>
        <v>Driving DUNK (8 PTS)</v>
      </c>
      <c r="L2090" s="2" t="str">
        <f>HYPERLINK("https://www.nba.com/game/...-vs-...-0022301079/play-by-play?watchFullGame=true", "LAC vs CHA - Q1 01:21.00")</f>
        <v>LAC vs CHA - Q1 01:21.00</v>
      </c>
      <c r="M2090">
        <v>1.59</v>
      </c>
      <c r="N2090">
        <v>92.85</v>
      </c>
      <c r="O2090">
        <v>51.23</v>
      </c>
      <c r="P2090">
        <v>6</v>
      </c>
      <c r="Q2090">
        <v>15</v>
      </c>
      <c r="R2090">
        <v>92</v>
      </c>
      <c r="S2090">
        <v>51</v>
      </c>
    </row>
    <row r="2091" spans="1:19" hidden="1" x14ac:dyDescent="0.25">
      <c r="A2091">
        <v>22200239</v>
      </c>
      <c r="B2091" t="s">
        <v>18</v>
      </c>
      <c r="C2091" t="s">
        <v>88</v>
      </c>
      <c r="D2091">
        <v>42</v>
      </c>
      <c r="E2091">
        <v>24</v>
      </c>
      <c r="F2091">
        <v>18</v>
      </c>
      <c r="G2091">
        <v>2</v>
      </c>
      <c r="H2091" s="1">
        <v>7.8935185185185185E-3</v>
      </c>
      <c r="I2091">
        <v>2022</v>
      </c>
      <c r="J2091" t="s">
        <v>83</v>
      </c>
      <c r="K2091" s="2" t="str">
        <f>HYPERLINK("https://www.nba.com/stats/events?CFID=&amp;CFPARAMS=&amp;GameEventID=155&amp;GameID=0022200239&amp;Season=2022-23&amp;flag=1&amp;title=Leonard%20alley-oop%20DUNK%20(2%20PTS)%20(J.%20Wall%2010%20AST)", "Alley-oop DUNK (2 PTS) (J. Wall 10 AST)")</f>
        <v>Alley-oop DUNK (2 PTS) (J. Wall 10 AST)</v>
      </c>
      <c r="L2091" s="2" t="str">
        <f>HYPERLINK("https://www.nba.com/game/...-vs-...-0022200239/play-by-play?watchFullGame=true", "LAC vs SAS - Q2 11:22.00")</f>
        <v>LAC vs SAS - Q2 11:22.00</v>
      </c>
      <c r="M2091">
        <v>1.78</v>
      </c>
      <c r="N2091">
        <v>92.69</v>
      </c>
      <c r="O2091">
        <v>51.47</v>
      </c>
      <c r="P2091">
        <v>7</v>
      </c>
      <c r="Q2091">
        <v>16</v>
      </c>
      <c r="R2091">
        <v>92</v>
      </c>
      <c r="S2091">
        <v>51</v>
      </c>
    </row>
    <row r="2092" spans="1:19" hidden="1" x14ac:dyDescent="0.25">
      <c r="A2092">
        <v>22000989</v>
      </c>
      <c r="B2092" t="s">
        <v>18</v>
      </c>
      <c r="C2092" t="s">
        <v>88</v>
      </c>
      <c r="D2092">
        <v>46</v>
      </c>
      <c r="E2092">
        <v>48</v>
      </c>
      <c r="F2092">
        <v>2</v>
      </c>
      <c r="G2092">
        <v>2</v>
      </c>
      <c r="H2092" s="1">
        <v>1.1111111111111111E-3</v>
      </c>
      <c r="I2092">
        <v>2020</v>
      </c>
      <c r="J2092" t="s">
        <v>83</v>
      </c>
      <c r="K2092" s="2" t="str">
        <f>HYPERLINK("https://www.nba.com/stats/events?CFID=&amp;CFPARAMS=&amp;GameEventID=255&amp;GameID=0022000989&amp;Season=2020-21&amp;flag=1&amp;title=Leonard%20running%20DUNK%20(6%20PTS)%20(P.%20Beverley%201%20AST)", "Running DUNK (6 PTS) (P. Beverley 1 AST)")</f>
        <v>Running DUNK (6 PTS) (P. Beverley 1 AST)</v>
      </c>
      <c r="L2092" s="2" t="str">
        <f>HYPERLINK("https://www.nba.com/game/...-vs-...-0022000989/play-by-play?watchFullGame=true", "LAC vs TOR - Q2 01:36.00")</f>
        <v>LAC vs TOR - Q2 01:36.00</v>
      </c>
      <c r="M2092">
        <v>1.99</v>
      </c>
      <c r="N2092">
        <v>92.46</v>
      </c>
      <c r="O2092">
        <v>51.54</v>
      </c>
      <c r="P2092">
        <v>8</v>
      </c>
      <c r="Q2092">
        <v>18</v>
      </c>
      <c r="R2092">
        <v>92</v>
      </c>
      <c r="S2092">
        <v>51</v>
      </c>
    </row>
    <row r="2093" spans="1:19" hidden="1" x14ac:dyDescent="0.25">
      <c r="A2093">
        <v>22300505</v>
      </c>
      <c r="B2093" t="s">
        <v>18</v>
      </c>
      <c r="C2093" t="s">
        <v>88</v>
      </c>
      <c r="D2093">
        <v>48</v>
      </c>
      <c r="E2093">
        <v>42</v>
      </c>
      <c r="F2093">
        <v>6</v>
      </c>
      <c r="G2093">
        <v>2</v>
      </c>
      <c r="H2093" s="1">
        <v>2.1990740740740742E-3</v>
      </c>
      <c r="I2093">
        <v>2023</v>
      </c>
      <c r="J2093" t="s">
        <v>83</v>
      </c>
      <c r="K2093" s="2" t="str">
        <f>HYPERLINK("https://www.nba.com/stats/events?CFID=&amp;CFPARAMS=&amp;GameEventID=254&amp;GameID=0022300505&amp;Season=2023-24&amp;flag=1&amp;title=Leonard%20running%20DUNK%20(6%20PTS)%20(T.%20Mann%203%20AST)", "Running DUNK (6 PTS) (T. Mann 3 AST)")</f>
        <v>Running DUNK (6 PTS) (T. Mann 3 AST)</v>
      </c>
      <c r="L2093" s="2" t="str">
        <f>HYPERLINK("https://www.nba.com/game/...-vs-...-0022300505/play-by-play?watchFullGame=true", "LAC vs LAL - Q2 03:10.00")</f>
        <v>LAC vs LAL - Q2 03:10.00</v>
      </c>
      <c r="M2093">
        <v>1.86</v>
      </c>
      <c r="N2093">
        <v>92.82</v>
      </c>
      <c r="O2093">
        <v>52.21</v>
      </c>
      <c r="P2093">
        <v>11</v>
      </c>
      <c r="Q2093">
        <v>15</v>
      </c>
      <c r="R2093">
        <v>92</v>
      </c>
      <c r="S2093">
        <v>52</v>
      </c>
    </row>
    <row r="2094" spans="1:19" hidden="1" x14ac:dyDescent="0.25">
      <c r="A2094">
        <v>22200945</v>
      </c>
      <c r="B2094" t="s">
        <v>18</v>
      </c>
      <c r="C2094" t="s">
        <v>88</v>
      </c>
      <c r="D2094">
        <v>23</v>
      </c>
      <c r="E2094">
        <v>21</v>
      </c>
      <c r="F2094">
        <v>2</v>
      </c>
      <c r="G2094">
        <v>1</v>
      </c>
      <c r="H2094" s="1">
        <v>1.7939814814814815E-3</v>
      </c>
      <c r="I2094">
        <v>2022</v>
      </c>
      <c r="J2094" t="s">
        <v>83</v>
      </c>
      <c r="K2094" s="2" t="str">
        <f>HYPERLINK("https://www.nba.com/stats/events?CFID=&amp;CFPARAMS=&amp;GameEventID=107&amp;GameID=0022200945&amp;Season=2022-23&amp;flag=1&amp;title=Leonard%20alley-oop%20DUNK%20(9%20PTS)%20(R.%20Westbrook%204%20AST)", "Alley-oop DUNK (9 PTS) (R. Westbrook 4 AST)")</f>
        <v>Alley-oop DUNK (9 PTS) (R. Westbrook 4 AST)</v>
      </c>
      <c r="L2094" s="2" t="str">
        <f>HYPERLINK("https://www.nba.com/game/...-vs-...-0022200945/play-by-play?watchFullGame=true", "LAC vs GSW - Q1 02:35.00")</f>
        <v>LAC vs GSW - Q1 02:35.00</v>
      </c>
      <c r="M2094">
        <v>1.99</v>
      </c>
      <c r="N2094">
        <v>92.99</v>
      </c>
      <c r="O2094">
        <v>52.94</v>
      </c>
      <c r="P2094">
        <v>15</v>
      </c>
      <c r="Q2094">
        <v>13</v>
      </c>
      <c r="R2094">
        <v>92</v>
      </c>
      <c r="S2094">
        <v>52</v>
      </c>
    </row>
    <row r="2095" spans="1:19" hidden="1" x14ac:dyDescent="0.25">
      <c r="A2095">
        <v>22400659</v>
      </c>
      <c r="B2095" t="s">
        <v>18</v>
      </c>
      <c r="C2095" t="s">
        <v>88</v>
      </c>
      <c r="D2095">
        <v>32</v>
      </c>
      <c r="E2095">
        <v>36</v>
      </c>
      <c r="F2095">
        <v>4</v>
      </c>
      <c r="G2095">
        <v>2</v>
      </c>
      <c r="H2095" s="1">
        <v>6.8055555555555551E-3</v>
      </c>
      <c r="I2095">
        <v>2024</v>
      </c>
      <c r="J2095" t="s">
        <v>83</v>
      </c>
      <c r="K2095" s="2" t="str">
        <f>HYPERLINK("https://www.nba.com/stats/events?CFID=&amp;CFPARAMS=&amp;GameEventID=163&amp;GameID=0022400659&amp;Season=2024-25&amp;flag=1&amp;title=Leonard%20running%20DUNK%20(2%20PTS)", "Running DUNK (2 PTS)")</f>
        <v>Running DUNK (2 PTS)</v>
      </c>
      <c r="L2095" s="2" t="str">
        <f>HYPERLINK("https://www.nba.com/game/...-vs-...-0022400659/play-by-play?watchFullGame=true", "LAC vs PHX - Q2 09:48.00")</f>
        <v>LAC vs PHX - Q2 09:48.00</v>
      </c>
      <c r="M2095">
        <v>2.2599999999999998</v>
      </c>
      <c r="N2095">
        <v>92.85</v>
      </c>
      <c r="O2095">
        <v>53.43</v>
      </c>
      <c r="P2095">
        <v>17</v>
      </c>
      <c r="Q2095">
        <v>15</v>
      </c>
      <c r="R2095">
        <v>92</v>
      </c>
      <c r="S2095">
        <v>53</v>
      </c>
    </row>
    <row r="2096" spans="1:19" hidden="1" x14ac:dyDescent="0.25">
      <c r="A2096">
        <v>42000223</v>
      </c>
      <c r="B2096" t="s">
        <v>18</v>
      </c>
      <c r="C2096" t="s">
        <v>88</v>
      </c>
      <c r="D2096">
        <v>75</v>
      </c>
      <c r="E2096">
        <v>58</v>
      </c>
      <c r="F2096">
        <v>17</v>
      </c>
      <c r="G2096">
        <v>3</v>
      </c>
      <c r="H2096" s="1">
        <v>5.2893518518518515E-3</v>
      </c>
      <c r="I2096" t="s">
        <v>94</v>
      </c>
      <c r="J2096" t="s">
        <v>83</v>
      </c>
      <c r="K2096" s="2" t="str">
        <f>HYPERLINK("https://www.nba.com/stats/events?CFID=&amp;CFPARAMS=&amp;GameEventID=342&amp;GameID=0042000223&amp;Season=2020-21&amp;flag=1&amp;title=Leonard%20driving%20DUNK%20(16%20PTS)", "Driving DUNK (16 PTS)")</f>
        <v>Driving DUNK (16 PTS)</v>
      </c>
      <c r="L2096" s="2" t="str">
        <f>HYPERLINK("https://www.nba.com/game/...-vs-...-0042000223/play-by-play?watchFullGame=true", "LAC vs UTA - Q3 07:37.00")</f>
        <v>LAC vs UTA - Q3 07:37.00</v>
      </c>
      <c r="M2096">
        <v>2.4300000000000002</v>
      </c>
      <c r="N2096">
        <v>92.03</v>
      </c>
      <c r="O2096">
        <v>51.89</v>
      </c>
      <c r="P2096">
        <v>92</v>
      </c>
      <c r="Q2096">
        <v>51</v>
      </c>
      <c r="R2096">
        <v>92</v>
      </c>
      <c r="S2096">
        <v>51</v>
      </c>
    </row>
    <row r="2097" spans="1:19" hidden="1" x14ac:dyDescent="0.25">
      <c r="A2097">
        <v>21900090</v>
      </c>
      <c r="B2097" t="s">
        <v>18</v>
      </c>
      <c r="C2097" t="s">
        <v>92</v>
      </c>
      <c r="D2097">
        <v>44</v>
      </c>
      <c r="E2097">
        <v>46</v>
      </c>
      <c r="F2097">
        <v>2</v>
      </c>
      <c r="G2097">
        <v>3</v>
      </c>
      <c r="H2097" s="1">
        <v>6.9212962962962961E-3</v>
      </c>
      <c r="I2097">
        <v>2019</v>
      </c>
      <c r="J2097" t="s">
        <v>83</v>
      </c>
      <c r="K2097" s="2" t="str">
        <f>HYPERLINK("https://www.nba.com/stats/events?CFID=&amp;CFPARAMS=&amp;GameEventID=370&amp;GameID=0021900090&amp;Season=2019-20&amp;flag=1&amp;title=[LAC]%20Leonard%20dunk:%20Made%20(10%20PTS)", "[LAC] Leonard dunk: Made (10 PTS)")</f>
        <v>[LAC] Leonard dunk: Made (10 PTS)</v>
      </c>
      <c r="L2097" s="2" t="str">
        <f>HYPERLINK("https://www.nba.com/game/...-vs-...-0021900090/play-by-play?watchFullGame=true", "LAC vs UTA - Q3 09:58.00")</f>
        <v>LAC vs UTA - Q3 09:58.00</v>
      </c>
      <c r="M2097">
        <v>2.0499999999999998</v>
      </c>
      <c r="N2097">
        <v>92.82</v>
      </c>
      <c r="O2097">
        <v>49.93</v>
      </c>
      <c r="P2097">
        <v>92</v>
      </c>
      <c r="Q2097">
        <v>15</v>
      </c>
      <c r="R2097">
        <v>92</v>
      </c>
      <c r="S2097">
        <v>49</v>
      </c>
    </row>
    <row r="2098" spans="1:19" hidden="1" x14ac:dyDescent="0.25">
      <c r="A2098">
        <v>42200172</v>
      </c>
      <c r="B2098" t="s">
        <v>18</v>
      </c>
      <c r="C2098" t="s">
        <v>88</v>
      </c>
      <c r="D2098">
        <v>23</v>
      </c>
      <c r="E2098">
        <v>19</v>
      </c>
      <c r="F2098">
        <v>4</v>
      </c>
      <c r="G2098">
        <v>1</v>
      </c>
      <c r="H2098" s="1">
        <v>1.5046296296296296E-3</v>
      </c>
      <c r="I2098" t="s">
        <v>96</v>
      </c>
      <c r="J2098" t="s">
        <v>83</v>
      </c>
      <c r="K2098" s="2" t="str">
        <f>HYPERLINK("https://www.nba.com/stats/events?CFID=&amp;CFPARAMS=&amp;GameEventID=127&amp;GameID=0042200172&amp;Season=2022-23&amp;flag=1&amp;title=Leonard%20running%20DUNK%20(5%20PTS)", "Running DUNK (5 PTS)")</f>
        <v>Running DUNK (5 PTS)</v>
      </c>
      <c r="L2098" s="2" t="str">
        <f>HYPERLINK("https://www.nba.com/game/...-vs-...-0042200172/play-by-play?watchFullGame=true", "LAC vs PHX - Q1 02:10.00")</f>
        <v>LAC vs PHX - Q1 02:10.00</v>
      </c>
      <c r="M2098">
        <v>2.0299999999999998</v>
      </c>
      <c r="N2098">
        <v>92.59</v>
      </c>
      <c r="O2098">
        <v>52.21</v>
      </c>
      <c r="P2098">
        <v>92</v>
      </c>
      <c r="Q2098">
        <v>52</v>
      </c>
      <c r="R2098">
        <v>92</v>
      </c>
      <c r="S2098">
        <v>52</v>
      </c>
    </row>
    <row r="2099" spans="1:19" hidden="1" x14ac:dyDescent="0.25">
      <c r="A2099">
        <v>42000177</v>
      </c>
      <c r="B2099" t="s">
        <v>18</v>
      </c>
      <c r="C2099" t="s">
        <v>88</v>
      </c>
      <c r="D2099">
        <v>31</v>
      </c>
      <c r="E2099">
        <v>26</v>
      </c>
      <c r="F2099">
        <v>5</v>
      </c>
      <c r="G2099">
        <v>1</v>
      </c>
      <c r="H2099" s="1">
        <v>2.2106481481481482E-3</v>
      </c>
      <c r="I2099" t="s">
        <v>91</v>
      </c>
      <c r="J2099" t="s">
        <v>83</v>
      </c>
      <c r="K2099" s="2" t="str">
        <f>HYPERLINK("https://www.nba.com/stats/events?CFID=&amp;CFPARAMS=&amp;GameEventID=99&amp;GameID=0042000177&amp;Season=2020-21&amp;flag=1&amp;title=Leonard%20running%20DUNK%20(9%20PTS)%20(T.%20Mann%201%20AST)", "Running DUNK (9 PTS) (T. Mann 1 AST)")</f>
        <v>Running DUNK (9 PTS) (T. Mann 1 AST)</v>
      </c>
      <c r="L2099" s="2" t="str">
        <f>HYPERLINK("https://www.nba.com/game/...-vs-...-0042000177/play-by-play?watchFullGame=true", "LAC vs DAL - Q1 03:11.00")</f>
        <v>LAC vs DAL - Q1 03:11.00</v>
      </c>
      <c r="M2099">
        <v>1.91</v>
      </c>
      <c r="N2099">
        <v>92.46</v>
      </c>
      <c r="O2099">
        <v>51.05</v>
      </c>
      <c r="P2099">
        <v>92</v>
      </c>
      <c r="Q2099">
        <v>51</v>
      </c>
      <c r="R2099">
        <v>92</v>
      </c>
      <c r="S2099">
        <v>51</v>
      </c>
    </row>
    <row r="2100" spans="1:19" hidden="1" x14ac:dyDescent="0.25">
      <c r="A2100">
        <v>42200172</v>
      </c>
      <c r="B2100" t="s">
        <v>18</v>
      </c>
      <c r="C2100" t="s">
        <v>88</v>
      </c>
      <c r="D2100">
        <v>51</v>
      </c>
      <c r="E2100">
        <v>39</v>
      </c>
      <c r="F2100">
        <v>12</v>
      </c>
      <c r="G2100">
        <v>2</v>
      </c>
      <c r="H2100" s="1">
        <v>3.4837962962962965E-3</v>
      </c>
      <c r="I2100" t="s">
        <v>96</v>
      </c>
      <c r="J2100" t="s">
        <v>83</v>
      </c>
      <c r="K2100" s="2" t="str">
        <f>HYPERLINK("https://www.nba.com/stats/events?CFID=&amp;CFPARAMS=&amp;GameEventID=256&amp;GameID=0042200172&amp;Season=2022-23&amp;flag=1&amp;title=Leonard%20driving%20DUNK%20(14%20PTS)", "Driving DUNK (14 PTS)")</f>
        <v>Driving DUNK (14 PTS)</v>
      </c>
      <c r="L2100" s="2" t="str">
        <f>HYPERLINK("https://www.nba.com/game/...-vs-...-0042200172/play-by-play?watchFullGame=true", "LAC vs PHX - Q2 05:01.00")</f>
        <v>LAC vs PHX - Q2 05:01.00</v>
      </c>
      <c r="M2100">
        <v>1.91</v>
      </c>
      <c r="N2100">
        <v>92.59</v>
      </c>
      <c r="O2100">
        <v>51.72</v>
      </c>
      <c r="P2100">
        <v>92</v>
      </c>
      <c r="Q2100">
        <v>51</v>
      </c>
      <c r="R2100">
        <v>92</v>
      </c>
      <c r="S2100">
        <v>51</v>
      </c>
    </row>
    <row r="2101" spans="1:19" hidden="1" x14ac:dyDescent="0.25">
      <c r="A2101">
        <v>22400983</v>
      </c>
      <c r="B2101" t="s">
        <v>18</v>
      </c>
      <c r="C2101" t="s">
        <v>88</v>
      </c>
      <c r="D2101">
        <v>23</v>
      </c>
      <c r="E2101">
        <v>12</v>
      </c>
      <c r="F2101">
        <v>11</v>
      </c>
      <c r="G2101">
        <v>1</v>
      </c>
      <c r="H2101" s="1">
        <v>2.8587962962962963E-3</v>
      </c>
      <c r="I2101">
        <v>2024</v>
      </c>
      <c r="J2101" t="s">
        <v>83</v>
      </c>
      <c r="K2101" s="2" t="str">
        <f>HYPERLINK("https://www.nba.com/stats/events?CFID=&amp;CFPARAMS=&amp;GameEventID=86&amp;GameID=0022400983&amp;Season=2024-25&amp;flag=1&amp;title=Leonard%20driving%20DUNK%20(2%20PTS)", "Driving DUNK (2 PTS)")</f>
        <v>Driving DUNK (2 PTS)</v>
      </c>
      <c r="L2101" s="2" t="str">
        <f>HYPERLINK("https://www.nba.com/game/...-vs-...-0022400983/play-by-play?watchFullGame=true", "LAC vs WAS - Q1 04:07.00")</f>
        <v>LAC vs WAS - Q1 04:07.00</v>
      </c>
      <c r="M2101">
        <v>1.34</v>
      </c>
      <c r="N2101">
        <v>92.99</v>
      </c>
      <c r="O2101">
        <v>50</v>
      </c>
      <c r="P2101">
        <v>92</v>
      </c>
      <c r="Q2101">
        <v>13</v>
      </c>
      <c r="R2101">
        <v>92</v>
      </c>
      <c r="S2101">
        <v>50</v>
      </c>
    </row>
    <row r="2102" spans="1:19" hidden="1" x14ac:dyDescent="0.25">
      <c r="A2102">
        <v>22300074</v>
      </c>
      <c r="B2102" t="s">
        <v>26</v>
      </c>
      <c r="C2102" t="s">
        <v>19</v>
      </c>
      <c r="D2102">
        <v>9</v>
      </c>
      <c r="E2102">
        <v>4</v>
      </c>
      <c r="F2102">
        <v>5</v>
      </c>
      <c r="G2102">
        <v>1</v>
      </c>
      <c r="H2102" s="1">
        <v>5.5555555555555558E-3</v>
      </c>
      <c r="I2102">
        <v>2023</v>
      </c>
      <c r="J2102" t="s">
        <v>83</v>
      </c>
      <c r="K2102" s="2" t="str">
        <f>HYPERLINK("https://www.nba.com/stats/events?CFID=&amp;CFPARAMS=&amp;GameEventID=59&amp;GameID=0022300074&amp;Season=2023-24&amp;flag=1&amp;title=Leonard%203PT%20%20(5%20PTS)%20(R.%20Westbrook%202%20AST)", "3PT  (5 PTS) (R. Westbrook 2 AST)")</f>
        <v>3PT  (5 PTS) (R. Westbrook 2 AST)</v>
      </c>
      <c r="L2102" s="2" t="str">
        <f>HYPERLINK("https://www.nba.com/game/...-vs-...-0022300074/play-by-play?watchFullGame=true", "LAC vs POR - Q1 08:00.00")</f>
        <v>LAC vs POR - Q1 08:00.00</v>
      </c>
      <c r="M2102">
        <v>23.8</v>
      </c>
      <c r="N2102">
        <v>93.08</v>
      </c>
      <c r="O2102">
        <v>2.4500000000000002</v>
      </c>
      <c r="P2102">
        <v>-238</v>
      </c>
      <c r="Q2102">
        <v>13</v>
      </c>
      <c r="R2102">
        <v>93</v>
      </c>
      <c r="S2102">
        <v>2</v>
      </c>
    </row>
    <row r="2103" spans="1:19" hidden="1" x14ac:dyDescent="0.25">
      <c r="A2103">
        <v>21900002</v>
      </c>
      <c r="B2103" t="s">
        <v>26</v>
      </c>
      <c r="C2103" t="s">
        <v>19</v>
      </c>
      <c r="D2103">
        <v>27</v>
      </c>
      <c r="E2103">
        <v>25</v>
      </c>
      <c r="F2103">
        <v>2</v>
      </c>
      <c r="G2103">
        <v>2</v>
      </c>
      <c r="H2103" s="1">
        <v>7.6620370370370366E-3</v>
      </c>
      <c r="I2103">
        <v>2019</v>
      </c>
      <c r="J2103" t="s">
        <v>83</v>
      </c>
      <c r="K2103" s="2" t="str">
        <f>HYPERLINK("https://www.nba.com/stats/events?CFID=&amp;CFPARAMS=&amp;GameEventID=185&amp;GameID=0021900002&amp;Season=2019-20&amp;flag=1&amp;title=Leonard%2023'%203PT%20%20(9%20PTS)%20(L.%20Williams%203%20AST)", "23' 3PT  (9 PTS) (L. Williams 3 AST)")</f>
        <v>23' 3PT  (9 PTS) (L. Williams 3 AST)</v>
      </c>
      <c r="L2103" s="2" t="str">
        <f>HYPERLINK("https://www.nba.com/game/...-vs-...-0021900002/play-by-play?watchFullGame=true", "LAC vs LAL - Q2 11:02.00")</f>
        <v>LAC vs LAL - Q2 11:02.00</v>
      </c>
      <c r="M2103">
        <v>23.24</v>
      </c>
      <c r="N2103">
        <v>93.61</v>
      </c>
      <c r="O2103">
        <v>3.61</v>
      </c>
      <c r="P2103">
        <v>-232</v>
      </c>
      <c r="Q2103">
        <v>8</v>
      </c>
      <c r="R2103">
        <v>93</v>
      </c>
      <c r="S2103">
        <v>3</v>
      </c>
    </row>
    <row r="2104" spans="1:19" hidden="1" x14ac:dyDescent="0.25">
      <c r="A2104">
        <v>22300716</v>
      </c>
      <c r="B2104" t="s">
        <v>26</v>
      </c>
      <c r="C2104" t="s">
        <v>19</v>
      </c>
      <c r="D2104">
        <v>16</v>
      </c>
      <c r="E2104">
        <v>7</v>
      </c>
      <c r="F2104">
        <v>9</v>
      </c>
      <c r="G2104">
        <v>1</v>
      </c>
      <c r="H2104" s="1">
        <v>4.9884259259259257E-3</v>
      </c>
      <c r="I2104">
        <v>2023</v>
      </c>
      <c r="J2104" t="s">
        <v>83</v>
      </c>
      <c r="K2104" s="2" t="str">
        <f>HYPERLINK("https://www.nba.com/stats/events?CFID=&amp;CFPARAMS=&amp;GameEventID=45&amp;GameID=0022300716&amp;Season=2023-24&amp;flag=1&amp;title=Leonard%203PT%20%20(3%20PTS)%20(J.%20Harden%202%20AST)", "3PT  (3 PTS) (J. Harden 2 AST)")</f>
        <v>3PT  (3 PTS) (J. Harden 2 AST)</v>
      </c>
      <c r="L2104" s="2" t="str">
        <f>HYPERLINK("https://www.nba.com/game/...-vs-...-0022300716/play-by-play?watchFullGame=true", "LAC vs ATL - Q1 07:11.00")</f>
        <v>LAC vs ATL - Q1 07:11.00</v>
      </c>
      <c r="M2104">
        <v>23.06</v>
      </c>
      <c r="N2104">
        <v>93.51</v>
      </c>
      <c r="O2104">
        <v>3.92</v>
      </c>
      <c r="P2104">
        <v>-230</v>
      </c>
      <c r="Q2104">
        <v>8</v>
      </c>
      <c r="R2104">
        <v>93</v>
      </c>
      <c r="S2104">
        <v>3</v>
      </c>
    </row>
    <row r="2105" spans="1:19" hidden="1" x14ac:dyDescent="0.25">
      <c r="A2105">
        <v>22000625</v>
      </c>
      <c r="B2105" t="s">
        <v>26</v>
      </c>
      <c r="C2105" t="s">
        <v>19</v>
      </c>
      <c r="D2105">
        <v>40</v>
      </c>
      <c r="E2105">
        <v>37</v>
      </c>
      <c r="F2105">
        <v>3</v>
      </c>
      <c r="G2105">
        <v>2</v>
      </c>
      <c r="H2105" s="1">
        <v>5.4629629629629629E-3</v>
      </c>
      <c r="I2105">
        <v>2020</v>
      </c>
      <c r="J2105" t="s">
        <v>83</v>
      </c>
      <c r="K2105" s="2" t="str">
        <f>HYPERLINK("https://www.nba.com/stats/events?CFID=&amp;CFPARAMS=&amp;GameEventID=221&amp;GameID=0022000625&amp;Season=2020-21&amp;flag=1&amp;title=Leonard%203PT%20%20(8%20PTS)%20(P.%20George%203%20AST)", "3PT  (8 PTS) (P. George 3 AST)")</f>
        <v>3PT  (8 PTS) (P. George 3 AST)</v>
      </c>
      <c r="L2105" s="2" t="str">
        <f>HYPERLINK("https://www.nba.com/game/...-vs-...-0022000625/play-by-play?watchFullGame=true", "LAC vs DAL - Q2 07:52.00")</f>
        <v>LAC vs DAL - Q2 07:52.00</v>
      </c>
      <c r="M2105">
        <v>23.02</v>
      </c>
      <c r="N2105">
        <v>93.38</v>
      </c>
      <c r="O2105">
        <v>3.99</v>
      </c>
      <c r="P2105">
        <v>-230</v>
      </c>
      <c r="Q2105">
        <v>10</v>
      </c>
      <c r="R2105">
        <v>93</v>
      </c>
      <c r="S2105">
        <v>3</v>
      </c>
    </row>
    <row r="2106" spans="1:19" hidden="1" x14ac:dyDescent="0.25">
      <c r="A2106">
        <v>22300956</v>
      </c>
      <c r="B2106" t="s">
        <v>26</v>
      </c>
      <c r="C2106" t="s">
        <v>19</v>
      </c>
      <c r="D2106">
        <v>88</v>
      </c>
      <c r="E2106">
        <v>70</v>
      </c>
      <c r="F2106">
        <v>18</v>
      </c>
      <c r="G2106">
        <v>3</v>
      </c>
      <c r="H2106" s="1">
        <v>3.414351851851852E-3</v>
      </c>
      <c r="I2106">
        <v>2023</v>
      </c>
      <c r="J2106" t="s">
        <v>83</v>
      </c>
      <c r="K2106" s="2" t="str">
        <f>HYPERLINK("https://www.nba.com/stats/events?CFID=&amp;CFPARAMS=&amp;GameEventID=356&amp;GameID=0022300956&amp;Season=2023-24&amp;flag=1&amp;title=Leonard%203PT%20%20(25%20PTS)%20(B.%20Hyland%207%20AST)", "3PT  (25 PTS) (B. Hyland 7 AST)")</f>
        <v>3PT  (25 PTS) (B. Hyland 7 AST)</v>
      </c>
      <c r="L2106" s="2" t="str">
        <f>HYPERLINK("https://www.nba.com/game/...-vs-...-0022300956/play-by-play?watchFullGame=true", "LAC vs CHI - Q3 04:55.00")</f>
        <v>LAC vs CHI - Q3 04:55.00</v>
      </c>
      <c r="M2106">
        <v>22.45</v>
      </c>
      <c r="N2106">
        <v>93.51</v>
      </c>
      <c r="O2106">
        <v>5.15</v>
      </c>
      <c r="P2106">
        <v>-224</v>
      </c>
      <c r="Q2106">
        <v>8</v>
      </c>
      <c r="R2106">
        <v>93</v>
      </c>
      <c r="S2106">
        <v>5</v>
      </c>
    </row>
    <row r="2107" spans="1:19" hidden="1" x14ac:dyDescent="0.25">
      <c r="A2107">
        <v>21900516</v>
      </c>
      <c r="B2107" t="s">
        <v>26</v>
      </c>
      <c r="C2107" t="s">
        <v>84</v>
      </c>
      <c r="D2107">
        <v>49</v>
      </c>
      <c r="E2107">
        <v>50</v>
      </c>
      <c r="F2107">
        <v>1</v>
      </c>
      <c r="G2107">
        <v>2</v>
      </c>
      <c r="H2107" s="1">
        <v>4.6296296296296294E-3</v>
      </c>
      <c r="I2107">
        <v>2019</v>
      </c>
      <c r="J2107" t="s">
        <v>83</v>
      </c>
      <c r="K2107" s="2" t="str">
        <f>HYPERLINK("https://www.nba.com/stats/events?CFID=&amp;CFPARAMS=&amp;GameEventID=254&amp;GameID=0021900516&amp;Season=2019-20&amp;flag=1&amp;title=Leonard%2022'%203PT%20%20(6%20PTS)%20(P.%20George%203%20AST)", "22' 3PT  (6 PTS) (P. George 3 AST)")</f>
        <v>22' 3PT  (6 PTS) (P. George 3 AST)</v>
      </c>
      <c r="L2107" s="2" t="str">
        <f>HYPERLINK("https://www.nba.com/game/...-vs-...-0021900516/play-by-play?watchFullGame=true", "LAC vs DET - Q2 06:40.00")</f>
        <v>LAC vs DET - Q2 06:40.00</v>
      </c>
      <c r="M2107">
        <v>21.89</v>
      </c>
      <c r="N2107">
        <v>93.61</v>
      </c>
      <c r="O2107">
        <v>6.3</v>
      </c>
      <c r="P2107">
        <v>-218</v>
      </c>
      <c r="Q2107">
        <v>8</v>
      </c>
      <c r="R2107">
        <v>93</v>
      </c>
      <c r="S2107">
        <v>6</v>
      </c>
    </row>
    <row r="2108" spans="1:19" hidden="1" x14ac:dyDescent="0.25">
      <c r="A2108">
        <v>22300897</v>
      </c>
      <c r="B2108" t="s">
        <v>18</v>
      </c>
      <c r="C2108" t="s">
        <v>19</v>
      </c>
      <c r="D2108">
        <v>35</v>
      </c>
      <c r="E2108">
        <v>50</v>
      </c>
      <c r="F2108">
        <v>15</v>
      </c>
      <c r="G2108">
        <v>2</v>
      </c>
      <c r="H2108" s="1">
        <v>2.5462962962962965E-3</v>
      </c>
      <c r="I2108">
        <v>2023</v>
      </c>
      <c r="J2108" t="s">
        <v>83</v>
      </c>
      <c r="K2108" s="2" t="str">
        <f>HYPERLINK("https://www.nba.com/stats/events?CFID=&amp;CFPARAMS=&amp;GameEventID=257&amp;GameID=0022300897&amp;Season=2023-24&amp;flag=1&amp;title=Leonard%2018'%20step%20back%20Jump%20Shot%20(8%20PTS)", "18' step back Jump Shot (8 PTS)")</f>
        <v>18' step back Jump Shot (8 PTS)</v>
      </c>
      <c r="L2108" s="2" t="str">
        <f>HYPERLINK("https://www.nba.com/game/...-vs-...-0022300897/play-by-play?watchFullGame=true", "LAC vs HOU - Q2 03:40.00")</f>
        <v>LAC vs HOU - Q2 03:40.00</v>
      </c>
      <c r="M2108">
        <v>18.88</v>
      </c>
      <c r="N2108">
        <v>93.77</v>
      </c>
      <c r="O2108">
        <v>12.25</v>
      </c>
      <c r="P2108">
        <v>-189</v>
      </c>
      <c r="Q2108">
        <v>6</v>
      </c>
      <c r="R2108">
        <v>93</v>
      </c>
      <c r="S2108">
        <v>12</v>
      </c>
    </row>
    <row r="2109" spans="1:19" hidden="1" x14ac:dyDescent="0.25">
      <c r="A2109">
        <v>21900499</v>
      </c>
      <c r="B2109" t="s">
        <v>18</v>
      </c>
      <c r="C2109" t="s">
        <v>84</v>
      </c>
      <c r="D2109">
        <v>10</v>
      </c>
      <c r="E2109">
        <v>11</v>
      </c>
      <c r="F2109">
        <v>1</v>
      </c>
      <c r="G2109">
        <v>1</v>
      </c>
      <c r="H2109" s="1">
        <v>3.9004629629629628E-3</v>
      </c>
      <c r="I2109">
        <v>2019</v>
      </c>
      <c r="J2109" t="s">
        <v>83</v>
      </c>
      <c r="K2109" s="2" t="str">
        <f>HYPERLINK("https://www.nba.com/stats/events?CFID=&amp;CFPARAMS=&amp;GameEventID=84&amp;GameID=0021900499&amp;Season=2019-20&amp;flag=1&amp;title=Leonard%2016'%20jumpshot%20(2%20PTS)%20(P.%20George%203%20AST)", "16' jumpshot (2 PTS) (P. George 3 AST)")</f>
        <v>16' jumpshot (2 PTS) (P. George 3 AST)</v>
      </c>
      <c r="L2109" s="2" t="str">
        <f>HYPERLINK("https://www.nba.com/game/...-vs-...-0021900499/play-by-play?watchFullGame=true", "LAC vs SAC - Q1 05:37.00")</f>
        <v>LAC vs SAC - Q1 05:37.00</v>
      </c>
      <c r="M2109">
        <v>15.94</v>
      </c>
      <c r="N2109">
        <v>93.77</v>
      </c>
      <c r="O2109">
        <v>18.21</v>
      </c>
      <c r="P2109">
        <v>-159</v>
      </c>
      <c r="Q2109">
        <v>6</v>
      </c>
      <c r="R2109">
        <v>93</v>
      </c>
      <c r="S2109">
        <v>18</v>
      </c>
    </row>
    <row r="2110" spans="1:19" hidden="1" x14ac:dyDescent="0.25">
      <c r="A2110">
        <v>22000172</v>
      </c>
      <c r="B2110" t="s">
        <v>18</v>
      </c>
      <c r="C2110" t="s">
        <v>19</v>
      </c>
      <c r="D2110">
        <v>70</v>
      </c>
      <c r="E2110">
        <v>57</v>
      </c>
      <c r="F2110">
        <v>13</v>
      </c>
      <c r="G2110">
        <v>3</v>
      </c>
      <c r="H2110" s="1">
        <v>4.8958333333333336E-3</v>
      </c>
      <c r="I2110">
        <v>2020</v>
      </c>
      <c r="J2110" t="s">
        <v>83</v>
      </c>
      <c r="K2110" s="2" t="str">
        <f>HYPERLINK("https://www.nba.com/stats/events?CFID=&amp;CFPARAMS=&amp;GameEventID=362&amp;GameID=0022000172&amp;Season=2020-21&amp;flag=1&amp;title=Leonard%2015'%20Jump%20Shot%20(12%20PTS)", "15' Jump Shot (12 PTS)")</f>
        <v>15' Jump Shot (12 PTS)</v>
      </c>
      <c r="L2110" s="2" t="str">
        <f>HYPERLINK("https://www.nba.com/game/...-vs-...-0022000172/play-by-play?watchFullGame=true", "LAC vs NOP - Q3 07:03.00")</f>
        <v>LAC vs NOP - Q3 07:03.00</v>
      </c>
      <c r="M2110">
        <v>15.78</v>
      </c>
      <c r="N2110">
        <v>93.74</v>
      </c>
      <c r="O2110">
        <v>81.55</v>
      </c>
      <c r="P2110">
        <v>158</v>
      </c>
      <c r="Q2110">
        <v>6</v>
      </c>
      <c r="R2110">
        <v>93</v>
      </c>
      <c r="S2110">
        <v>81</v>
      </c>
    </row>
    <row r="2111" spans="1:19" hidden="1" x14ac:dyDescent="0.25">
      <c r="A2111">
        <v>21900377</v>
      </c>
      <c r="B2111" t="s">
        <v>18</v>
      </c>
      <c r="C2111" t="s">
        <v>84</v>
      </c>
      <c r="D2111">
        <v>18</v>
      </c>
      <c r="E2111">
        <v>11</v>
      </c>
      <c r="F2111">
        <v>7</v>
      </c>
      <c r="G2111">
        <v>1</v>
      </c>
      <c r="H2111" s="1">
        <v>4.3981481481481484E-3</v>
      </c>
      <c r="I2111">
        <v>2019</v>
      </c>
      <c r="J2111" t="s">
        <v>83</v>
      </c>
      <c r="K2111" s="2" t="str">
        <f>HYPERLINK("https://www.nba.com/stats/events?CFID=&amp;CFPARAMS=&amp;GameEventID=63&amp;GameID=0021900377&amp;Season=2019-20&amp;flag=1&amp;title=Leonard%2016'%20jumpshot%20(11%20PTS)%20(P.%20George%201%20AST)", "16' jumpshot (11 PTS) (P. George 1 AST)")</f>
        <v>16' jumpshot (11 PTS) (P. George 1 AST)</v>
      </c>
      <c r="L2111" s="2" t="str">
        <f>HYPERLINK("https://www.nba.com/game/...-vs-...-0021900377/play-by-play?watchFullGame=true", "LAC vs MIN - Q1 06:20.00")</f>
        <v>LAC vs MIN - Q1 06:20.00</v>
      </c>
      <c r="M2111">
        <v>15.94</v>
      </c>
      <c r="N2111">
        <v>93.12</v>
      </c>
      <c r="O2111">
        <v>81.69</v>
      </c>
      <c r="P2111">
        <v>158</v>
      </c>
      <c r="Q2111">
        <v>12</v>
      </c>
      <c r="R2111">
        <v>93</v>
      </c>
      <c r="S2111">
        <v>81</v>
      </c>
    </row>
    <row r="2112" spans="1:19" hidden="1" x14ac:dyDescent="0.25">
      <c r="A2112">
        <v>41900155</v>
      </c>
      <c r="B2112" t="s">
        <v>18</v>
      </c>
      <c r="C2112" t="s">
        <v>84</v>
      </c>
      <c r="D2112">
        <v>104</v>
      </c>
      <c r="E2112">
        <v>77</v>
      </c>
      <c r="F2112">
        <v>27</v>
      </c>
      <c r="G2112">
        <v>3</v>
      </c>
      <c r="H2112" s="1">
        <v>2.7893518518518519E-3</v>
      </c>
      <c r="I2112" t="s">
        <v>86</v>
      </c>
      <c r="J2112" t="s">
        <v>83</v>
      </c>
      <c r="K2112" s="2" t="str">
        <f>HYPERLINK("https://www.nba.com/stats/events?CFID=&amp;CFPARAMS=&amp;GameEventID=476&amp;GameID=0041900155&amp;Season=2019-20&amp;flag=1&amp;title=Leonard%2018'%20jumpshot%20(29%20PTS)", "18' jumpshot (29 PTS)")</f>
        <v>18' jumpshot (29 PTS)</v>
      </c>
      <c r="L2112" s="2" t="str">
        <f>HYPERLINK("https://www.nba.com/game/...-vs-...-0041900155/play-by-play?watchFullGame=true", "LAC vs DAL - Q3 04:01.00")</f>
        <v>LAC vs DAL - Q3 04:01.00</v>
      </c>
      <c r="M2112">
        <v>18.489999999999998</v>
      </c>
      <c r="N2112">
        <v>93.25</v>
      </c>
      <c r="O2112">
        <v>86.83</v>
      </c>
      <c r="P2112">
        <v>184</v>
      </c>
      <c r="Q2112">
        <v>11</v>
      </c>
      <c r="R2112">
        <v>93</v>
      </c>
      <c r="S2112">
        <v>86</v>
      </c>
    </row>
    <row r="2113" spans="1:19" hidden="1" x14ac:dyDescent="0.25">
      <c r="A2113">
        <v>41900154</v>
      </c>
      <c r="B2113" t="s">
        <v>26</v>
      </c>
      <c r="C2113" t="s">
        <v>84</v>
      </c>
      <c r="D2113">
        <v>81</v>
      </c>
      <c r="E2113">
        <v>86</v>
      </c>
      <c r="F2113">
        <v>5</v>
      </c>
      <c r="G2113">
        <v>3</v>
      </c>
      <c r="H2113" s="1">
        <v>2.0023148148148148E-3</v>
      </c>
      <c r="I2113" t="s">
        <v>86</v>
      </c>
      <c r="J2113" t="s">
        <v>83</v>
      </c>
      <c r="K2113" s="2" t="str">
        <f>HYPERLINK("https://www.nba.com/stats/events?CFID=&amp;CFPARAMS=&amp;GameEventID=475&amp;GameID=0041900154&amp;Season=2019-20&amp;flag=1&amp;title=Leonard%2023'%203PT%20%20(19%20PTS)%20(L.%20Williams%204%20AST)", "23' 3PT  (19 PTS) (L. Williams 4 AST)")</f>
        <v>23' 3PT  (19 PTS) (L. Williams 4 AST)</v>
      </c>
      <c r="L2113" s="2" t="str">
        <f>HYPERLINK("https://www.nba.com/game/...-vs-...-0041900154/play-by-play?watchFullGame=true", "LAC vs DAL - Q3 02:53.00")</f>
        <v>LAC vs DAL - Q3 02:53.00</v>
      </c>
      <c r="M2113">
        <v>22.64</v>
      </c>
      <c r="N2113">
        <v>93.25</v>
      </c>
      <c r="O2113">
        <v>95.17</v>
      </c>
      <c r="P2113">
        <v>226</v>
      </c>
      <c r="Q2113">
        <v>11</v>
      </c>
      <c r="R2113">
        <v>93</v>
      </c>
      <c r="S2113">
        <v>95</v>
      </c>
    </row>
    <row r="2114" spans="1:19" hidden="1" x14ac:dyDescent="0.25">
      <c r="A2114">
        <v>22300014</v>
      </c>
      <c r="B2114" t="s">
        <v>26</v>
      </c>
      <c r="C2114" t="s">
        <v>19</v>
      </c>
      <c r="D2114">
        <v>19</v>
      </c>
      <c r="E2114">
        <v>18</v>
      </c>
      <c r="F2114">
        <v>1</v>
      </c>
      <c r="G2114">
        <v>1</v>
      </c>
      <c r="H2114" s="1">
        <v>3.3796296296296296E-3</v>
      </c>
      <c r="I2114">
        <v>2023</v>
      </c>
      <c r="J2114" t="s">
        <v>83</v>
      </c>
      <c r="K2114" s="2" t="str">
        <f>HYPERLINK("https://www.nba.com/stats/events?CFID=&amp;CFPARAMS=&amp;GameEventID=84&amp;GameID=0022300014&amp;Season=2023-24&amp;flag=1&amp;title=Leonard%203PT%20%20(12%20PTS)%20(I.%20Zubac%201%20AST)", "3PT  (12 PTS) (I. Zubac 1 AST)")</f>
        <v>3PT  (12 PTS) (I. Zubac 1 AST)</v>
      </c>
      <c r="L2114" s="2" t="str">
        <f>HYPERLINK("https://www.nba.com/game/...-vs-...-0022300014/play-by-play?watchFullGame=true", "LAC vs DAL - Q1 04:52.00")</f>
        <v>LAC vs DAL - Q1 04:52.00</v>
      </c>
      <c r="M2114">
        <v>22.68</v>
      </c>
      <c r="N2114">
        <v>93.64</v>
      </c>
      <c r="O2114">
        <v>95.34</v>
      </c>
      <c r="P2114">
        <v>227</v>
      </c>
      <c r="Q2114">
        <v>7</v>
      </c>
      <c r="R2114">
        <v>93</v>
      </c>
      <c r="S2114">
        <v>95</v>
      </c>
    </row>
    <row r="2115" spans="1:19" hidden="1" x14ac:dyDescent="0.25">
      <c r="A2115">
        <v>22000251</v>
      </c>
      <c r="B2115" t="s">
        <v>26</v>
      </c>
      <c r="C2115" t="s">
        <v>19</v>
      </c>
      <c r="D2115">
        <v>56</v>
      </c>
      <c r="E2115">
        <v>45</v>
      </c>
      <c r="F2115">
        <v>11</v>
      </c>
      <c r="G2115">
        <v>2</v>
      </c>
      <c r="H2115" s="1">
        <v>2.8125000000000003E-4</v>
      </c>
      <c r="I2115">
        <v>2020</v>
      </c>
      <c r="J2115" t="s">
        <v>83</v>
      </c>
      <c r="K2115" s="2" t="str">
        <f>HYPERLINK("https://www.nba.com/stats/events?CFID=&amp;CFPARAMS=&amp;GameEventID=304&amp;GameID=0022000251&amp;Season=2020-21&amp;flag=1&amp;title=Leonard%203PT%20%20(21%20PTS)%20(L.%20Kennard%201%20AST)", "3PT  (21 PTS) (L. Kennard 1 AST)")</f>
        <v>3PT  (21 PTS) (L. Kennard 1 AST)</v>
      </c>
      <c r="L2115" s="2" t="str">
        <f>HYPERLINK("https://www.nba.com/game/...-vs-...-0022000251/play-by-play?watchFullGame=true", "LAC vs OKC - Q2 00:24.30")</f>
        <v>LAC vs OKC - Q2 00:24.30</v>
      </c>
      <c r="M2115">
        <v>22.86</v>
      </c>
      <c r="N2115">
        <v>93.25</v>
      </c>
      <c r="O2115">
        <v>95.66</v>
      </c>
      <c r="P2115">
        <v>228</v>
      </c>
      <c r="Q2115">
        <v>11</v>
      </c>
      <c r="R2115">
        <v>93</v>
      </c>
      <c r="S2115">
        <v>95</v>
      </c>
    </row>
    <row r="2116" spans="1:19" hidden="1" x14ac:dyDescent="0.25">
      <c r="A2116">
        <v>22200745</v>
      </c>
      <c r="B2116" t="s">
        <v>26</v>
      </c>
      <c r="C2116" t="s">
        <v>19</v>
      </c>
      <c r="D2116">
        <v>50</v>
      </c>
      <c r="E2116">
        <v>46</v>
      </c>
      <c r="F2116">
        <v>4</v>
      </c>
      <c r="G2116">
        <v>2</v>
      </c>
      <c r="H2116" s="1">
        <v>2.4074074074074076E-3</v>
      </c>
      <c r="I2116">
        <v>2022</v>
      </c>
      <c r="J2116" t="s">
        <v>83</v>
      </c>
      <c r="K2116" s="2" t="str">
        <f>HYPERLINK("https://www.nba.com/stats/events?CFID=&amp;CFPARAMS=&amp;GameEventID=248&amp;GameID=0022200745&amp;Season=2022-23&amp;flag=1&amp;title=Leonard%203PT%20%20(10%20PTS)%20(P.%20George%204%20AST)", "3PT  (10 PTS) (P. George 4 AST)")</f>
        <v>3PT  (10 PTS) (P. George 4 AST)</v>
      </c>
      <c r="L2116" s="2" t="str">
        <f>HYPERLINK("https://www.nba.com/game/...-vs-...-0022200745/play-by-play?watchFullGame=true", "LAC vs ATL - Q2 03:28.00")</f>
        <v>LAC vs ATL - Q2 03:28.00</v>
      </c>
      <c r="M2116">
        <v>23.04</v>
      </c>
      <c r="N2116">
        <v>93.91</v>
      </c>
      <c r="O2116">
        <v>96.08</v>
      </c>
      <c r="P2116">
        <v>230</v>
      </c>
      <c r="Q2116">
        <v>5</v>
      </c>
      <c r="R2116">
        <v>93</v>
      </c>
      <c r="S2116">
        <v>96</v>
      </c>
    </row>
    <row r="2117" spans="1:19" hidden="1" x14ac:dyDescent="0.25">
      <c r="A2117">
        <v>22000289</v>
      </c>
      <c r="B2117" t="s">
        <v>18</v>
      </c>
      <c r="C2117" t="s">
        <v>19</v>
      </c>
      <c r="D2117">
        <v>47</v>
      </c>
      <c r="E2117">
        <v>38</v>
      </c>
      <c r="F2117">
        <v>9</v>
      </c>
      <c r="G2117">
        <v>2</v>
      </c>
      <c r="H2117" s="1">
        <v>3.7268518518518519E-3</v>
      </c>
      <c r="I2117">
        <v>2020</v>
      </c>
      <c r="J2117" t="s">
        <v>83</v>
      </c>
      <c r="K2117" s="2" t="str">
        <f>HYPERLINK("https://www.nba.com/stats/events?CFID=&amp;CFPARAMS=&amp;GameEventID=251&amp;GameID=0022000289&amp;Season=2020-21&amp;flag=1&amp;title=Leonard%2014'%20step%20back%20Jump%20Shot%20(11%20PTS)", "14' step back Jump Shot (11 PTS)")</f>
        <v>14' step back Jump Shot (11 PTS)</v>
      </c>
      <c r="L2117" s="2" t="str">
        <f>HYPERLINK("https://www.nba.com/game/...-vs-...-0022000289/play-by-play?watchFullGame=true", "LAC vs ORL - Q2 05:22.00")</f>
        <v>LAC vs ORL - Q2 05:22.00</v>
      </c>
      <c r="M2117">
        <v>14.46</v>
      </c>
      <c r="N2117">
        <v>93.51</v>
      </c>
      <c r="O2117">
        <v>21.15</v>
      </c>
      <c r="P2117">
        <v>-144</v>
      </c>
      <c r="Q2117">
        <v>8</v>
      </c>
      <c r="R2117">
        <v>93</v>
      </c>
      <c r="S2117">
        <v>21</v>
      </c>
    </row>
    <row r="2118" spans="1:19" hidden="1" x14ac:dyDescent="0.25">
      <c r="A2118">
        <v>22300325</v>
      </c>
      <c r="B2118" t="s">
        <v>18</v>
      </c>
      <c r="C2118" t="s">
        <v>19</v>
      </c>
      <c r="D2118">
        <v>99</v>
      </c>
      <c r="E2118">
        <v>86</v>
      </c>
      <c r="F2118">
        <v>13</v>
      </c>
      <c r="G2118">
        <v>3</v>
      </c>
      <c r="H2118" s="1">
        <v>8.2175925925925927E-4</v>
      </c>
      <c r="I2118">
        <v>2023</v>
      </c>
      <c r="J2118" t="s">
        <v>83</v>
      </c>
      <c r="K2118" s="2" t="str">
        <f>HYPERLINK("https://www.nba.com/stats/events?CFID=&amp;CFPARAMS=&amp;GameEventID=484&amp;GameID=0022300325&amp;Season=2023-24&amp;flag=1&amp;title=Leonard%2013'%20fadeaway%20Jump%20Shot%20(25%20PTS)%20(R.%20Westbrook%202%20AST)", "13' fadeaway Jump Shot (25 PTS) (R. Westbrook 2 AST)")</f>
        <v>13' fadeaway Jump Shot (25 PTS) (R. Westbrook 2 AST)</v>
      </c>
      <c r="L2118" s="2" t="str">
        <f>HYPERLINK("https://www.nba.com/game/...-vs-...-0022300325/play-by-play?watchFullGame=true", "LAC vs GSW - Q3 01:11.00")</f>
        <v>LAC vs GSW - Q3 01:11.00</v>
      </c>
      <c r="M2118">
        <v>13.63</v>
      </c>
      <c r="N2118">
        <v>93.48</v>
      </c>
      <c r="O2118">
        <v>22.79</v>
      </c>
      <c r="P2118">
        <v>-136</v>
      </c>
      <c r="Q2118">
        <v>9</v>
      </c>
      <c r="R2118">
        <v>93</v>
      </c>
      <c r="S2118">
        <v>22</v>
      </c>
    </row>
    <row r="2119" spans="1:19" hidden="1" x14ac:dyDescent="0.25">
      <c r="A2119">
        <v>42000222</v>
      </c>
      <c r="B2119" t="s">
        <v>18</v>
      </c>
      <c r="C2119" t="s">
        <v>19</v>
      </c>
      <c r="D2119">
        <v>69</v>
      </c>
      <c r="E2119">
        <v>79</v>
      </c>
      <c r="F2119">
        <v>10</v>
      </c>
      <c r="G2119">
        <v>3</v>
      </c>
      <c r="H2119" s="1">
        <v>3.8657407407407408E-3</v>
      </c>
      <c r="I2119" t="s">
        <v>94</v>
      </c>
      <c r="J2119" t="s">
        <v>83</v>
      </c>
      <c r="K2119" s="2" t="str">
        <f>HYPERLINK("https://www.nba.com/stats/events?CFID=&amp;CFPARAMS=&amp;GameEventID=380&amp;GameID=0042000222&amp;Season=2020-21&amp;flag=1&amp;title=Leonard%2013'%20pullup%20Jump%20Shot%20(19%20PTS)%20(R.%20Jackson%201%20AST)", "13' pullup Jump Shot (19 PTS) (R. Jackson 1 AST)")</f>
        <v>13' pullup Jump Shot (19 PTS) (R. Jackson 1 AST)</v>
      </c>
      <c r="L2119" s="2" t="str">
        <f>HYPERLINK("https://www.nba.com/game/...-vs-...-0042000222/play-by-play?watchFullGame=true", "LAC vs UTA - Q3 05:34.00")</f>
        <v>LAC vs UTA - Q3 05:34.00</v>
      </c>
      <c r="M2119">
        <v>13.4</v>
      </c>
      <c r="N2119">
        <v>93.77</v>
      </c>
      <c r="O2119">
        <v>76.78</v>
      </c>
      <c r="P2119">
        <v>93</v>
      </c>
      <c r="Q2119">
        <v>76</v>
      </c>
      <c r="R2119">
        <v>93</v>
      </c>
      <c r="S2119">
        <v>76</v>
      </c>
    </row>
    <row r="2120" spans="1:19" hidden="1" x14ac:dyDescent="0.25">
      <c r="A2120">
        <v>22300637</v>
      </c>
      <c r="B2120" t="s">
        <v>18</v>
      </c>
      <c r="C2120" t="s">
        <v>19</v>
      </c>
      <c r="D2120">
        <v>56</v>
      </c>
      <c r="E2120">
        <v>44</v>
      </c>
      <c r="F2120">
        <v>12</v>
      </c>
      <c r="G2120">
        <v>2</v>
      </c>
      <c r="H2120" s="1">
        <v>2.650462962962963E-3</v>
      </c>
      <c r="I2120">
        <v>2023</v>
      </c>
      <c r="J2120" t="s">
        <v>83</v>
      </c>
      <c r="K2120" s="2" t="str">
        <f>HYPERLINK("https://www.nba.com/stats/events?CFID=&amp;CFPARAMS=&amp;GameEventID=274&amp;GameID=0022300637&amp;Season=2023-24&amp;flag=1&amp;title=Leonard%2013'%20pullup%20Jump%20Shot%20(6%20PTS)", "13' pullup Jump Shot (6 PTS)")</f>
        <v>13' pullup Jump Shot (6 PTS)</v>
      </c>
      <c r="L2120" s="2" t="str">
        <f>HYPERLINK("https://www.nba.com/game/...-vs-...-0022300637/play-by-play?watchFullGame=true", "LAC vs TOR - Q2 03:49.00")</f>
        <v>LAC vs TOR - Q2 03:49.00</v>
      </c>
      <c r="M2120">
        <v>13.13</v>
      </c>
      <c r="N2120">
        <v>93.64</v>
      </c>
      <c r="O2120">
        <v>76.23</v>
      </c>
      <c r="P2120">
        <v>131</v>
      </c>
      <c r="Q2120">
        <v>7</v>
      </c>
      <c r="R2120">
        <v>93</v>
      </c>
      <c r="S2120">
        <v>76</v>
      </c>
    </row>
    <row r="2121" spans="1:19" hidden="1" x14ac:dyDescent="0.25">
      <c r="A2121">
        <v>22300264</v>
      </c>
      <c r="B2121" t="s">
        <v>18</v>
      </c>
      <c r="C2121" t="s">
        <v>19</v>
      </c>
      <c r="D2121">
        <v>127</v>
      </c>
      <c r="E2121">
        <v>111</v>
      </c>
      <c r="F2121">
        <v>16</v>
      </c>
      <c r="G2121">
        <v>4</v>
      </c>
      <c r="H2121" s="1">
        <v>2.3842592592592591E-3</v>
      </c>
      <c r="I2121">
        <v>2023</v>
      </c>
      <c r="J2121" t="s">
        <v>83</v>
      </c>
      <c r="K2121" s="2" t="str">
        <f>HYPERLINK("https://www.nba.com/stats/events?CFID=&amp;CFPARAMS=&amp;GameEventID=627&amp;GameID=0022300264&amp;Season=2023-24&amp;flag=1&amp;title=Leonard%2012'%20pullup%20Jump%20Shot%20(34%20PTS)%20(I.%20Zubac%203%20AST)", "12' pullup Jump Shot (34 PTS) (I. Zubac 3 AST)")</f>
        <v>12' pullup Jump Shot (34 PTS) (I. Zubac 3 AST)</v>
      </c>
      <c r="L2121" s="2" t="str">
        <f>HYPERLINK("https://www.nba.com/game/...-vs-...-0022300264/play-by-play?watchFullGame=true", "LAC vs SAC - Q4 03:26.00")</f>
        <v>LAC vs SAC - Q4 03:26.00</v>
      </c>
      <c r="M2121">
        <v>12.78</v>
      </c>
      <c r="N2121">
        <v>93.51</v>
      </c>
      <c r="O2121">
        <v>24.51</v>
      </c>
      <c r="P2121">
        <v>-127</v>
      </c>
      <c r="Q2121">
        <v>8</v>
      </c>
      <c r="R2121">
        <v>93</v>
      </c>
      <c r="S2121">
        <v>24</v>
      </c>
    </row>
    <row r="2122" spans="1:19" hidden="1" x14ac:dyDescent="0.25">
      <c r="A2122">
        <v>21901307</v>
      </c>
      <c r="B2122" t="s">
        <v>18</v>
      </c>
      <c r="C2122" t="s">
        <v>84</v>
      </c>
      <c r="D2122">
        <v>52</v>
      </c>
      <c r="E2122">
        <v>58</v>
      </c>
      <c r="F2122">
        <v>6</v>
      </c>
      <c r="G2122">
        <v>3</v>
      </c>
      <c r="H2122" s="1">
        <v>8.0902777777777778E-3</v>
      </c>
      <c r="I2122">
        <v>2019</v>
      </c>
      <c r="J2122" t="s">
        <v>83</v>
      </c>
      <c r="K2122" s="2" t="str">
        <f>HYPERLINK("https://www.nba.com/stats/events?CFID=&amp;CFPARAMS=&amp;GameEventID=327&amp;GameID=0021901307&amp;Season=2019-20&amp;flag=1&amp;title=Leonard%2012'%20jumpshot%20(16%20PTS)%20(M.%20Morris%20Sr.%202%20AST)", "12' jumpshot (16 PTS) (M. Morris Sr. 2 AST)")</f>
        <v>12' jumpshot (16 PTS) (M. Morris Sr. 2 AST)</v>
      </c>
      <c r="L2122" s="2" t="str">
        <f>HYPERLINK("https://www.nba.com/game/...-vs-...-0021901307/play-by-play?watchFullGame=true", "LAC vs DEN - Q3 11:39.00")</f>
        <v>LAC vs DEN - Q3 11:39.00</v>
      </c>
      <c r="M2122">
        <v>11.93</v>
      </c>
      <c r="N2122">
        <v>93.12</v>
      </c>
      <c r="O2122">
        <v>73.599999999999994</v>
      </c>
      <c r="P2122">
        <v>118</v>
      </c>
      <c r="Q2122">
        <v>12</v>
      </c>
      <c r="R2122">
        <v>93</v>
      </c>
      <c r="S2122">
        <v>73</v>
      </c>
    </row>
    <row r="2123" spans="1:19" hidden="1" x14ac:dyDescent="0.25">
      <c r="A2123">
        <v>22200766</v>
      </c>
      <c r="B2123" t="s">
        <v>18</v>
      </c>
      <c r="C2123" t="s">
        <v>19</v>
      </c>
      <c r="D2123">
        <v>69</v>
      </c>
      <c r="E2123">
        <v>69</v>
      </c>
      <c r="F2123">
        <v>0</v>
      </c>
      <c r="G2123">
        <v>3</v>
      </c>
      <c r="H2123" s="1">
        <v>4.178240740740741E-3</v>
      </c>
      <c r="I2123">
        <v>2022</v>
      </c>
      <c r="J2123" t="s">
        <v>83</v>
      </c>
      <c r="K2123" s="2" t="str">
        <f>HYPERLINK("https://www.nba.com/stats/events?CFID=&amp;CFPARAMS=&amp;GameEventID=386&amp;GameID=0022200766&amp;Season=2022-23&amp;flag=1&amp;title=Leonard%2011'%20pullup%20Jump%20Shot%20(17%20PTS)", "11' pullup Jump Shot (17 PTS)")</f>
        <v>11' pullup Jump Shot (17 PTS)</v>
      </c>
      <c r="L2123" s="2" t="str">
        <f>HYPERLINK("https://www.nba.com/game/...-vs-...-0022200766/play-by-play?watchFullGame=true", "LAC vs CHI - Q3 06:01.00")</f>
        <v>LAC vs CHI - Q3 06:01.00</v>
      </c>
      <c r="M2123">
        <v>11.92</v>
      </c>
      <c r="N2123">
        <v>93.51</v>
      </c>
      <c r="O2123">
        <v>73.77</v>
      </c>
      <c r="P2123">
        <v>119</v>
      </c>
      <c r="Q2123">
        <v>8</v>
      </c>
      <c r="R2123">
        <v>93</v>
      </c>
      <c r="S2123">
        <v>73</v>
      </c>
    </row>
    <row r="2124" spans="1:19" hidden="1" x14ac:dyDescent="0.25">
      <c r="A2124">
        <v>22000488</v>
      </c>
      <c r="B2124" t="s">
        <v>18</v>
      </c>
      <c r="C2124" t="s">
        <v>19</v>
      </c>
      <c r="D2124">
        <v>61</v>
      </c>
      <c r="E2124">
        <v>42</v>
      </c>
      <c r="F2124">
        <v>19</v>
      </c>
      <c r="G2124">
        <v>2</v>
      </c>
      <c r="H2124" s="1">
        <v>2.7893518518518519E-3</v>
      </c>
      <c r="I2124">
        <v>2020</v>
      </c>
      <c r="J2124" t="s">
        <v>83</v>
      </c>
      <c r="K2124" s="2" t="str">
        <f>HYPERLINK("https://www.nba.com/stats/events?CFID=&amp;CFPARAMS=&amp;GameEventID=283&amp;GameID=0022000488&amp;Season=2020-21&amp;flag=1&amp;title=Leonard%2010'%20turnaround%20Jump%20Shot%20(13%20PTS)%20(P.%20George%201%20AST)", "10' turnaround Jump Shot (13 PTS) (P. George 1 AST)")</f>
        <v>10' turnaround Jump Shot (13 PTS) (P. George 1 AST)</v>
      </c>
      <c r="L2124" s="2" t="str">
        <f>HYPERLINK("https://www.nba.com/game/...-vs-...-0022000488/play-by-play?watchFullGame=true", "LAC vs WAS - Q2 04:01.00")</f>
        <v>LAC vs WAS - Q2 04:01.00</v>
      </c>
      <c r="M2124">
        <v>10.36</v>
      </c>
      <c r="N2124">
        <v>93.51</v>
      </c>
      <c r="O2124">
        <v>70.66</v>
      </c>
      <c r="P2124">
        <v>103</v>
      </c>
      <c r="Q2124">
        <v>8</v>
      </c>
      <c r="R2124">
        <v>93</v>
      </c>
      <c r="S2124">
        <v>70</v>
      </c>
    </row>
    <row r="2125" spans="1:19" hidden="1" x14ac:dyDescent="0.25">
      <c r="A2125">
        <v>22301003</v>
      </c>
      <c r="B2125" t="s">
        <v>18</v>
      </c>
      <c r="C2125" t="s">
        <v>19</v>
      </c>
      <c r="D2125">
        <v>22</v>
      </c>
      <c r="E2125">
        <v>20</v>
      </c>
      <c r="F2125">
        <v>2</v>
      </c>
      <c r="G2125">
        <v>1</v>
      </c>
      <c r="H2125" s="1">
        <v>1.7708333333333332E-3</v>
      </c>
      <c r="I2125">
        <v>2023</v>
      </c>
      <c r="J2125" t="s">
        <v>83</v>
      </c>
      <c r="K2125" s="2" t="str">
        <f>HYPERLINK("https://www.nba.com/stats/events?CFID=&amp;CFPARAMS=&amp;GameEventID=102&amp;GameID=0022301003&amp;Season=2023-24&amp;flag=1&amp;title=Leonard%2010'%20fadeaway%20Jump%20Shot%20(4%20PTS)%20(B.%20Hyland%202%20AST)", "10' fadeaway Jump Shot (4 PTS) (B. Hyland 2 AST)")</f>
        <v>10' fadeaway Jump Shot (4 PTS) (B. Hyland 2 AST)</v>
      </c>
      <c r="L2125" s="2" t="str">
        <f>HYPERLINK("https://www.nba.com/game/...-vs-...-0022301003/play-by-play?watchFullGame=true", "LAC vs POR - Q1 02:33.00")</f>
        <v>LAC vs POR - Q1 02:33.00</v>
      </c>
      <c r="M2125">
        <v>10.34</v>
      </c>
      <c r="N2125">
        <v>93.38</v>
      </c>
      <c r="O2125">
        <v>29.41</v>
      </c>
      <c r="P2125">
        <v>-103</v>
      </c>
      <c r="Q2125">
        <v>10</v>
      </c>
      <c r="R2125">
        <v>93</v>
      </c>
      <c r="S2125">
        <v>29</v>
      </c>
    </row>
    <row r="2126" spans="1:19" hidden="1" x14ac:dyDescent="0.25">
      <c r="A2126">
        <v>21900653</v>
      </c>
      <c r="B2126" t="s">
        <v>18</v>
      </c>
      <c r="C2126" t="s">
        <v>84</v>
      </c>
      <c r="D2126">
        <v>79</v>
      </c>
      <c r="E2126">
        <v>69</v>
      </c>
      <c r="F2126">
        <v>10</v>
      </c>
      <c r="G2126">
        <v>3</v>
      </c>
      <c r="H2126" s="1">
        <v>2.4189814814814816E-3</v>
      </c>
      <c r="I2126">
        <v>2019</v>
      </c>
      <c r="J2126" t="s">
        <v>83</v>
      </c>
      <c r="K2126" s="2" t="str">
        <f>HYPERLINK("https://www.nba.com/stats/events?CFID=&amp;CFPARAMS=&amp;GameEventID=493&amp;GameID=0021900653&amp;Season=2019-20&amp;flag=1&amp;title=Leonard%2010'%20jumpshot%20(25%20PTS)", "10' jumpshot (25 PTS)")</f>
        <v>10' jumpshot (25 PTS)</v>
      </c>
      <c r="L2126" s="2" t="str">
        <f>HYPERLINK("https://www.nba.com/game/...-vs-...-0021900653/play-by-play?watchFullGame=true", "LAC vs DAL - Q3 03:29.00")</f>
        <v>LAC vs DAL - Q3 03:29.00</v>
      </c>
      <c r="M2126">
        <v>9.5299999999999994</v>
      </c>
      <c r="N2126">
        <v>93.91</v>
      </c>
      <c r="O2126">
        <v>68.94</v>
      </c>
      <c r="P2126">
        <v>95</v>
      </c>
      <c r="Q2126">
        <v>5</v>
      </c>
      <c r="R2126">
        <v>93</v>
      </c>
      <c r="S2126">
        <v>68</v>
      </c>
    </row>
    <row r="2127" spans="1:19" hidden="1" x14ac:dyDescent="0.25">
      <c r="A2127">
        <v>22201129</v>
      </c>
      <c r="B2127" t="s">
        <v>18</v>
      </c>
      <c r="C2127" t="s">
        <v>19</v>
      </c>
      <c r="D2127">
        <v>113</v>
      </c>
      <c r="E2127">
        <v>91</v>
      </c>
      <c r="F2127">
        <v>22</v>
      </c>
      <c r="G2127">
        <v>4</v>
      </c>
      <c r="H2127" s="1">
        <v>4.3981481481481484E-3</v>
      </c>
      <c r="I2127">
        <v>2022</v>
      </c>
      <c r="J2127" t="s">
        <v>83</v>
      </c>
      <c r="K2127" s="2" t="str">
        <f>HYPERLINK("https://www.nba.com/stats/events?CFID=&amp;CFPARAMS=&amp;GameEventID=515&amp;GameID=0022201129&amp;Season=2022-23&amp;flag=1&amp;title=Leonard%207'%20pullup%20Jump%20Shot%20(18%20PTS)%20(E.%20Gordon%203%20AST)", "7' pullup Jump Shot (18 PTS) (E. Gordon 3 AST)")</f>
        <v>7' pullup Jump Shot (18 PTS) (E. Gordon 3 AST)</v>
      </c>
      <c r="L2127" s="2" t="str">
        <f>HYPERLINK("https://www.nba.com/game/...-vs-...-0022201129/play-by-play?watchFullGame=true", "LAC vs CHI - Q4 06:20.00")</f>
        <v>LAC vs CHI - Q4 06:20.00</v>
      </c>
      <c r="M2127">
        <v>7.01</v>
      </c>
      <c r="N2127">
        <v>93.87</v>
      </c>
      <c r="O2127">
        <v>63.97</v>
      </c>
      <c r="P2127">
        <v>70</v>
      </c>
      <c r="Q2127">
        <v>5</v>
      </c>
      <c r="R2127">
        <v>93</v>
      </c>
      <c r="S2127">
        <v>63</v>
      </c>
    </row>
    <row r="2128" spans="1:19" hidden="1" x14ac:dyDescent="0.25">
      <c r="A2128">
        <v>22000867</v>
      </c>
      <c r="B2128" t="s">
        <v>18</v>
      </c>
      <c r="C2128" t="s">
        <v>89</v>
      </c>
      <c r="D2128">
        <v>14</v>
      </c>
      <c r="E2128">
        <v>10</v>
      </c>
      <c r="F2128">
        <v>4</v>
      </c>
      <c r="G2128">
        <v>1</v>
      </c>
      <c r="H2128" s="1">
        <v>5.6597222222222222E-3</v>
      </c>
      <c r="I2128">
        <v>2020</v>
      </c>
      <c r="J2128" t="s">
        <v>83</v>
      </c>
      <c r="K2128" s="2" t="str">
        <f>HYPERLINK("https://www.nba.com/stats/events?CFID=&amp;CFPARAMS=&amp;GameEventID=42&amp;GameID=0022000867&amp;Season=2020-21&amp;flag=1&amp;title=Leonard%206'%20driving%20Hook%20(5%20PTS)", "6' driving Hook (5 PTS)")</f>
        <v>6' driving Hook (5 PTS)</v>
      </c>
      <c r="L2128" s="2" t="str">
        <f>HYPERLINK("https://www.nba.com/game/...-vs-...-0022000867/play-by-play?watchFullGame=true", "LAC vs MIN - Q1 08:09.00")</f>
        <v>LAC vs MIN - Q1 08:09.00</v>
      </c>
      <c r="M2128">
        <v>6.99</v>
      </c>
      <c r="N2128">
        <v>93.25</v>
      </c>
      <c r="O2128">
        <v>63.79</v>
      </c>
      <c r="P2128">
        <v>69</v>
      </c>
      <c r="Q2128">
        <v>11</v>
      </c>
      <c r="R2128">
        <v>93</v>
      </c>
      <c r="S2128">
        <v>63</v>
      </c>
    </row>
    <row r="2129" spans="1:19" hidden="1" x14ac:dyDescent="0.25">
      <c r="A2129">
        <v>41900234</v>
      </c>
      <c r="B2129" t="s">
        <v>18</v>
      </c>
      <c r="C2129" t="s">
        <v>84</v>
      </c>
      <c r="D2129">
        <v>50</v>
      </c>
      <c r="E2129">
        <v>48</v>
      </c>
      <c r="F2129">
        <v>2</v>
      </c>
      <c r="G2129">
        <v>3</v>
      </c>
      <c r="H2129" s="1">
        <v>6.898148148148148E-3</v>
      </c>
      <c r="I2129" t="s">
        <v>85</v>
      </c>
      <c r="J2129" t="s">
        <v>83</v>
      </c>
      <c r="K2129" s="2" t="str">
        <f>HYPERLINK("https://www.nba.com/stats/events?CFID=&amp;CFPARAMS=&amp;GameEventID=372&amp;GameID=0041900234&amp;Season=2019-20&amp;flag=1&amp;title=Leonard%20jumpshot%20(19%20PTS)", "Jumpshot (19 PTS)")</f>
        <v>Jumpshot (19 PTS)</v>
      </c>
      <c r="L2129" s="2" t="str">
        <f>HYPERLINK("https://www.nba.com/game/...-vs-...-0041900234/play-by-play?watchFullGame=true", "LAC vs DEN - Q3 09:56.00")</f>
        <v>LAC vs DEN - Q3 09:56.00</v>
      </c>
      <c r="M2129">
        <v>4.9000000000000004</v>
      </c>
      <c r="N2129">
        <v>93.12</v>
      </c>
      <c r="O2129">
        <v>59.14</v>
      </c>
      <c r="P2129">
        <v>46</v>
      </c>
      <c r="Q2129">
        <v>12</v>
      </c>
      <c r="R2129">
        <v>93</v>
      </c>
      <c r="S2129">
        <v>59</v>
      </c>
    </row>
    <row r="2130" spans="1:19" hidden="1" x14ac:dyDescent="0.25">
      <c r="A2130">
        <v>42000176</v>
      </c>
      <c r="B2130" t="s">
        <v>18</v>
      </c>
      <c r="C2130" t="s">
        <v>19</v>
      </c>
      <c r="D2130">
        <v>32</v>
      </c>
      <c r="E2130">
        <v>39</v>
      </c>
      <c r="F2130">
        <v>7</v>
      </c>
      <c r="G2130">
        <v>2</v>
      </c>
      <c r="H2130" s="1">
        <v>4.7222222222222223E-3</v>
      </c>
      <c r="I2130" t="s">
        <v>91</v>
      </c>
      <c r="J2130" t="s">
        <v>83</v>
      </c>
      <c r="K2130" s="2" t="str">
        <f>HYPERLINK("https://www.nba.com/stats/events?CFID=&amp;CFPARAMS=&amp;GameEventID=213&amp;GameID=0042000176&amp;Season=2020-21&amp;flag=1&amp;title=Leonard%20turnaround%20fadeaway%20Jump%20Shot%20(5%20PTS)%20(R.%20Rondo%201%20AST)", "Turnaround fadeaway Jump Shot (5 PTS) (R. Rondo 1 AST)")</f>
        <v>Turnaround fadeaway Jump Shot (5 PTS) (R. Rondo 1 AST)</v>
      </c>
      <c r="L2130" s="2" t="str">
        <f>HYPERLINK("https://www.nba.com/game/...-vs-...-0042000176/play-by-play?watchFullGame=true", "LAC vs DAL - Q2 06:48.00")</f>
        <v>LAC vs DAL - Q2 06:48.00</v>
      </c>
      <c r="M2130">
        <v>4.26</v>
      </c>
      <c r="N2130">
        <v>93.12</v>
      </c>
      <c r="O2130">
        <v>58.16</v>
      </c>
      <c r="P2130">
        <v>93</v>
      </c>
      <c r="Q2130">
        <v>58</v>
      </c>
      <c r="R2130">
        <v>93</v>
      </c>
      <c r="S2130">
        <v>58</v>
      </c>
    </row>
    <row r="2131" spans="1:19" hidden="1" x14ac:dyDescent="0.25">
      <c r="A2131">
        <v>22200945</v>
      </c>
      <c r="B2131" t="s">
        <v>18</v>
      </c>
      <c r="C2131" t="s">
        <v>87</v>
      </c>
      <c r="D2131">
        <v>25</v>
      </c>
      <c r="E2131">
        <v>24</v>
      </c>
      <c r="F2131">
        <v>1</v>
      </c>
      <c r="G2131">
        <v>1</v>
      </c>
      <c r="H2131" s="1">
        <v>9.4907407407407408E-4</v>
      </c>
      <c r="I2131">
        <v>2022</v>
      </c>
      <c r="J2131" t="s">
        <v>83</v>
      </c>
      <c r="K2131" s="2" t="str">
        <f>HYPERLINK("https://www.nba.com/stats/events?CFID=&amp;CFPARAMS=&amp;GameEventID=126&amp;GameID=0022200945&amp;Season=2022-23&amp;flag=1&amp;title=Leonard%20driving%20Layup%20(11%20PTS)", "Driving Layup (11 PTS)")</f>
        <v>Driving Layup (11 PTS)</v>
      </c>
      <c r="L2131" s="2" t="str">
        <f>HYPERLINK("https://www.nba.com/game/...-vs-...-0022200945/play-by-play?watchFullGame=true", "LAC vs GSW - Q1 01:22.00")</f>
        <v>LAC vs GSW - Q1 01:22.00</v>
      </c>
      <c r="M2131">
        <v>3.81</v>
      </c>
      <c r="N2131">
        <v>93.38</v>
      </c>
      <c r="O2131">
        <v>42.65</v>
      </c>
      <c r="P2131">
        <v>-37</v>
      </c>
      <c r="Q2131">
        <v>10</v>
      </c>
      <c r="R2131">
        <v>93</v>
      </c>
      <c r="S2131">
        <v>42</v>
      </c>
    </row>
    <row r="2132" spans="1:19" hidden="1" x14ac:dyDescent="0.25">
      <c r="A2132">
        <v>22300085</v>
      </c>
      <c r="B2132" t="s">
        <v>18</v>
      </c>
      <c r="C2132" t="s">
        <v>87</v>
      </c>
      <c r="D2132">
        <v>6</v>
      </c>
      <c r="E2132">
        <v>10</v>
      </c>
      <c r="F2132">
        <v>4</v>
      </c>
      <c r="G2132">
        <v>1</v>
      </c>
      <c r="H2132" s="1">
        <v>6.0648148148148145E-3</v>
      </c>
      <c r="I2132">
        <v>2023</v>
      </c>
      <c r="J2132" t="s">
        <v>83</v>
      </c>
      <c r="K2132" s="2" t="str">
        <f>HYPERLINK("https://www.nba.com/stats/events?CFID=&amp;CFPARAMS=&amp;GameEventID=40&amp;GameID=0022300085&amp;Season=2023-24&amp;flag=1&amp;title=Leonard%20driving%20Layup%20(2%20PTS)", "Driving Layup (2 PTS)")</f>
        <v>Driving Layup (2 PTS)</v>
      </c>
      <c r="L2132" s="2" t="str">
        <f>HYPERLINK("https://www.nba.com/game/...-vs-...-0022300085/play-by-play?watchFullGame=true", "LAC vs UTA - Q1 08:44.00")</f>
        <v>LAC vs UTA - Q1 08:44.00</v>
      </c>
      <c r="M2132">
        <v>3.53</v>
      </c>
      <c r="N2132">
        <v>93.12</v>
      </c>
      <c r="O2132">
        <v>56.62</v>
      </c>
      <c r="P2132">
        <v>33</v>
      </c>
      <c r="Q2132">
        <v>12</v>
      </c>
      <c r="R2132">
        <v>93</v>
      </c>
      <c r="S2132">
        <v>56</v>
      </c>
    </row>
    <row r="2133" spans="1:19" hidden="1" x14ac:dyDescent="0.25">
      <c r="A2133">
        <v>22300688</v>
      </c>
      <c r="B2133" t="s">
        <v>18</v>
      </c>
      <c r="C2133" t="s">
        <v>87</v>
      </c>
      <c r="D2133">
        <v>10</v>
      </c>
      <c r="E2133">
        <v>22</v>
      </c>
      <c r="F2133">
        <v>12</v>
      </c>
      <c r="G2133">
        <v>1</v>
      </c>
      <c r="H2133" s="1">
        <v>3.2870370370370371E-3</v>
      </c>
      <c r="I2133">
        <v>2023</v>
      </c>
      <c r="J2133" t="s">
        <v>83</v>
      </c>
      <c r="K2133" s="2" t="str">
        <f>HYPERLINK("https://www.nba.com/stats/events?CFID=&amp;CFPARAMS=&amp;GameEventID=82&amp;GameID=0022300688&amp;Season=2023-24&amp;flag=1&amp;title=Leonard%20driving%20Layup%20(4%20PTS)%20(R.%20Westbrook%202%20AST)", "Driving Layup (4 PTS) (R. Westbrook 2 AST)")</f>
        <v>Driving Layup (4 PTS) (R. Westbrook 2 AST)</v>
      </c>
      <c r="L2133" s="2" t="str">
        <f>HYPERLINK("https://www.nba.com/game/...-vs-...-0022300688/play-by-play?watchFullGame=true", "LAC vs DET - Q1 04:44.00")</f>
        <v>LAC vs DET - Q1 04:44.00</v>
      </c>
      <c r="M2133">
        <v>3.49</v>
      </c>
      <c r="N2133">
        <v>93.25</v>
      </c>
      <c r="O2133">
        <v>56.62</v>
      </c>
      <c r="P2133">
        <v>33</v>
      </c>
      <c r="Q2133">
        <v>11</v>
      </c>
      <c r="R2133">
        <v>93</v>
      </c>
      <c r="S2133">
        <v>56</v>
      </c>
    </row>
    <row r="2134" spans="1:19" hidden="1" x14ac:dyDescent="0.25">
      <c r="A2134">
        <v>21900589</v>
      </c>
      <c r="B2134" t="s">
        <v>18</v>
      </c>
      <c r="C2134" t="s">
        <v>92</v>
      </c>
      <c r="D2134">
        <v>54</v>
      </c>
      <c r="E2134">
        <v>68</v>
      </c>
      <c r="F2134">
        <v>14</v>
      </c>
      <c r="G2134">
        <v>3</v>
      </c>
      <c r="H2134" s="1">
        <v>7.5347222222222222E-3</v>
      </c>
      <c r="I2134">
        <v>2019</v>
      </c>
      <c r="J2134" t="s">
        <v>83</v>
      </c>
      <c r="K2134" s="2" t="str">
        <f>HYPERLINK("https://www.nba.com/stats/events?CFID=&amp;CFPARAMS=&amp;GameEventID=342&amp;GameID=0021900589&amp;Season=2019-20&amp;flag=1&amp;title=Leonard%20dunk%20(17%20PTS)", "Dunk (17 PTS)")</f>
        <v>Dunk (17 PTS)</v>
      </c>
      <c r="L2134" s="2" t="str">
        <f>HYPERLINK("https://www.nba.com/game/...-vs-...-0021900589/play-by-play?watchFullGame=true", "LAC vs DEN - Q3 10:51.00")</f>
        <v>LAC vs DEN - Q3 10:51.00</v>
      </c>
      <c r="M2134">
        <v>1.84</v>
      </c>
      <c r="N2134">
        <v>93.51</v>
      </c>
      <c r="O2134">
        <v>47.62</v>
      </c>
      <c r="P2134">
        <v>-12</v>
      </c>
      <c r="Q2134">
        <v>8</v>
      </c>
      <c r="R2134">
        <v>93</v>
      </c>
      <c r="S2134">
        <v>47</v>
      </c>
    </row>
    <row r="2135" spans="1:19" hidden="1" x14ac:dyDescent="0.25">
      <c r="A2135">
        <v>22400733</v>
      </c>
      <c r="B2135" t="s">
        <v>18</v>
      </c>
      <c r="C2135" t="s">
        <v>88</v>
      </c>
      <c r="D2135">
        <v>13</v>
      </c>
      <c r="E2135">
        <v>2</v>
      </c>
      <c r="F2135">
        <v>11</v>
      </c>
      <c r="G2135">
        <v>1</v>
      </c>
      <c r="H2135" s="1">
        <v>6.3425925925925924E-3</v>
      </c>
      <c r="I2135">
        <v>2024</v>
      </c>
      <c r="J2135" t="s">
        <v>83</v>
      </c>
      <c r="K2135" s="2" t="str">
        <f>HYPERLINK("https://www.nba.com/stats/events?CFID=&amp;CFPARAMS=&amp;GameEventID=29&amp;GameID=0022400733&amp;Season=2024-25&amp;flag=1&amp;title=Leonard%20running%20DUNK%20(5%20PTS)%20(N.%20Powell%202%20AST)", "Running DUNK (5 PTS) (N. Powell 2 AST)")</f>
        <v>Running DUNK (5 PTS) (N. Powell 2 AST)</v>
      </c>
      <c r="L2135" s="2" t="str">
        <f>HYPERLINK("https://www.nba.com/game/...-vs-...-0022400733/play-by-play?watchFullGame=true", "LAC vs IND - Q1 09:08.00")</f>
        <v>LAC vs IND - Q1 09:08.00</v>
      </c>
      <c r="M2135">
        <v>1.73</v>
      </c>
      <c r="N2135">
        <v>93.12</v>
      </c>
      <c r="O2135">
        <v>47.55</v>
      </c>
      <c r="P2135">
        <v>-12</v>
      </c>
      <c r="Q2135">
        <v>12</v>
      </c>
      <c r="R2135">
        <v>93</v>
      </c>
      <c r="S2135">
        <v>47</v>
      </c>
    </row>
    <row r="2136" spans="1:19" hidden="1" x14ac:dyDescent="0.25">
      <c r="A2136">
        <v>22000775</v>
      </c>
      <c r="B2136" t="s">
        <v>18</v>
      </c>
      <c r="C2136" t="s">
        <v>87</v>
      </c>
      <c r="D2136">
        <v>22</v>
      </c>
      <c r="E2136">
        <v>12</v>
      </c>
      <c r="F2136">
        <v>10</v>
      </c>
      <c r="G2136">
        <v>1</v>
      </c>
      <c r="H2136" s="1">
        <v>5.1967592592592595E-3</v>
      </c>
      <c r="I2136">
        <v>2020</v>
      </c>
      <c r="J2136" t="s">
        <v>83</v>
      </c>
      <c r="K2136" s="2" t="str">
        <f>HYPERLINK("https://www.nba.com/stats/events?CFID=&amp;CFPARAMS=&amp;GameEventID=46&amp;GameID=0022000775&amp;Season=2020-21&amp;flag=1&amp;title=Leonard%20driving%20Layup%20(4%20PTS)", "Driving Layup (4 PTS)")</f>
        <v>Driving Layup (4 PTS)</v>
      </c>
      <c r="L2136" s="2" t="str">
        <f>HYPERLINK("https://www.nba.com/game/...-vs-...-0022000775/play-by-play?watchFullGame=true", "LAC vs POR - Q1 07:29.00")</f>
        <v>LAC vs POR - Q1 07:29.00</v>
      </c>
      <c r="M2136">
        <v>3.25</v>
      </c>
      <c r="N2136">
        <v>93.38</v>
      </c>
      <c r="O2136">
        <v>56.2</v>
      </c>
      <c r="P2136">
        <v>31</v>
      </c>
      <c r="Q2136">
        <v>10</v>
      </c>
      <c r="R2136">
        <v>93</v>
      </c>
      <c r="S2136">
        <v>56</v>
      </c>
    </row>
    <row r="2137" spans="1:19" hidden="1" x14ac:dyDescent="0.25">
      <c r="A2137">
        <v>22200991</v>
      </c>
      <c r="B2137" t="s">
        <v>18</v>
      </c>
      <c r="C2137" t="s">
        <v>88</v>
      </c>
      <c r="D2137">
        <v>11</v>
      </c>
      <c r="E2137">
        <v>15</v>
      </c>
      <c r="F2137">
        <v>4</v>
      </c>
      <c r="G2137">
        <v>1</v>
      </c>
      <c r="H2137" s="1">
        <v>2.2569444444444442E-3</v>
      </c>
      <c r="I2137">
        <v>2022</v>
      </c>
      <c r="J2137" t="s">
        <v>83</v>
      </c>
      <c r="K2137" s="2" t="str">
        <f>HYPERLINK("https://www.nba.com/stats/events?CFID=&amp;CFPARAMS=&amp;GameEventID=103&amp;GameID=0022200991&amp;Season=2022-23&amp;flag=1&amp;title=Leonard%20driving%20DUNK%20(6%20PTS)", "Driving DUNK (6 PTS)")</f>
        <v>Driving DUNK (6 PTS)</v>
      </c>
      <c r="L2137" s="2" t="str">
        <f>HYPERLINK("https://www.nba.com/game/...-vs-...-0022200991/play-by-play?watchFullGame=true", "LAC vs TOR - Q1 03:15.00")</f>
        <v>LAC vs TOR - Q1 03:15.00</v>
      </c>
      <c r="M2137">
        <v>1.58</v>
      </c>
      <c r="N2137">
        <v>93.22</v>
      </c>
      <c r="O2137">
        <v>47.79</v>
      </c>
      <c r="P2137">
        <v>-11</v>
      </c>
      <c r="Q2137">
        <v>11</v>
      </c>
      <c r="R2137">
        <v>93</v>
      </c>
      <c r="S2137">
        <v>47</v>
      </c>
    </row>
    <row r="2138" spans="1:19" hidden="1" x14ac:dyDescent="0.25">
      <c r="A2138">
        <v>41900154</v>
      </c>
      <c r="B2138" t="s">
        <v>18</v>
      </c>
      <c r="C2138" t="s">
        <v>84</v>
      </c>
      <c r="D2138">
        <v>111</v>
      </c>
      <c r="E2138">
        <v>116</v>
      </c>
      <c r="F2138">
        <v>5</v>
      </c>
      <c r="G2138">
        <v>4</v>
      </c>
      <c r="H2138" s="1">
        <v>2.1527777777777778E-3</v>
      </c>
      <c r="I2138" t="s">
        <v>86</v>
      </c>
      <c r="J2138" t="s">
        <v>83</v>
      </c>
      <c r="K2138" s="2" t="str">
        <f>HYPERLINK("https://www.nba.com/stats/events?CFID=&amp;CFPARAMS=&amp;GameEventID=645&amp;GameID=0041900154&amp;Season=2019-20&amp;flag=1&amp;title=Leonard%20jumpshot%20(23%20PTS)", "Jumpshot (23 PTS)")</f>
        <v>Jumpshot (23 PTS)</v>
      </c>
      <c r="L2138" s="2" t="str">
        <f>HYPERLINK("https://www.nba.com/game/...-vs-...-0041900154/play-by-play?watchFullGame=true", "LAC vs DAL - Q4 03:06.00")</f>
        <v>LAC vs DAL - Q4 03:06.00</v>
      </c>
      <c r="M2138">
        <v>3.09</v>
      </c>
      <c r="N2138">
        <v>93.25</v>
      </c>
      <c r="O2138">
        <v>55.22</v>
      </c>
      <c r="P2138">
        <v>26</v>
      </c>
      <c r="Q2138">
        <v>11</v>
      </c>
      <c r="R2138">
        <v>93</v>
      </c>
      <c r="S2138">
        <v>55</v>
      </c>
    </row>
    <row r="2139" spans="1:19" hidden="1" x14ac:dyDescent="0.25">
      <c r="A2139">
        <v>22300343</v>
      </c>
      <c r="B2139" t="s">
        <v>18</v>
      </c>
      <c r="C2139" t="s">
        <v>88</v>
      </c>
      <c r="D2139">
        <v>35</v>
      </c>
      <c r="E2139">
        <v>27</v>
      </c>
      <c r="F2139">
        <v>8</v>
      </c>
      <c r="G2139">
        <v>1</v>
      </c>
      <c r="H2139" s="1">
        <v>8.4490740740740739E-4</v>
      </c>
      <c r="I2139">
        <v>2023</v>
      </c>
      <c r="J2139" t="s">
        <v>83</v>
      </c>
      <c r="K2139" s="2" t="str">
        <f>HYPERLINK("https://www.nba.com/stats/events?CFID=&amp;CFPARAMS=&amp;GameEventID=147&amp;GameID=0022300343&amp;Season=2023-24&amp;flag=1&amp;title=Leonard%20running%20DUNK%20(12%20PTS)%20(R.%20Westbrook%202%20AST)", "Running DUNK (12 PTS) (R. Westbrook 2 AST)")</f>
        <v>Running DUNK (12 PTS) (R. Westbrook 2 AST)</v>
      </c>
      <c r="L2139" s="2" t="str">
        <f>HYPERLINK("https://www.nba.com/game/...-vs-...-0022300343/play-by-play?watchFullGame=true", "LAC vs NYK - Q1 01:13.00")</f>
        <v>LAC vs NYK - Q1 01:13.00</v>
      </c>
      <c r="M2139">
        <v>1.17</v>
      </c>
      <c r="N2139">
        <v>93.74</v>
      </c>
      <c r="O2139">
        <v>48.04</v>
      </c>
      <c r="P2139">
        <v>-10</v>
      </c>
      <c r="Q2139">
        <v>6</v>
      </c>
      <c r="R2139">
        <v>93</v>
      </c>
      <c r="S2139">
        <v>48</v>
      </c>
    </row>
    <row r="2140" spans="1:19" hidden="1" x14ac:dyDescent="0.25">
      <c r="A2140">
        <v>22200918</v>
      </c>
      <c r="B2140" t="s">
        <v>18</v>
      </c>
      <c r="C2140" t="s">
        <v>87</v>
      </c>
      <c r="D2140">
        <v>4</v>
      </c>
      <c r="E2140">
        <v>15</v>
      </c>
      <c r="F2140">
        <v>11</v>
      </c>
      <c r="G2140">
        <v>1</v>
      </c>
      <c r="H2140" s="1">
        <v>4.4675925925925924E-3</v>
      </c>
      <c r="I2140">
        <v>2022</v>
      </c>
      <c r="J2140" t="s">
        <v>83</v>
      </c>
      <c r="K2140" s="2" t="str">
        <f>HYPERLINK("https://www.nba.com/stats/events?CFID=&amp;CFPARAMS=&amp;GameEventID=60&amp;GameID=0022200918&amp;Season=2022-23&amp;flag=1&amp;title=Leonard%20cutting%20Layup%20(2%20PTS)%20(R.%20Westbrook%201%20AST)", "Cutting Layup (2 PTS) (R. Westbrook 1 AST)")</f>
        <v>Cutting Layup (2 PTS) (R. Westbrook 1 AST)</v>
      </c>
      <c r="L2140" s="2" t="str">
        <f>HYPERLINK("https://www.nba.com/game/...-vs-...-0022200918/play-by-play?watchFullGame=true", "LAC vs DEN - Q1 06:26.00")</f>
        <v>LAC vs DEN - Q1 06:26.00</v>
      </c>
      <c r="M2140">
        <v>2.87</v>
      </c>
      <c r="N2140">
        <v>93.38</v>
      </c>
      <c r="O2140">
        <v>55.39</v>
      </c>
      <c r="P2140">
        <v>27</v>
      </c>
      <c r="Q2140">
        <v>10</v>
      </c>
      <c r="R2140">
        <v>93</v>
      </c>
      <c r="S2140">
        <v>55</v>
      </c>
    </row>
    <row r="2141" spans="1:19" hidden="1" x14ac:dyDescent="0.25">
      <c r="A2141">
        <v>21900626</v>
      </c>
      <c r="B2141" t="s">
        <v>18</v>
      </c>
      <c r="C2141" t="s">
        <v>90</v>
      </c>
      <c r="D2141">
        <v>74</v>
      </c>
      <c r="E2141">
        <v>86</v>
      </c>
      <c r="F2141">
        <v>12</v>
      </c>
      <c r="G2141">
        <v>3</v>
      </c>
      <c r="H2141" s="1">
        <v>6.828703703703704E-3</v>
      </c>
      <c r="I2141">
        <v>2019</v>
      </c>
      <c r="J2141" t="s">
        <v>83</v>
      </c>
      <c r="K2141" s="2" t="str">
        <f>HYPERLINK("https://www.nba.com/stats/events?CFID=&amp;CFPARAMS=&amp;GameEventID=417&amp;GameID=0021900626&amp;Season=2019-20&amp;flag=1&amp;title=Leonard%20layup%20(23%20PTS)", "Layup (23 PTS)")</f>
        <v>Layup (23 PTS)</v>
      </c>
      <c r="L2141" s="2" t="str">
        <f>HYPERLINK("https://www.nba.com/game/...-vs-...-0021900626/play-by-play?watchFullGame=true", "LAC vs NOP - Q3 09:50.00")</f>
        <v>LAC vs NOP - Q3 09:50.00</v>
      </c>
      <c r="M2141">
        <v>2.81</v>
      </c>
      <c r="N2141">
        <v>93.38</v>
      </c>
      <c r="O2141">
        <v>54.73</v>
      </c>
      <c r="P2141">
        <v>24</v>
      </c>
      <c r="Q2141">
        <v>10</v>
      </c>
      <c r="R2141">
        <v>93</v>
      </c>
      <c r="S2141">
        <v>54</v>
      </c>
    </row>
    <row r="2142" spans="1:19" hidden="1" x14ac:dyDescent="0.25">
      <c r="A2142">
        <v>21901271</v>
      </c>
      <c r="B2142" t="s">
        <v>18</v>
      </c>
      <c r="C2142" t="s">
        <v>90</v>
      </c>
      <c r="D2142">
        <v>61</v>
      </c>
      <c r="E2142">
        <v>58</v>
      </c>
      <c r="F2142">
        <v>3</v>
      </c>
      <c r="G2142">
        <v>3</v>
      </c>
      <c r="H2142" s="1">
        <v>7.6736111111111111E-3</v>
      </c>
      <c r="I2142">
        <v>2019</v>
      </c>
      <c r="J2142" t="s">
        <v>83</v>
      </c>
      <c r="K2142" s="2" t="str">
        <f>HYPERLINK("https://www.nba.com/stats/events?CFID=&amp;CFPARAMS=&amp;GameEventID=352&amp;GameID=0021901271&amp;Season=2019-20&amp;flag=1&amp;title=Leonard%20layup%20(19%20PTS)", "Layup (19 PTS)")</f>
        <v>Layup (19 PTS)</v>
      </c>
      <c r="L2142" s="2" t="str">
        <f>HYPERLINK("https://www.nba.com/game/...-vs-...-0021901271/play-by-play?watchFullGame=true", "LAC vs DAL - Q3 11:03.00")</f>
        <v>LAC vs DAL - Q3 11:03.00</v>
      </c>
      <c r="M2142">
        <v>2.74</v>
      </c>
      <c r="N2142">
        <v>93.51</v>
      </c>
      <c r="O2142">
        <v>54.73</v>
      </c>
      <c r="P2142">
        <v>24</v>
      </c>
      <c r="Q2142">
        <v>8</v>
      </c>
      <c r="R2142">
        <v>93</v>
      </c>
      <c r="S2142">
        <v>54</v>
      </c>
    </row>
    <row r="2143" spans="1:19" hidden="1" x14ac:dyDescent="0.25">
      <c r="A2143">
        <v>22300618</v>
      </c>
      <c r="B2143" t="s">
        <v>18</v>
      </c>
      <c r="C2143" t="s">
        <v>87</v>
      </c>
      <c r="D2143">
        <v>67</v>
      </c>
      <c r="E2143">
        <v>55</v>
      </c>
      <c r="F2143">
        <v>12</v>
      </c>
      <c r="G2143">
        <v>2</v>
      </c>
      <c r="H2143" s="1">
        <v>1.9560185185185184E-3</v>
      </c>
      <c r="I2143">
        <v>2023</v>
      </c>
      <c r="J2143" t="s">
        <v>83</v>
      </c>
      <c r="K2143" s="2" t="str">
        <f>HYPERLINK("https://www.nba.com/stats/events?CFID=&amp;CFPARAMS=&amp;GameEventID=269&amp;GameID=0022300618&amp;Season=2023-24&amp;flag=1&amp;title=Leonard%20driving%20reverse%20Layup%20(12%20PTS)%20(P.%20George%203%20AST)", "Driving reverse Layup (12 PTS) (P. George 3 AST)")</f>
        <v>Driving reverse Layup (12 PTS) (P. George 3 AST)</v>
      </c>
      <c r="L2143" s="2" t="str">
        <f>HYPERLINK("https://www.nba.com/game/...-vs-...-0022300618/play-by-play?watchFullGame=true", "LAC vs LAL - Q2 02:49.00")</f>
        <v>LAC vs LAL - Q2 02:49.00</v>
      </c>
      <c r="M2143">
        <v>2.64</v>
      </c>
      <c r="N2143">
        <v>93.08</v>
      </c>
      <c r="O2143">
        <v>45.34</v>
      </c>
      <c r="P2143">
        <v>-23</v>
      </c>
      <c r="Q2143">
        <v>13</v>
      </c>
      <c r="R2143">
        <v>93</v>
      </c>
      <c r="S2143">
        <v>45</v>
      </c>
    </row>
    <row r="2144" spans="1:19" hidden="1" x14ac:dyDescent="0.25">
      <c r="A2144">
        <v>21901241</v>
      </c>
      <c r="B2144" t="s">
        <v>18</v>
      </c>
      <c r="C2144" t="s">
        <v>90</v>
      </c>
      <c r="D2144">
        <v>81</v>
      </c>
      <c r="E2144">
        <v>49</v>
      </c>
      <c r="F2144">
        <v>32</v>
      </c>
      <c r="G2144">
        <v>3</v>
      </c>
      <c r="H2144" s="1">
        <v>6.7476851851851856E-3</v>
      </c>
      <c r="I2144">
        <v>2019</v>
      </c>
      <c r="J2144" t="s">
        <v>83</v>
      </c>
      <c r="K2144" s="2" t="str">
        <f>HYPERLINK("https://www.nba.com/stats/events?CFID=&amp;CFPARAMS=&amp;GameEventID=373&amp;GameID=0021901241&amp;Season=2019-20&amp;flag=1&amp;title=Leonard%20layup%20(20%20PTS)", "Layup (20 PTS)")</f>
        <v>Layup (20 PTS)</v>
      </c>
      <c r="L2144" s="2" t="str">
        <f>HYPERLINK("https://www.nba.com/game/...-vs-...-0021901241/play-by-play?watchFullGame=true", "LAC vs NOP - Q3 09:43.00")</f>
        <v>LAC vs NOP - Q3 09:43.00</v>
      </c>
      <c r="M2144">
        <v>2.57</v>
      </c>
      <c r="N2144">
        <v>93.12</v>
      </c>
      <c r="O2144">
        <v>53.75</v>
      </c>
      <c r="P2144">
        <v>19</v>
      </c>
      <c r="Q2144">
        <v>12</v>
      </c>
      <c r="R2144">
        <v>93</v>
      </c>
      <c r="S2144">
        <v>53</v>
      </c>
    </row>
    <row r="2145" spans="1:19" hidden="1" x14ac:dyDescent="0.25">
      <c r="A2145">
        <v>22200579</v>
      </c>
      <c r="B2145" t="s">
        <v>18</v>
      </c>
      <c r="C2145" t="s">
        <v>87</v>
      </c>
      <c r="D2145">
        <v>27</v>
      </c>
      <c r="E2145">
        <v>63</v>
      </c>
      <c r="F2145">
        <v>36</v>
      </c>
      <c r="G2145">
        <v>2</v>
      </c>
      <c r="H2145" s="1">
        <v>1.3310185185185185E-3</v>
      </c>
      <c r="I2145">
        <v>2022</v>
      </c>
      <c r="J2145" t="s">
        <v>83</v>
      </c>
      <c r="K2145" s="2" t="str">
        <f>HYPERLINK("https://www.nba.com/stats/events?CFID=&amp;CFPARAMS=&amp;GameEventID=267&amp;GameID=0022200579&amp;Season=2022-23&amp;flag=1&amp;title=Leonard%20driving%20Layup%20(6%20PTS)", "Driving Layup (6 PTS)")</f>
        <v>Driving Layup (6 PTS)</v>
      </c>
      <c r="L2145" s="2" t="str">
        <f>HYPERLINK("https://www.nba.com/game/...-vs-...-0022200579/play-by-play?watchFullGame=true", "LAC vs DEN - Q2 01:55.00")</f>
        <v>LAC vs DEN - Q2 01:55.00</v>
      </c>
      <c r="M2145">
        <v>2.52</v>
      </c>
      <c r="N2145">
        <v>93.12</v>
      </c>
      <c r="O2145">
        <v>54.41</v>
      </c>
      <c r="P2145">
        <v>22</v>
      </c>
      <c r="Q2145">
        <v>12</v>
      </c>
      <c r="R2145">
        <v>93</v>
      </c>
      <c r="S2145">
        <v>54</v>
      </c>
    </row>
    <row r="2146" spans="1:19" hidden="1" x14ac:dyDescent="0.25">
      <c r="A2146">
        <v>22301043</v>
      </c>
      <c r="B2146" t="s">
        <v>18</v>
      </c>
      <c r="C2146" t="s">
        <v>87</v>
      </c>
      <c r="D2146">
        <v>105</v>
      </c>
      <c r="E2146">
        <v>122</v>
      </c>
      <c r="F2146">
        <v>17</v>
      </c>
      <c r="G2146">
        <v>4</v>
      </c>
      <c r="H2146" s="1">
        <v>3.1365740740740742E-3</v>
      </c>
      <c r="I2146">
        <v>2023</v>
      </c>
      <c r="J2146" t="s">
        <v>83</v>
      </c>
      <c r="K2146" s="2" t="str">
        <f>HYPERLINK("https://www.nba.com/stats/events?CFID=&amp;CFPARAMS=&amp;GameEventID=574&amp;GameID=0022301043&amp;Season=2023-24&amp;flag=1&amp;title=Leonard%20driving%20Layup%20(26%20PTS)%20(J.%20Harden%206%20AST)", "Driving Layup (26 PTS) (J. Harden 6 AST)")</f>
        <v>Driving Layup (26 PTS) (J. Harden 6 AST)</v>
      </c>
      <c r="L2146" s="2" t="str">
        <f>HYPERLINK("https://www.nba.com/game/...-vs-...-0022301043/play-by-play?watchFullGame=true", "LAC vs IND - Q4 04:31.00")</f>
        <v>LAC vs IND - Q4 04:31.00</v>
      </c>
      <c r="M2146">
        <v>2.4300000000000002</v>
      </c>
      <c r="N2146">
        <v>93.08</v>
      </c>
      <c r="O2146">
        <v>54.17</v>
      </c>
      <c r="P2146">
        <v>21</v>
      </c>
      <c r="Q2146">
        <v>13</v>
      </c>
      <c r="R2146">
        <v>93</v>
      </c>
      <c r="S2146">
        <v>54</v>
      </c>
    </row>
    <row r="2147" spans="1:19" hidden="1" x14ac:dyDescent="0.25">
      <c r="A2147">
        <v>22300873</v>
      </c>
      <c r="B2147" t="s">
        <v>18</v>
      </c>
      <c r="C2147" t="s">
        <v>87</v>
      </c>
      <c r="D2147">
        <v>86</v>
      </c>
      <c r="E2147">
        <v>84</v>
      </c>
      <c r="F2147">
        <v>2</v>
      </c>
      <c r="G2147">
        <v>4</v>
      </c>
      <c r="H2147" s="1">
        <v>1.4004629629629629E-3</v>
      </c>
      <c r="I2147">
        <v>2023</v>
      </c>
      <c r="J2147" t="s">
        <v>83</v>
      </c>
      <c r="K2147" s="2" t="str">
        <f>HYPERLINK("https://www.nba.com/stats/events?CFID=&amp;CFPARAMS=&amp;GameEventID=556&amp;GameID=0022300873&amp;Season=2023-24&amp;flag=1&amp;title=Leonard%20cutting%20Layup%20(29%20PTS)%20(J.%20Harden%2010%20AST)", "Cutting Layup (29 PTS) (J. Harden 10 AST)")</f>
        <v>Cutting Layup (29 PTS) (J. Harden 10 AST)</v>
      </c>
      <c r="L2147" s="2" t="str">
        <f>HYPERLINK("https://www.nba.com/game/...-vs-...-0022300873/play-by-play?watchFullGame=true", "LAC vs MIN - Q4 02:01.00")</f>
        <v>LAC vs MIN - Q4 02:01.00</v>
      </c>
      <c r="M2147">
        <v>2.4</v>
      </c>
      <c r="N2147">
        <v>93.56</v>
      </c>
      <c r="O2147">
        <v>45.49</v>
      </c>
      <c r="P2147">
        <v>-23</v>
      </c>
      <c r="Q2147">
        <v>8</v>
      </c>
      <c r="R2147">
        <v>93</v>
      </c>
      <c r="S2147">
        <v>45</v>
      </c>
    </row>
    <row r="2148" spans="1:19" hidden="1" x14ac:dyDescent="0.25">
      <c r="A2148">
        <v>42000174</v>
      </c>
      <c r="B2148" t="s">
        <v>18</v>
      </c>
      <c r="C2148" t="s">
        <v>19</v>
      </c>
      <c r="D2148">
        <v>15</v>
      </c>
      <c r="E2148">
        <v>12</v>
      </c>
      <c r="F2148">
        <v>3</v>
      </c>
      <c r="G2148">
        <v>1</v>
      </c>
      <c r="H2148" s="1">
        <v>3.6805555555555554E-3</v>
      </c>
      <c r="I2148" t="s">
        <v>91</v>
      </c>
      <c r="J2148" t="s">
        <v>83</v>
      </c>
      <c r="K2148" s="2" t="str">
        <f>HYPERLINK("https://www.nba.com/stats/events?CFID=&amp;CFPARAMS=&amp;GameEventID=91&amp;GameID=0042000174&amp;Season=2020-21&amp;flag=1&amp;title=Leonard%20driving%20bank%20Jump%20Shot%20(6%20PTS)", "Driving bank Jump Shot (6 PTS)")</f>
        <v>Driving bank Jump Shot (6 PTS)</v>
      </c>
      <c r="L2148" s="2" t="str">
        <f>HYPERLINK("https://www.nba.com/game/...-vs-...-0042000174/play-by-play?watchFullGame=true", "LAC vs DAL - Q1 05:18.00")</f>
        <v>LAC vs DAL - Q1 05:18.00</v>
      </c>
      <c r="M2148">
        <v>2.34</v>
      </c>
      <c r="N2148">
        <v>93.12</v>
      </c>
      <c r="O2148">
        <v>53.99</v>
      </c>
      <c r="P2148">
        <v>93</v>
      </c>
      <c r="Q2148">
        <v>53</v>
      </c>
      <c r="R2148">
        <v>93</v>
      </c>
      <c r="S2148">
        <v>53</v>
      </c>
    </row>
    <row r="2149" spans="1:19" hidden="1" x14ac:dyDescent="0.25">
      <c r="A2149">
        <v>22200423</v>
      </c>
      <c r="B2149" t="s">
        <v>18</v>
      </c>
      <c r="C2149" t="s">
        <v>87</v>
      </c>
      <c r="D2149">
        <v>33</v>
      </c>
      <c r="E2149">
        <v>37</v>
      </c>
      <c r="F2149">
        <v>4</v>
      </c>
      <c r="G2149">
        <v>2</v>
      </c>
      <c r="H2149" s="1">
        <v>1.6666666666666668E-3</v>
      </c>
      <c r="I2149">
        <v>2022</v>
      </c>
      <c r="J2149" t="s">
        <v>83</v>
      </c>
      <c r="K2149" s="2" t="str">
        <f>HYPERLINK("https://www.nba.com/stats/events?CFID=&amp;CFPARAMS=&amp;GameEventID=290&amp;GameID=0022200423&amp;Season=2022-23&amp;flag=1&amp;title=Leonard%20driving%20Layup%20(6%20PTS)", "Driving Layup (6 PTS)")</f>
        <v>Driving Layup (6 PTS)</v>
      </c>
      <c r="L2149" s="2" t="str">
        <f>HYPERLINK("https://www.nba.com/game/...-vs-...-0022200423/play-by-play?watchFullGame=true", "LAC vs MIN - Q2 02:24.00")</f>
        <v>LAC vs MIN - Q2 02:24.00</v>
      </c>
      <c r="M2149">
        <v>2.2999999999999998</v>
      </c>
      <c r="N2149">
        <v>93.74</v>
      </c>
      <c r="O2149">
        <v>54.41</v>
      </c>
      <c r="P2149">
        <v>22</v>
      </c>
      <c r="Q2149">
        <v>6</v>
      </c>
      <c r="R2149">
        <v>93</v>
      </c>
      <c r="S2149">
        <v>54</v>
      </c>
    </row>
    <row r="2150" spans="1:19" hidden="1" x14ac:dyDescent="0.25">
      <c r="A2150">
        <v>42300173</v>
      </c>
      <c r="B2150" t="s">
        <v>18</v>
      </c>
      <c r="C2150" t="s">
        <v>87</v>
      </c>
      <c r="D2150">
        <v>10</v>
      </c>
      <c r="E2150">
        <v>10</v>
      </c>
      <c r="F2150">
        <v>0</v>
      </c>
      <c r="G2150">
        <v>1</v>
      </c>
      <c r="H2150" s="1">
        <v>5.0115740740740737E-3</v>
      </c>
      <c r="I2150" t="s">
        <v>93</v>
      </c>
      <c r="J2150" t="s">
        <v>83</v>
      </c>
      <c r="K2150" s="2" t="str">
        <f>HYPERLINK("https://www.nba.com/stats/events?CFID=&amp;CFPARAMS=&amp;GameEventID=48&amp;GameID=0042300173&amp;Season=2023-24&amp;flag=1&amp;title=Leonard%20running%20Layup%20(2%20PTS)", "Running Layup (2 PTS)")</f>
        <v>Running Layup (2 PTS)</v>
      </c>
      <c r="L2150" s="2" t="str">
        <f>HYPERLINK("https://www.nba.com/game/...-vs-...-0042300173/play-by-play?watchFullGame=true", "LAC vs DAL - Q1 07:13.00")</f>
        <v>LAC vs DAL - Q1 07:13.00</v>
      </c>
      <c r="M2150">
        <v>2.2599999999999998</v>
      </c>
      <c r="N2150">
        <v>93.91</v>
      </c>
      <c r="O2150">
        <v>54.41</v>
      </c>
      <c r="P2150">
        <v>93</v>
      </c>
      <c r="Q2150">
        <v>54</v>
      </c>
      <c r="R2150">
        <v>93</v>
      </c>
      <c r="S2150">
        <v>54</v>
      </c>
    </row>
    <row r="2151" spans="1:19" hidden="1" x14ac:dyDescent="0.25">
      <c r="A2151">
        <v>22200438</v>
      </c>
      <c r="B2151" t="s">
        <v>18</v>
      </c>
      <c r="C2151" t="s">
        <v>87</v>
      </c>
      <c r="D2151">
        <v>94</v>
      </c>
      <c r="E2151">
        <v>89</v>
      </c>
      <c r="F2151">
        <v>5</v>
      </c>
      <c r="G2151">
        <v>4</v>
      </c>
      <c r="H2151" s="1">
        <v>1.9791666666666668E-3</v>
      </c>
      <c r="I2151">
        <v>2022</v>
      </c>
      <c r="J2151" t="s">
        <v>83</v>
      </c>
      <c r="K2151" s="2" t="str">
        <f>HYPERLINK("https://www.nba.com/stats/events?CFID=&amp;CFPARAMS=&amp;GameEventID=586&amp;GameID=0022200438&amp;Season=2022-23&amp;flag=1&amp;title=Leonard%20driving%20reverse%20Layup%20(27%20PTS)%20(T.%20Mann%206%20AST)", "Driving reverse Layup (27 PTS) (T. Mann 6 AST)")</f>
        <v>Driving reverse Layup (27 PTS) (T. Mann 6 AST)</v>
      </c>
      <c r="L2151" s="2" t="str">
        <f>HYPERLINK("https://www.nba.com/game/...-vs-...-0022200438/play-by-play?watchFullGame=true", "LAC vs WAS - Q4 02:51.00")</f>
        <v>LAC vs WAS - Q4 02:51.00</v>
      </c>
      <c r="M2151">
        <v>2.2000000000000002</v>
      </c>
      <c r="N2151">
        <v>93.35</v>
      </c>
      <c r="O2151">
        <v>46.08</v>
      </c>
      <c r="P2151">
        <v>-20</v>
      </c>
      <c r="Q2151">
        <v>10</v>
      </c>
      <c r="R2151">
        <v>93</v>
      </c>
      <c r="S2151">
        <v>46</v>
      </c>
    </row>
    <row r="2152" spans="1:19" hidden="1" x14ac:dyDescent="0.25">
      <c r="A2152">
        <v>22300458</v>
      </c>
      <c r="B2152" t="s">
        <v>18</v>
      </c>
      <c r="C2152" t="s">
        <v>87</v>
      </c>
      <c r="D2152">
        <v>40</v>
      </c>
      <c r="E2152">
        <v>48</v>
      </c>
      <c r="F2152">
        <v>8</v>
      </c>
      <c r="G2152">
        <v>2</v>
      </c>
      <c r="H2152" s="1">
        <v>3.8773148148148148E-3</v>
      </c>
      <c r="I2152">
        <v>2023</v>
      </c>
      <c r="J2152" t="s">
        <v>83</v>
      </c>
      <c r="K2152" s="2" t="str">
        <f>HYPERLINK("https://www.nba.com/stats/events?CFID=&amp;CFPARAMS=&amp;GameEventID=221&amp;GameID=0022300458&amp;Season=2023-24&amp;flag=1&amp;title=Leonard%20driving%20Layup%20(7%20PTS)", "Driving Layup (7 PTS)")</f>
        <v>Driving Layup (7 PTS)</v>
      </c>
      <c r="L2152" s="2" t="str">
        <f>HYPERLINK("https://www.nba.com/game/...-vs-...-0022300458/play-by-play?watchFullGame=true", "LAC vs MIA - Q2 05:35.00")</f>
        <v>LAC vs MIA - Q2 05:35.00</v>
      </c>
      <c r="M2152">
        <v>2.2000000000000002</v>
      </c>
      <c r="N2152">
        <v>93.35</v>
      </c>
      <c r="O2152">
        <v>53.92</v>
      </c>
      <c r="P2152">
        <v>20</v>
      </c>
      <c r="Q2152">
        <v>10</v>
      </c>
      <c r="R2152">
        <v>93</v>
      </c>
      <c r="S2152">
        <v>53</v>
      </c>
    </row>
    <row r="2153" spans="1:19" hidden="1" x14ac:dyDescent="0.25">
      <c r="A2153">
        <v>41900231</v>
      </c>
      <c r="B2153" t="s">
        <v>18</v>
      </c>
      <c r="C2153" t="s">
        <v>92</v>
      </c>
      <c r="D2153">
        <v>53</v>
      </c>
      <c r="E2153">
        <v>43</v>
      </c>
      <c r="F2153">
        <v>10</v>
      </c>
      <c r="G2153">
        <v>2</v>
      </c>
      <c r="H2153" s="1">
        <v>3.0208333333333333E-3</v>
      </c>
      <c r="I2153" t="s">
        <v>85</v>
      </c>
      <c r="J2153" t="s">
        <v>83</v>
      </c>
      <c r="K2153" s="2" t="str">
        <f>HYPERLINK("https://www.nba.com/stats/events?CFID=&amp;CFPARAMS=&amp;GameEventID=251&amp;GameID=0041900231&amp;Season=2019-20&amp;flag=1&amp;title=Leonard%20dunk%20(17%20PTS)%20(P.%20Beverley%202%20AST)", "Dunk (17 PTS) (P. Beverley 2 AST)")</f>
        <v>Dunk (17 PTS) (P. Beverley 2 AST)</v>
      </c>
      <c r="L2153" s="2" t="str">
        <f>HYPERLINK("https://www.nba.com/game/...-vs-...-0041900231/play-by-play?watchFullGame=true", "LAC vs DEN - Q2 04:21.00")</f>
        <v>LAC vs DEN - Q2 04:21.00</v>
      </c>
      <c r="M2153">
        <v>1.67</v>
      </c>
      <c r="N2153">
        <v>93.38</v>
      </c>
      <c r="O2153">
        <v>48.6</v>
      </c>
      <c r="P2153">
        <v>-7</v>
      </c>
      <c r="Q2153">
        <v>10</v>
      </c>
      <c r="R2153">
        <v>93</v>
      </c>
      <c r="S2153">
        <v>48</v>
      </c>
    </row>
    <row r="2154" spans="1:19" hidden="1" x14ac:dyDescent="0.25">
      <c r="A2154">
        <v>41900153</v>
      </c>
      <c r="B2154" t="s">
        <v>18</v>
      </c>
      <c r="C2154" t="s">
        <v>92</v>
      </c>
      <c r="D2154">
        <v>120</v>
      </c>
      <c r="E2154">
        <v>108</v>
      </c>
      <c r="F2154">
        <v>12</v>
      </c>
      <c r="G2154">
        <v>4</v>
      </c>
      <c r="H2154" s="1">
        <v>3.7268518518518519E-3</v>
      </c>
      <c r="I2154" t="s">
        <v>86</v>
      </c>
      <c r="J2154" t="s">
        <v>83</v>
      </c>
      <c r="K2154" s="2" t="str">
        <f>HYPERLINK("https://www.nba.com/stats/events?CFID=&amp;CFPARAMS=&amp;GameEventID=603&amp;GameID=0041900153&amp;Season=2019-20&amp;flag=1&amp;title=Leonard%20dunk%20(34%20PTS)", "Dunk (34 PTS)")</f>
        <v>Dunk (34 PTS)</v>
      </c>
      <c r="L2154" s="2" t="str">
        <f>HYPERLINK("https://www.nba.com/game/...-vs-...-0041900153/play-by-play?watchFullGame=true", "LAC vs DAL - Q4 05:22.00")</f>
        <v>LAC vs DAL - Q4 05:22.00</v>
      </c>
      <c r="M2154">
        <v>1.57</v>
      </c>
      <c r="N2154">
        <v>93.51</v>
      </c>
      <c r="O2154">
        <v>48.6</v>
      </c>
      <c r="P2154">
        <v>-7</v>
      </c>
      <c r="Q2154">
        <v>8</v>
      </c>
      <c r="R2154">
        <v>93</v>
      </c>
      <c r="S2154">
        <v>48</v>
      </c>
    </row>
    <row r="2155" spans="1:19" hidden="1" x14ac:dyDescent="0.25">
      <c r="A2155">
        <v>22200255</v>
      </c>
      <c r="B2155" t="s">
        <v>18</v>
      </c>
      <c r="C2155" t="s">
        <v>87</v>
      </c>
      <c r="D2155">
        <v>80</v>
      </c>
      <c r="E2155">
        <v>70</v>
      </c>
      <c r="F2155">
        <v>10</v>
      </c>
      <c r="G2155">
        <v>3</v>
      </c>
      <c r="H2155" s="1">
        <v>4.4444444444444444E-3</v>
      </c>
      <c r="I2155">
        <v>2022</v>
      </c>
      <c r="J2155" t="s">
        <v>83</v>
      </c>
      <c r="K2155" s="2" t="str">
        <f>HYPERLINK("https://www.nba.com/stats/events?CFID=&amp;CFPARAMS=&amp;GameEventID=386&amp;GameID=0022200255&amp;Season=2022-23&amp;flag=1&amp;title=Leonard%20driving%20Layup%20(6%20PTS)", "Driving Layup (6 PTS)")</f>
        <v>Driving Layup (6 PTS)</v>
      </c>
      <c r="L2155" s="2" t="str">
        <f>HYPERLINK("https://www.nba.com/game/...-vs-...-0022200255/play-by-play?watchFullGame=true", "LAC vs UTA - Q3 06:24.00")</f>
        <v>LAC vs UTA - Q3 06:24.00</v>
      </c>
      <c r="M2155">
        <v>2.16</v>
      </c>
      <c r="N2155">
        <v>93.22</v>
      </c>
      <c r="O2155">
        <v>46.32</v>
      </c>
      <c r="P2155">
        <v>-18</v>
      </c>
      <c r="Q2155">
        <v>11</v>
      </c>
      <c r="R2155">
        <v>93</v>
      </c>
      <c r="S2155">
        <v>46</v>
      </c>
    </row>
    <row r="2156" spans="1:19" hidden="1" x14ac:dyDescent="0.25">
      <c r="A2156">
        <v>41900152</v>
      </c>
      <c r="B2156" t="s">
        <v>18</v>
      </c>
      <c r="C2156" t="s">
        <v>92</v>
      </c>
      <c r="D2156">
        <v>88</v>
      </c>
      <c r="E2156">
        <v>98</v>
      </c>
      <c r="F2156">
        <v>10</v>
      </c>
      <c r="G2156">
        <v>4</v>
      </c>
      <c r="H2156" s="1">
        <v>7.6157407407407406E-3</v>
      </c>
      <c r="I2156" t="s">
        <v>86</v>
      </c>
      <c r="J2156" t="s">
        <v>83</v>
      </c>
      <c r="K2156" s="2" t="str">
        <f>HYPERLINK("https://www.nba.com/stats/events?CFID=&amp;CFPARAMS=&amp;GameEventID=565&amp;GameID=0041900152&amp;Season=2019-20&amp;flag=1&amp;title=Leonard%20dunk%20(29%20PTS)", "Dunk (29 PTS)")</f>
        <v>Dunk (29 PTS)</v>
      </c>
      <c r="L2156" s="2" t="str">
        <f>HYPERLINK("https://www.nba.com/game/...-vs-...-0041900152/play-by-play?watchFullGame=true", "LAC vs DAL - Q4 10:58.00")</f>
        <v>LAC vs DAL - Q4 10:58.00</v>
      </c>
      <c r="M2156">
        <v>1.35</v>
      </c>
      <c r="N2156">
        <v>93.77</v>
      </c>
      <c r="O2156">
        <v>48.6</v>
      </c>
      <c r="P2156">
        <v>-7</v>
      </c>
      <c r="Q2156">
        <v>6</v>
      </c>
      <c r="R2156">
        <v>93</v>
      </c>
      <c r="S2156">
        <v>48</v>
      </c>
    </row>
    <row r="2157" spans="1:19" hidden="1" x14ac:dyDescent="0.25">
      <c r="A2157">
        <v>22300372</v>
      </c>
      <c r="B2157" t="s">
        <v>18</v>
      </c>
      <c r="C2157" t="s">
        <v>87</v>
      </c>
      <c r="D2157">
        <v>67</v>
      </c>
      <c r="E2157">
        <v>50</v>
      </c>
      <c r="F2157">
        <v>17</v>
      </c>
      <c r="G2157">
        <v>2</v>
      </c>
      <c r="H2157" s="1">
        <v>1.0763888888888889E-3</v>
      </c>
      <c r="I2157">
        <v>2023</v>
      </c>
      <c r="J2157" t="s">
        <v>83</v>
      </c>
      <c r="K2157" s="2" t="str">
        <f>HYPERLINK("https://www.nba.com/stats/events?CFID=&amp;CFPARAMS=&amp;GameEventID=289&amp;GameID=0022300372&amp;Season=2023-24&amp;flag=1&amp;title=Leonard%20driving%20Layup%20(14%20PTS)", "Driving Layup (14 PTS)")</f>
        <v>Driving Layup (14 PTS)</v>
      </c>
      <c r="L2157" s="2" t="str">
        <f>HYPERLINK("https://www.nba.com/game/...-vs-...-0022300372/play-by-play?watchFullGame=true", "LAC vs DAL - Q2 01:33.00")</f>
        <v>LAC vs DAL - Q2 01:33.00</v>
      </c>
      <c r="M2157">
        <v>2.08</v>
      </c>
      <c r="N2157">
        <v>93.38</v>
      </c>
      <c r="O2157">
        <v>53.68</v>
      </c>
      <c r="P2157">
        <v>18</v>
      </c>
      <c r="Q2157">
        <v>10</v>
      </c>
      <c r="R2157">
        <v>93</v>
      </c>
      <c r="S2157">
        <v>53</v>
      </c>
    </row>
    <row r="2158" spans="1:19" hidden="1" x14ac:dyDescent="0.25">
      <c r="A2158">
        <v>22000324</v>
      </c>
      <c r="B2158" t="s">
        <v>18</v>
      </c>
      <c r="C2158" t="s">
        <v>87</v>
      </c>
      <c r="D2158">
        <v>60</v>
      </c>
      <c r="E2158">
        <v>59</v>
      </c>
      <c r="F2158">
        <v>1</v>
      </c>
      <c r="G2158">
        <v>3</v>
      </c>
      <c r="H2158" s="1">
        <v>7.905092592592592E-3</v>
      </c>
      <c r="I2158">
        <v>2020</v>
      </c>
      <c r="J2158" t="s">
        <v>83</v>
      </c>
      <c r="K2158" s="2" t="str">
        <f>HYPERLINK("https://www.nba.com/stats/events?CFID=&amp;CFPARAMS=&amp;GameEventID=300&amp;GameID=0022000324&amp;Season=2020-21&amp;flag=1&amp;title=Leonard%20Layup%20(16%20PTS)", "Layup (16 PTS)")</f>
        <v>Layup (16 PTS)</v>
      </c>
      <c r="L2158" s="2" t="str">
        <f>HYPERLINK("https://www.nba.com/game/...-vs-...-0022000324/play-by-play?watchFullGame=true", "LAC vs BKN - Q3 11:23.00")</f>
        <v>LAC vs BKN - Q3 11:23.00</v>
      </c>
      <c r="M2158">
        <v>2.0699999999999998</v>
      </c>
      <c r="N2158">
        <v>93.25</v>
      </c>
      <c r="O2158">
        <v>53.5</v>
      </c>
      <c r="P2158">
        <v>18</v>
      </c>
      <c r="Q2158">
        <v>11</v>
      </c>
      <c r="R2158">
        <v>93</v>
      </c>
      <c r="S2158">
        <v>53</v>
      </c>
    </row>
    <row r="2159" spans="1:19" hidden="1" x14ac:dyDescent="0.25">
      <c r="A2159">
        <v>41900231</v>
      </c>
      <c r="B2159" t="s">
        <v>18</v>
      </c>
      <c r="C2159" t="s">
        <v>90</v>
      </c>
      <c r="D2159">
        <v>20</v>
      </c>
      <c r="E2159">
        <v>24</v>
      </c>
      <c r="F2159">
        <v>4</v>
      </c>
      <c r="G2159">
        <v>1</v>
      </c>
      <c r="H2159" s="1">
        <v>2.8819444444444444E-3</v>
      </c>
      <c r="I2159" t="s">
        <v>85</v>
      </c>
      <c r="J2159" t="s">
        <v>83</v>
      </c>
      <c r="K2159" s="2" t="str">
        <f>HYPERLINK("https://www.nba.com/stats/events?CFID=&amp;CFPARAMS=&amp;GameEventID=86&amp;GameID=0041900231&amp;Season=2019-20&amp;flag=1&amp;title=Leonard%20layup%20(6%20PTS)", "Layup (6 PTS)")</f>
        <v>Layup (6 PTS)</v>
      </c>
      <c r="L2159" s="2" t="str">
        <f>HYPERLINK("https://www.nba.com/game/...-vs-...-0041900231/play-by-play?watchFullGame=true", "LAC vs DEN - Q1 04:09.00")</f>
        <v>LAC vs DEN - Q1 04:09.00</v>
      </c>
      <c r="M2159">
        <v>2.0299999999999998</v>
      </c>
      <c r="N2159">
        <v>93.25</v>
      </c>
      <c r="O2159">
        <v>47.62</v>
      </c>
      <c r="P2159">
        <v>-12</v>
      </c>
      <c r="Q2159">
        <v>11</v>
      </c>
      <c r="R2159">
        <v>93</v>
      </c>
      <c r="S2159">
        <v>47</v>
      </c>
    </row>
    <row r="2160" spans="1:19" hidden="1" x14ac:dyDescent="0.25">
      <c r="A2160">
        <v>22200795</v>
      </c>
      <c r="B2160" t="s">
        <v>18</v>
      </c>
      <c r="C2160" t="s">
        <v>88</v>
      </c>
      <c r="D2160">
        <v>28</v>
      </c>
      <c r="E2160">
        <v>20</v>
      </c>
      <c r="F2160">
        <v>8</v>
      </c>
      <c r="G2160">
        <v>1</v>
      </c>
      <c r="H2160" s="1">
        <v>2.1180555555555558E-3</v>
      </c>
      <c r="I2160">
        <v>2022</v>
      </c>
      <c r="J2160" t="s">
        <v>83</v>
      </c>
      <c r="K2160" s="2" t="str">
        <f>HYPERLINK("https://www.nba.com/stats/events?CFID=&amp;CFPARAMS=&amp;GameEventID=88&amp;GameID=0022200795&amp;Season=2022-23&amp;flag=1&amp;title=Leonard%20running%20DUNK%20(9%20PTS)%20(R.%20Jackson%201%20AST)", "Running DUNK (9 PTS) (R. Jackson 1 AST)")</f>
        <v>Running DUNK (9 PTS) (R. Jackson 1 AST)</v>
      </c>
      <c r="L2160" s="2" t="str">
        <f>HYPERLINK("https://www.nba.com/game/...-vs-...-0022200795/play-by-play?watchFullGame=true", "LAC vs NYK - Q1 03:03.00")</f>
        <v>LAC vs NYK - Q1 03:03.00</v>
      </c>
      <c r="M2160">
        <v>0.95</v>
      </c>
      <c r="N2160">
        <v>93.77</v>
      </c>
      <c r="O2160">
        <v>48.53</v>
      </c>
      <c r="P2160">
        <v>-7</v>
      </c>
      <c r="Q2160">
        <v>6</v>
      </c>
      <c r="R2160">
        <v>93</v>
      </c>
      <c r="S2160">
        <v>48</v>
      </c>
    </row>
    <row r="2161" spans="1:19" hidden="1" x14ac:dyDescent="0.25">
      <c r="A2161">
        <v>22000625</v>
      </c>
      <c r="B2161" t="s">
        <v>18</v>
      </c>
      <c r="C2161" t="s">
        <v>88</v>
      </c>
      <c r="D2161">
        <v>29</v>
      </c>
      <c r="E2161">
        <v>24</v>
      </c>
      <c r="F2161">
        <v>5</v>
      </c>
      <c r="G2161">
        <v>1</v>
      </c>
      <c r="H2161" s="1">
        <v>6.712962962962963E-5</v>
      </c>
      <c r="I2161">
        <v>2020</v>
      </c>
      <c r="J2161" t="s">
        <v>83</v>
      </c>
      <c r="K2161" s="2" t="str">
        <f>HYPERLINK("https://www.nba.com/stats/events?CFID=&amp;CFPARAMS=&amp;GameEventID=148&amp;GameID=0022000625&amp;Season=2020-21&amp;flag=1&amp;title=Leonard%20cutting%20DUNK%20(5%20PTS)%20(L.%20Williams%201%20AST)", "Cutting DUNK (5 PTS) (L. Williams 1 AST)")</f>
        <v>Cutting DUNK (5 PTS) (L. Williams 1 AST)</v>
      </c>
      <c r="L2161" s="2" t="str">
        <f>HYPERLINK("https://www.nba.com/game/...-vs-...-0022000625/play-by-play?watchFullGame=true", "LAC vs DAL - Q1 00:05.80")</f>
        <v>LAC vs DAL - Q1 00:05.80</v>
      </c>
      <c r="M2161">
        <v>0.85</v>
      </c>
      <c r="N2161">
        <v>93.91</v>
      </c>
      <c r="O2161">
        <v>48.6</v>
      </c>
      <c r="P2161">
        <v>-7</v>
      </c>
      <c r="Q2161">
        <v>5</v>
      </c>
      <c r="R2161">
        <v>93</v>
      </c>
      <c r="S2161">
        <v>48</v>
      </c>
    </row>
    <row r="2162" spans="1:19" hidden="1" x14ac:dyDescent="0.25">
      <c r="A2162">
        <v>22200255</v>
      </c>
      <c r="B2162" t="s">
        <v>18</v>
      </c>
      <c r="C2162" t="s">
        <v>88</v>
      </c>
      <c r="D2162">
        <v>76</v>
      </c>
      <c r="E2162">
        <v>68</v>
      </c>
      <c r="F2162">
        <v>8</v>
      </c>
      <c r="G2162">
        <v>3</v>
      </c>
      <c r="H2162" s="1">
        <v>5.185185185185185E-3</v>
      </c>
      <c r="I2162">
        <v>2022</v>
      </c>
      <c r="J2162" t="s">
        <v>83</v>
      </c>
      <c r="K2162" s="2" t="str">
        <f>HYPERLINK("https://www.nba.com/stats/events?CFID=&amp;CFPARAMS=&amp;GameEventID=379&amp;GameID=0022200255&amp;Season=2022-23&amp;flag=1&amp;title=Leonard%20cutting%20DUNK%20(4%20PTS)%20(M.%20Morris%20Sr.%201%20AST)", "Cutting DUNK (4 PTS) (M. Morris Sr. 1 AST)")</f>
        <v>Cutting DUNK (4 PTS) (M. Morris Sr. 1 AST)</v>
      </c>
      <c r="L2162" s="2" t="str">
        <f>HYPERLINK("https://www.nba.com/game/...-vs-...-0022200255/play-by-play?watchFullGame=true", "LAC vs UTA - Q3 07:28.00")</f>
        <v>LAC vs UTA - Q3 07:28.00</v>
      </c>
      <c r="M2162">
        <v>1.07</v>
      </c>
      <c r="N2162">
        <v>93.48</v>
      </c>
      <c r="O2162">
        <v>48.77</v>
      </c>
      <c r="P2162">
        <v>-6</v>
      </c>
      <c r="Q2162">
        <v>9</v>
      </c>
      <c r="R2162">
        <v>93</v>
      </c>
      <c r="S2162">
        <v>48</v>
      </c>
    </row>
    <row r="2163" spans="1:19" hidden="1" x14ac:dyDescent="0.25">
      <c r="A2163">
        <v>42000174</v>
      </c>
      <c r="B2163" t="s">
        <v>18</v>
      </c>
      <c r="C2163" t="s">
        <v>87</v>
      </c>
      <c r="D2163">
        <v>5</v>
      </c>
      <c r="E2163">
        <v>4</v>
      </c>
      <c r="F2163">
        <v>1</v>
      </c>
      <c r="G2163">
        <v>1</v>
      </c>
      <c r="H2163" s="1">
        <v>6.5972222222222222E-3</v>
      </c>
      <c r="I2163" t="s">
        <v>91</v>
      </c>
      <c r="J2163" t="s">
        <v>83</v>
      </c>
      <c r="K2163" s="2" t="str">
        <f>HYPERLINK("https://www.nba.com/stats/events?CFID=&amp;CFPARAMS=&amp;GameEventID=28&amp;GameID=0042000174&amp;Season=2020-21&amp;flag=1&amp;title=Leonard%20running%20Layup%20(2%20PTS)", "Running Layup (2 PTS)")</f>
        <v>Running Layup (2 PTS)</v>
      </c>
      <c r="L2163" s="2" t="str">
        <f>HYPERLINK("https://www.nba.com/game/...-vs-...-0042000174/play-by-play?watchFullGame=true", "LAC vs DAL - Q1 09:30.00")</f>
        <v>LAC vs DAL - Q1 09:30.00</v>
      </c>
      <c r="M2163">
        <v>1.99</v>
      </c>
      <c r="N2163">
        <v>93.91</v>
      </c>
      <c r="O2163">
        <v>46.15</v>
      </c>
      <c r="P2163">
        <v>93</v>
      </c>
      <c r="Q2163">
        <v>46</v>
      </c>
      <c r="R2163">
        <v>93</v>
      </c>
      <c r="S2163">
        <v>46</v>
      </c>
    </row>
    <row r="2164" spans="1:19" hidden="1" x14ac:dyDescent="0.25">
      <c r="A2164">
        <v>22000061</v>
      </c>
      <c r="B2164" t="s">
        <v>18</v>
      </c>
      <c r="C2164" t="s">
        <v>87</v>
      </c>
      <c r="D2164">
        <v>78</v>
      </c>
      <c r="E2164">
        <v>57</v>
      </c>
      <c r="F2164">
        <v>21</v>
      </c>
      <c r="G2164">
        <v>3</v>
      </c>
      <c r="H2164" s="1">
        <v>8.0208333333333329E-3</v>
      </c>
      <c r="I2164">
        <v>2020</v>
      </c>
      <c r="J2164" t="s">
        <v>83</v>
      </c>
      <c r="K2164" s="2" t="str">
        <f>HYPERLINK("https://www.nba.com/stats/events?CFID=&amp;CFPARAMS=&amp;GameEventID=320&amp;GameID=0022000061&amp;Season=2020-21&amp;flag=1&amp;title=Leonard%20Layup%20(14%20PTS)", "Layup (14 PTS)")</f>
        <v>Layup (14 PTS)</v>
      </c>
      <c r="L2164" s="2" t="str">
        <f>HYPERLINK("https://www.nba.com/game/...-vs-...-0022000061/play-by-play?watchFullGame=true", "LAC vs POR - Q3 11:33.00")</f>
        <v>LAC vs POR - Q3 11:33.00</v>
      </c>
      <c r="M2164">
        <v>1.98</v>
      </c>
      <c r="N2164">
        <v>93.12</v>
      </c>
      <c r="O2164">
        <v>46.88</v>
      </c>
      <c r="P2164">
        <v>-16</v>
      </c>
      <c r="Q2164">
        <v>12</v>
      </c>
      <c r="R2164">
        <v>93</v>
      </c>
      <c r="S2164">
        <v>46</v>
      </c>
    </row>
    <row r="2165" spans="1:19" hidden="1" x14ac:dyDescent="0.25">
      <c r="A2165">
        <v>22300676</v>
      </c>
      <c r="B2165" t="s">
        <v>18</v>
      </c>
      <c r="C2165" t="s">
        <v>87</v>
      </c>
      <c r="D2165">
        <v>66</v>
      </c>
      <c r="E2165">
        <v>60</v>
      </c>
      <c r="F2165">
        <v>6</v>
      </c>
      <c r="G2165">
        <v>2</v>
      </c>
      <c r="H2165" s="1">
        <v>1.7361111111111111E-5</v>
      </c>
      <c r="I2165">
        <v>2023</v>
      </c>
      <c r="J2165" t="s">
        <v>83</v>
      </c>
      <c r="K2165" s="2" t="str">
        <f>HYPERLINK("https://www.nba.com/stats/events?CFID=&amp;CFPARAMS=&amp;GameEventID=300&amp;GameID=0022300676&amp;Season=2023-24&amp;flag=1&amp;title=Leonard%20driving%20Layup%20(19%20PTS)", "Driving Layup (19 PTS)")</f>
        <v>Driving Layup (19 PTS)</v>
      </c>
      <c r="L2165" s="2" t="str">
        <f>HYPERLINK("https://www.nba.com/game/...-vs-...-0022300676/play-by-play?watchFullGame=true", "LAC vs WAS - Q2 00:01.50")</f>
        <v>LAC vs WAS - Q2 00:01.50</v>
      </c>
      <c r="M2165">
        <v>1.97</v>
      </c>
      <c r="N2165">
        <v>93.38</v>
      </c>
      <c r="O2165">
        <v>53.43</v>
      </c>
      <c r="P2165">
        <v>17</v>
      </c>
      <c r="Q2165">
        <v>10</v>
      </c>
      <c r="R2165">
        <v>93</v>
      </c>
      <c r="S2165">
        <v>53</v>
      </c>
    </row>
    <row r="2166" spans="1:19" hidden="1" x14ac:dyDescent="0.25">
      <c r="A2166">
        <v>22301225</v>
      </c>
      <c r="B2166" t="s">
        <v>18</v>
      </c>
      <c r="C2166" t="s">
        <v>87</v>
      </c>
      <c r="D2166">
        <v>21</v>
      </c>
      <c r="E2166">
        <v>11</v>
      </c>
      <c r="F2166">
        <v>10</v>
      </c>
      <c r="G2166">
        <v>1</v>
      </c>
      <c r="H2166" s="1">
        <v>3.2407407407407406E-3</v>
      </c>
      <c r="I2166">
        <v>2023</v>
      </c>
      <c r="J2166" t="s">
        <v>83</v>
      </c>
      <c r="K2166" s="2" t="str">
        <f>HYPERLINK("https://www.nba.com/stats/events?CFID=&amp;CFPARAMS=&amp;GameEventID=93&amp;GameID=0022301225&amp;Season=2023-24&amp;flag=1&amp;title=Leonard%20running%20reverse%20Layup%20(11%20PTS)%20(R.%20Westbrook%201%20AST)", "Running reverse Layup (11 PTS) (R. Westbrook 1 AST)")</f>
        <v>Running reverse Layup (11 PTS) (R. Westbrook 1 AST)</v>
      </c>
      <c r="L2166" s="2" t="str">
        <f>HYPERLINK("https://www.nba.com/game/...-vs-...-0022301225/play-by-play?watchFullGame=true", "LAC vs UTA - Q1 04:40.00")</f>
        <v>LAC vs UTA - Q1 04:40.00</v>
      </c>
      <c r="M2166">
        <v>1.87</v>
      </c>
      <c r="N2166">
        <v>93.64</v>
      </c>
      <c r="O2166">
        <v>53.43</v>
      </c>
      <c r="P2166">
        <v>17</v>
      </c>
      <c r="Q2166">
        <v>7</v>
      </c>
      <c r="R2166">
        <v>93</v>
      </c>
      <c r="S2166">
        <v>53</v>
      </c>
    </row>
    <row r="2167" spans="1:19" hidden="1" x14ac:dyDescent="0.25">
      <c r="A2167">
        <v>22300982</v>
      </c>
      <c r="B2167" t="s">
        <v>18</v>
      </c>
      <c r="C2167" t="s">
        <v>87</v>
      </c>
      <c r="D2167">
        <v>7</v>
      </c>
      <c r="E2167">
        <v>11</v>
      </c>
      <c r="F2167">
        <v>4</v>
      </c>
      <c r="G2167">
        <v>1</v>
      </c>
      <c r="H2167" s="1">
        <v>5.3935185185185188E-3</v>
      </c>
      <c r="I2167">
        <v>2023</v>
      </c>
      <c r="J2167" t="s">
        <v>83</v>
      </c>
      <c r="K2167" s="2" t="str">
        <f>HYPERLINK("https://www.nba.com/stats/events?CFID=&amp;CFPARAMS=&amp;GameEventID=51&amp;GameID=0022300982&amp;Season=2023-24&amp;flag=1&amp;title=Leonard%20Layup%20(7%20PTS)%20(J.%20Harden%201%20AST)", "Layup (7 PTS) (J. Harden 1 AST)")</f>
        <v>Layup (7 PTS) (J. Harden 1 AST)</v>
      </c>
      <c r="L2167" s="2" t="str">
        <f>HYPERLINK("https://www.nba.com/game/...-vs-...-0022300982/play-by-play?watchFullGame=true", "LAC vs ATL - Q1 07:46.00")</f>
        <v>LAC vs ATL - Q1 07:46.00</v>
      </c>
      <c r="M2167">
        <v>1.85</v>
      </c>
      <c r="N2167">
        <v>93.22</v>
      </c>
      <c r="O2167">
        <v>52.94</v>
      </c>
      <c r="P2167">
        <v>15</v>
      </c>
      <c r="Q2167">
        <v>11</v>
      </c>
      <c r="R2167">
        <v>93</v>
      </c>
      <c r="S2167">
        <v>52</v>
      </c>
    </row>
    <row r="2168" spans="1:19" hidden="1" x14ac:dyDescent="0.25">
      <c r="A2168">
        <v>22000788</v>
      </c>
      <c r="B2168" t="s">
        <v>18</v>
      </c>
      <c r="C2168" t="s">
        <v>87</v>
      </c>
      <c r="D2168">
        <v>76</v>
      </c>
      <c r="E2168">
        <v>77</v>
      </c>
      <c r="F2168">
        <v>1</v>
      </c>
      <c r="G2168">
        <v>3</v>
      </c>
      <c r="H2168" s="1">
        <v>1.5972222222222223E-3</v>
      </c>
      <c r="I2168">
        <v>2020</v>
      </c>
      <c r="J2168" t="s">
        <v>83</v>
      </c>
      <c r="K2168" s="2" t="str">
        <f>HYPERLINK("https://www.nba.com/stats/events?CFID=&amp;CFPARAMS=&amp;GameEventID=397&amp;GameID=0022000788&amp;Season=2020-21&amp;flag=1&amp;title=Leonard%20driving%20Layup%20(17%20PTS)%20(P.%20Patterson%201%20AST)", "Driving Layup (17 PTS) (P. Patterson 1 AST)")</f>
        <v>Driving Layup (17 PTS) (P. Patterson 1 AST)</v>
      </c>
      <c r="L2168" s="2" t="str">
        <f>HYPERLINK("https://www.nba.com/game/...-vs-...-0022000788/play-by-play?watchFullGame=true", "LAC vs PHX - Q3 02:18.00")</f>
        <v>LAC vs PHX - Q3 02:18.00</v>
      </c>
      <c r="M2168">
        <v>1.84</v>
      </c>
      <c r="N2168">
        <v>93.51</v>
      </c>
      <c r="O2168">
        <v>53.26</v>
      </c>
      <c r="P2168">
        <v>16</v>
      </c>
      <c r="Q2168">
        <v>8</v>
      </c>
      <c r="R2168">
        <v>93</v>
      </c>
      <c r="S2168">
        <v>53</v>
      </c>
    </row>
    <row r="2169" spans="1:19" hidden="1" x14ac:dyDescent="0.25">
      <c r="A2169">
        <v>41900237</v>
      </c>
      <c r="B2169" t="s">
        <v>18</v>
      </c>
      <c r="C2169" t="s">
        <v>90</v>
      </c>
      <c r="D2169">
        <v>50</v>
      </c>
      <c r="E2169">
        <v>38</v>
      </c>
      <c r="F2169">
        <v>12</v>
      </c>
      <c r="G2169">
        <v>2</v>
      </c>
      <c r="H2169" s="1">
        <v>3.1944444444444446E-3</v>
      </c>
      <c r="I2169" t="s">
        <v>85</v>
      </c>
      <c r="J2169" t="s">
        <v>83</v>
      </c>
      <c r="K2169" s="2" t="str">
        <f>HYPERLINK("https://www.nba.com/stats/events?CFID=&amp;CFPARAMS=&amp;GameEventID=265&amp;GameID=0041900237&amp;Season=2019-20&amp;flag=1&amp;title=Leonard%20layup%20(12%20PTS)", "Layup (12 PTS)")</f>
        <v>Layup (12 PTS)</v>
      </c>
      <c r="L2169" s="2" t="str">
        <f>HYPERLINK("https://www.nba.com/game/...-vs-...-0041900237/play-by-play?watchFullGame=true", "LAC vs DEN - Q2 04:36.00")</f>
        <v>LAC vs DEN - Q2 04:36.00</v>
      </c>
      <c r="M2169">
        <v>1.84</v>
      </c>
      <c r="N2169">
        <v>93.51</v>
      </c>
      <c r="O2169">
        <v>47.62</v>
      </c>
      <c r="P2169">
        <v>-12</v>
      </c>
      <c r="Q2169">
        <v>8</v>
      </c>
      <c r="R2169">
        <v>93</v>
      </c>
      <c r="S2169">
        <v>47</v>
      </c>
    </row>
    <row r="2170" spans="1:19" hidden="1" x14ac:dyDescent="0.25">
      <c r="A2170">
        <v>22001047</v>
      </c>
      <c r="B2170" t="s">
        <v>18</v>
      </c>
      <c r="C2170" t="s">
        <v>87</v>
      </c>
      <c r="D2170">
        <v>51</v>
      </c>
      <c r="E2170">
        <v>53</v>
      </c>
      <c r="F2170">
        <v>2</v>
      </c>
      <c r="G2170">
        <v>3</v>
      </c>
      <c r="H2170" s="1">
        <v>6.5624999999999998E-3</v>
      </c>
      <c r="I2170">
        <v>2020</v>
      </c>
      <c r="J2170" t="s">
        <v>83</v>
      </c>
      <c r="K2170" s="2" t="str">
        <f>HYPERLINK("https://www.nba.com/stats/events?CFID=&amp;CFPARAMS=&amp;GameEventID=335&amp;GameID=0022001047&amp;Season=2020-21&amp;flag=1&amp;title=Leonard%20Layup%20(13%20PTS)%20(M.%20Morris%20Sr.%201%20AST)", "Layup (13 PTS) (M. Morris Sr. 1 AST)")</f>
        <v>Layup (13 PTS) (M. Morris Sr. 1 AST)</v>
      </c>
      <c r="L2170" s="2" t="str">
        <f>HYPERLINK("https://www.nba.com/game/...-vs-...-0022001047/play-by-play?watchFullGame=true", "LAC vs CHA - Q3 09:27.00")</f>
        <v>LAC vs CHA - Q3 09:27.00</v>
      </c>
      <c r="M2170">
        <v>1.84</v>
      </c>
      <c r="N2170">
        <v>93.12</v>
      </c>
      <c r="O2170">
        <v>52.77</v>
      </c>
      <c r="P2170">
        <v>14</v>
      </c>
      <c r="Q2170">
        <v>12</v>
      </c>
      <c r="R2170">
        <v>93</v>
      </c>
      <c r="S2170">
        <v>52</v>
      </c>
    </row>
    <row r="2171" spans="1:19" hidden="1" x14ac:dyDescent="0.25">
      <c r="A2171">
        <v>21900377</v>
      </c>
      <c r="B2171" t="s">
        <v>18</v>
      </c>
      <c r="C2171" t="s">
        <v>90</v>
      </c>
      <c r="D2171">
        <v>6</v>
      </c>
      <c r="E2171">
        <v>3</v>
      </c>
      <c r="F2171">
        <v>3</v>
      </c>
      <c r="G2171">
        <v>1</v>
      </c>
      <c r="H2171" s="1">
        <v>7.2106481481481483E-3</v>
      </c>
      <c r="I2171">
        <v>2019</v>
      </c>
      <c r="J2171" t="s">
        <v>83</v>
      </c>
      <c r="K2171" s="2" t="str">
        <f>HYPERLINK("https://www.nba.com/stats/events?CFID=&amp;CFPARAMS=&amp;GameEventID=24&amp;GameID=0021900377&amp;Season=2019-20&amp;flag=1&amp;title=Leonard%20layup%20(4%20PTS)", "Layup (4 PTS)")</f>
        <v>Layup (4 PTS)</v>
      </c>
      <c r="L2171" s="2" t="str">
        <f>HYPERLINK("https://www.nba.com/game/...-vs-...-0021900377/play-by-play?watchFullGame=true", "LAC vs MIN - Q1 10:23.00")</f>
        <v>LAC vs MIN - Q1 10:23.00</v>
      </c>
      <c r="M2171">
        <v>1.84</v>
      </c>
      <c r="N2171">
        <v>93.12</v>
      </c>
      <c r="O2171">
        <v>51.05</v>
      </c>
      <c r="P2171">
        <v>5</v>
      </c>
      <c r="Q2171">
        <v>12</v>
      </c>
      <c r="R2171">
        <v>93</v>
      </c>
      <c r="S2171">
        <v>51</v>
      </c>
    </row>
    <row r="2172" spans="1:19" hidden="1" x14ac:dyDescent="0.25">
      <c r="A2172">
        <v>22300553</v>
      </c>
      <c r="B2172" t="s">
        <v>18</v>
      </c>
      <c r="C2172" t="s">
        <v>88</v>
      </c>
      <c r="D2172">
        <v>61</v>
      </c>
      <c r="E2172">
        <v>68</v>
      </c>
      <c r="F2172">
        <v>7</v>
      </c>
      <c r="G2172">
        <v>3</v>
      </c>
      <c r="H2172" s="1">
        <v>2.2800925925925927E-3</v>
      </c>
      <c r="I2172">
        <v>2023</v>
      </c>
      <c r="J2172" t="s">
        <v>83</v>
      </c>
      <c r="K2172" s="2" t="str">
        <f>HYPERLINK("https://www.nba.com/stats/events?CFID=&amp;CFPARAMS=&amp;GameEventID=403&amp;GameID=0022300553&amp;Season=2023-24&amp;flag=1&amp;title=Leonard%20reverse%20DUNK%20(20%20PTS)%20(R.%20Westbrook%208%20AST)", "Reverse DUNK (20 PTS) (R. Westbrook 8 AST)")</f>
        <v>Reverse DUNK (20 PTS) (R. Westbrook 8 AST)</v>
      </c>
      <c r="L2172" s="2" t="str">
        <f>HYPERLINK("https://www.nba.com/game/...-vs-...-0022300553/play-by-play?watchFullGame=true", "LAC vs MIN - Q3 03:17.00")</f>
        <v>LAC vs MIN - Q3 03:17.00</v>
      </c>
      <c r="M2172">
        <v>0.93</v>
      </c>
      <c r="N2172">
        <v>93.51</v>
      </c>
      <c r="O2172">
        <v>49.26</v>
      </c>
      <c r="P2172">
        <v>-4</v>
      </c>
      <c r="Q2172">
        <v>8</v>
      </c>
      <c r="R2172">
        <v>93</v>
      </c>
      <c r="S2172">
        <v>49</v>
      </c>
    </row>
    <row r="2173" spans="1:19" hidden="1" x14ac:dyDescent="0.25">
      <c r="A2173">
        <v>22300179</v>
      </c>
      <c r="B2173" t="s">
        <v>18</v>
      </c>
      <c r="C2173" t="s">
        <v>88</v>
      </c>
      <c r="D2173">
        <v>68</v>
      </c>
      <c r="E2173">
        <v>79</v>
      </c>
      <c r="F2173">
        <v>11</v>
      </c>
      <c r="G2173">
        <v>3</v>
      </c>
      <c r="H2173" s="1">
        <v>3.3449074074074072E-4</v>
      </c>
      <c r="I2173">
        <v>2023</v>
      </c>
      <c r="J2173" t="s">
        <v>83</v>
      </c>
      <c r="K2173" s="2" t="str">
        <f>HYPERLINK("https://www.nba.com/stats/events?CFID=&amp;CFPARAMS=&amp;GameEventID=532&amp;GameID=0022300179&amp;Season=2023-24&amp;flag=1&amp;title=Leonard%20running%20DUNK%20(14%20PTS)", "Running DUNK (14 PTS)")</f>
        <v>Running DUNK (14 PTS)</v>
      </c>
      <c r="L2173" s="2" t="str">
        <f>HYPERLINK("https://www.nba.com/game/...-vs-...-0022300179/play-by-play?watchFullGame=true", "LAC vs MEM - Q3 00:28.90")</f>
        <v>LAC vs MEM - Q3 00:28.90</v>
      </c>
      <c r="M2173">
        <v>0.85</v>
      </c>
      <c r="N2173">
        <v>93.61</v>
      </c>
      <c r="O2173">
        <v>49.26</v>
      </c>
      <c r="P2173">
        <v>-4</v>
      </c>
      <c r="Q2173">
        <v>8</v>
      </c>
      <c r="R2173">
        <v>93</v>
      </c>
      <c r="S2173">
        <v>49</v>
      </c>
    </row>
    <row r="2174" spans="1:19" hidden="1" x14ac:dyDescent="0.25">
      <c r="A2174">
        <v>41900156</v>
      </c>
      <c r="B2174" t="s">
        <v>18</v>
      </c>
      <c r="C2174" t="s">
        <v>90</v>
      </c>
      <c r="D2174">
        <v>76</v>
      </c>
      <c r="E2174">
        <v>54</v>
      </c>
      <c r="F2174">
        <v>22</v>
      </c>
      <c r="G2174">
        <v>3</v>
      </c>
      <c r="H2174" s="1">
        <v>4.3750000000000004E-3</v>
      </c>
      <c r="I2174" t="s">
        <v>86</v>
      </c>
      <c r="J2174" t="s">
        <v>83</v>
      </c>
      <c r="K2174" s="2" t="str">
        <f>HYPERLINK("https://www.nba.com/stats/events?CFID=&amp;CFPARAMS=&amp;GameEventID=387&amp;GameID=0041900156&amp;Season=2019-20&amp;flag=1&amp;title=Leonard%20layup%20(20%20PTS)", "Layup (20 PTS)")</f>
        <v>Layup (20 PTS)</v>
      </c>
      <c r="L2174" s="2" t="str">
        <f>HYPERLINK("https://www.nba.com/game/...-vs-...-0041900156/play-by-play?watchFullGame=true", "LAC vs DAL - Q3 06:18.00")</f>
        <v>LAC vs DAL - Q3 06:18.00</v>
      </c>
      <c r="M2174">
        <v>1.81</v>
      </c>
      <c r="N2174">
        <v>93.51</v>
      </c>
      <c r="O2174">
        <v>52.27</v>
      </c>
      <c r="P2174">
        <v>11</v>
      </c>
      <c r="Q2174">
        <v>8</v>
      </c>
      <c r="R2174">
        <v>93</v>
      </c>
      <c r="S2174">
        <v>52</v>
      </c>
    </row>
    <row r="2175" spans="1:19" hidden="1" x14ac:dyDescent="0.25">
      <c r="A2175">
        <v>22400646</v>
      </c>
      <c r="B2175" t="s">
        <v>18</v>
      </c>
      <c r="C2175" t="s">
        <v>87</v>
      </c>
      <c r="D2175">
        <v>43</v>
      </c>
      <c r="E2175">
        <v>42</v>
      </c>
      <c r="F2175">
        <v>1</v>
      </c>
      <c r="G2175">
        <v>2</v>
      </c>
      <c r="H2175" s="1">
        <v>4.0856481481481481E-3</v>
      </c>
      <c r="I2175">
        <v>2024</v>
      </c>
      <c r="J2175" t="s">
        <v>83</v>
      </c>
      <c r="K2175" s="2" t="str">
        <f>HYPERLINK("https://www.nba.com/stats/events?CFID=&amp;CFPARAMS=&amp;GameEventID=247&amp;GameID=0022400646&amp;Season=2024-25&amp;flag=1&amp;title=Leonard%20driving%20Layup%20(11%20PTS)%20(Porter%20Jr.%201%20AST)", "Driving Layup (11 PTS) (K. Porter Jr. 1 AST)")</f>
        <v>Driving Layup (11 PTS) (K. Porter Jr. 1 AST)</v>
      </c>
      <c r="L2175" s="2" t="str">
        <f>HYPERLINK("https://www.nba.com/game/...-vs-...-0022400646/play-by-play?watchFullGame=true", "LAC vs MIL - Q2 05:53.00")</f>
        <v>LAC vs MIL - Q2 05:53.00</v>
      </c>
      <c r="M2175">
        <v>1.8</v>
      </c>
      <c r="N2175">
        <v>93.51</v>
      </c>
      <c r="O2175">
        <v>53.19</v>
      </c>
      <c r="P2175">
        <v>16</v>
      </c>
      <c r="Q2175">
        <v>8</v>
      </c>
      <c r="R2175">
        <v>93</v>
      </c>
      <c r="S2175">
        <v>53</v>
      </c>
    </row>
    <row r="2176" spans="1:19" hidden="1" x14ac:dyDescent="0.25">
      <c r="A2176">
        <v>21901271</v>
      </c>
      <c r="B2176" t="s">
        <v>18</v>
      </c>
      <c r="C2176" t="s">
        <v>90</v>
      </c>
      <c r="D2176">
        <v>99</v>
      </c>
      <c r="E2176">
        <v>91</v>
      </c>
      <c r="F2176">
        <v>8</v>
      </c>
      <c r="G2176">
        <v>4</v>
      </c>
      <c r="H2176" s="1">
        <v>6.5162037037037037E-3</v>
      </c>
      <c r="I2176">
        <v>2019</v>
      </c>
      <c r="J2176" t="s">
        <v>83</v>
      </c>
      <c r="K2176" s="2" t="str">
        <f>HYPERLINK("https://www.nba.com/stats/events?CFID=&amp;CFPARAMS=&amp;GameEventID=522&amp;GameID=0021901271&amp;Season=2019-20&amp;flag=1&amp;title=Leonard%20layup%20(24%20PTS)", "Layup (24 PTS)")</f>
        <v>Layup (24 PTS)</v>
      </c>
      <c r="L2176" s="2" t="str">
        <f>HYPERLINK("https://www.nba.com/game/...-vs-...-0021901271/play-by-play?watchFullGame=true", "LAC vs DAL - Q4 09:23.00")</f>
        <v>LAC vs DAL - Q4 09:23.00</v>
      </c>
      <c r="M2176">
        <v>1.8</v>
      </c>
      <c r="N2176">
        <v>93.64</v>
      </c>
      <c r="O2176">
        <v>52.52</v>
      </c>
      <c r="P2176">
        <v>13</v>
      </c>
      <c r="Q2176">
        <v>7</v>
      </c>
      <c r="R2176">
        <v>93</v>
      </c>
      <c r="S2176">
        <v>52</v>
      </c>
    </row>
    <row r="2177" spans="1:19" hidden="1" x14ac:dyDescent="0.25">
      <c r="A2177">
        <v>22200408</v>
      </c>
      <c r="B2177" t="s">
        <v>18</v>
      </c>
      <c r="C2177" t="s">
        <v>87</v>
      </c>
      <c r="D2177">
        <v>54</v>
      </c>
      <c r="E2177">
        <v>45</v>
      </c>
      <c r="F2177">
        <v>9</v>
      </c>
      <c r="G2177">
        <v>2</v>
      </c>
      <c r="H2177" s="1">
        <v>8.3333333333333339E-4</v>
      </c>
      <c r="I2177">
        <v>2022</v>
      </c>
      <c r="J2177" t="s">
        <v>83</v>
      </c>
      <c r="K2177" s="2" t="str">
        <f>HYPERLINK("https://www.nba.com/stats/events?CFID=&amp;CFPARAMS=&amp;GameEventID=322&amp;GameID=0022200408&amp;Season=2022-23&amp;flag=1&amp;title=Leonard%20driving%20Layup%20(10%20PTS)", "Driving Layup (10 PTS)")</f>
        <v>Driving Layup (10 PTS)</v>
      </c>
      <c r="L2177" s="2" t="str">
        <f>HYPERLINK("https://www.nba.com/game/...-vs-...-0022200408/play-by-play?watchFullGame=true", "LAC vs BOS - Q2 01:12.00")</f>
        <v>LAC vs BOS - Q2 01:12.00</v>
      </c>
      <c r="M2177">
        <v>1.76</v>
      </c>
      <c r="N2177">
        <v>93.22</v>
      </c>
      <c r="O2177">
        <v>47.3</v>
      </c>
      <c r="P2177">
        <v>-13</v>
      </c>
      <c r="Q2177">
        <v>11</v>
      </c>
      <c r="R2177">
        <v>93</v>
      </c>
      <c r="S2177">
        <v>47</v>
      </c>
    </row>
    <row r="2178" spans="1:19" hidden="1" x14ac:dyDescent="0.25">
      <c r="A2178">
        <v>41900233</v>
      </c>
      <c r="B2178" t="s">
        <v>18</v>
      </c>
      <c r="C2178" t="s">
        <v>90</v>
      </c>
      <c r="D2178">
        <v>68</v>
      </c>
      <c r="E2178">
        <v>72</v>
      </c>
      <c r="F2178">
        <v>4</v>
      </c>
      <c r="G2178">
        <v>3</v>
      </c>
      <c r="H2178" s="1">
        <v>5.6249999999999998E-3</v>
      </c>
      <c r="I2178" t="s">
        <v>85</v>
      </c>
      <c r="J2178" t="s">
        <v>83</v>
      </c>
      <c r="K2178" s="2" t="str">
        <f>HYPERLINK("https://www.nba.com/stats/events?CFID=&amp;CFPARAMS=&amp;GameEventID=347&amp;GameID=0041900233&amp;Season=2019-20&amp;flag=1&amp;title=Leonard%20layup%20(18%20PTS)", "Layup (18 PTS)")</f>
        <v>Layup (18 PTS)</v>
      </c>
      <c r="L2178" s="2" t="str">
        <f>HYPERLINK("https://www.nba.com/game/...-vs-...-0041900233/play-by-play?watchFullGame=true", "LAC vs DEN - Q3 08:06.00")</f>
        <v>LAC vs DEN - Q3 08:06.00</v>
      </c>
      <c r="M2178">
        <v>1.75</v>
      </c>
      <c r="N2178">
        <v>93.64</v>
      </c>
      <c r="O2178">
        <v>47.62</v>
      </c>
      <c r="P2178">
        <v>-12</v>
      </c>
      <c r="Q2178">
        <v>7</v>
      </c>
      <c r="R2178">
        <v>93</v>
      </c>
      <c r="S2178">
        <v>47</v>
      </c>
    </row>
    <row r="2179" spans="1:19" hidden="1" x14ac:dyDescent="0.25">
      <c r="A2179">
        <v>22000142</v>
      </c>
      <c r="B2179" t="s">
        <v>18</v>
      </c>
      <c r="C2179" t="s">
        <v>87</v>
      </c>
      <c r="D2179">
        <v>87</v>
      </c>
      <c r="E2179">
        <v>87</v>
      </c>
      <c r="F2179">
        <v>0</v>
      </c>
      <c r="G2179">
        <v>3</v>
      </c>
      <c r="H2179" s="1">
        <v>2.0949074074074073E-3</v>
      </c>
      <c r="I2179">
        <v>2020</v>
      </c>
      <c r="J2179" t="s">
        <v>83</v>
      </c>
      <c r="K2179" s="2" t="str">
        <f>HYPERLINK("https://www.nba.com/stats/events?CFID=&amp;CFPARAMS=&amp;GameEventID=426&amp;GameID=0022000142&amp;Season=2020-21&amp;flag=1&amp;title=Leonard%20driving%20Layup%20(33%20PTS)", "Driving Layup (33 PTS)")</f>
        <v>Driving Layup (33 PTS)</v>
      </c>
      <c r="L2179" s="2" t="str">
        <f>HYPERLINK("https://www.nba.com/game/...-vs-...-0022000142/play-by-play?watchFullGame=true", "LAC vs CHI - Q3 03:01.00")</f>
        <v>LAC vs CHI - Q3 03:01.00</v>
      </c>
      <c r="M2179">
        <v>1.73</v>
      </c>
      <c r="N2179">
        <v>93.51</v>
      </c>
      <c r="O2179">
        <v>53.01</v>
      </c>
      <c r="P2179">
        <v>15</v>
      </c>
      <c r="Q2179">
        <v>8</v>
      </c>
      <c r="R2179">
        <v>93</v>
      </c>
      <c r="S2179">
        <v>53</v>
      </c>
    </row>
    <row r="2180" spans="1:19" hidden="1" x14ac:dyDescent="0.25">
      <c r="A2180">
        <v>22000061</v>
      </c>
      <c r="B2180" t="s">
        <v>18</v>
      </c>
      <c r="C2180" t="s">
        <v>87</v>
      </c>
      <c r="D2180">
        <v>100</v>
      </c>
      <c r="E2180">
        <v>76</v>
      </c>
      <c r="F2180">
        <v>24</v>
      </c>
      <c r="G2180">
        <v>3</v>
      </c>
      <c r="H2180" s="1">
        <v>1.9444444444444444E-3</v>
      </c>
      <c r="I2180">
        <v>2020</v>
      </c>
      <c r="J2180" t="s">
        <v>83</v>
      </c>
      <c r="K2180" s="2" t="str">
        <f>HYPERLINK("https://www.nba.com/stats/events?CFID=&amp;CFPARAMS=&amp;GameEventID=421&amp;GameID=0022000061&amp;Season=2020-21&amp;flag=1&amp;title=Leonard%20driving%20finger%20roll%20Layup%20(24%20PTS)%20(N.%20Batum%203%20AST)", "Driving finger roll Layup (24 PTS) (N. Batum 3 AST)")</f>
        <v>Driving finger roll Layup (24 PTS) (N. Batum 3 AST)</v>
      </c>
      <c r="L2180" s="2" t="str">
        <f>HYPERLINK("https://www.nba.com/game/...-vs-...-0022000061/play-by-play?watchFullGame=true", "LAC vs POR - Q3 02:48.00")</f>
        <v>LAC vs POR - Q3 02:48.00</v>
      </c>
      <c r="M2180">
        <v>1.67</v>
      </c>
      <c r="N2180">
        <v>93.12</v>
      </c>
      <c r="O2180">
        <v>52.27</v>
      </c>
      <c r="P2180">
        <v>11</v>
      </c>
      <c r="Q2180">
        <v>12</v>
      </c>
      <c r="R2180">
        <v>93</v>
      </c>
      <c r="S2180">
        <v>52</v>
      </c>
    </row>
    <row r="2181" spans="1:19" hidden="1" x14ac:dyDescent="0.25">
      <c r="A2181">
        <v>22300264</v>
      </c>
      <c r="B2181" t="s">
        <v>18</v>
      </c>
      <c r="C2181" t="s">
        <v>87</v>
      </c>
      <c r="D2181">
        <v>90</v>
      </c>
      <c r="E2181">
        <v>70</v>
      </c>
      <c r="F2181">
        <v>20</v>
      </c>
      <c r="G2181">
        <v>3</v>
      </c>
      <c r="H2181" s="1">
        <v>3.2407407407407406E-3</v>
      </c>
      <c r="I2181">
        <v>2023</v>
      </c>
      <c r="J2181" t="s">
        <v>83</v>
      </c>
      <c r="K2181" s="2" t="str">
        <f>HYPERLINK("https://www.nba.com/stats/events?CFID=&amp;CFPARAMS=&amp;GameEventID=430&amp;GameID=0022300264&amp;Season=2023-24&amp;flag=1&amp;title=Leonard%20cutting%20Layup%20(23%20PTS)%20(R.%20Westbrook%205%20AST)", "Cutting Layup (23 PTS) (R. Westbrook 5 AST)")</f>
        <v>Cutting Layup (23 PTS) (R. Westbrook 5 AST)</v>
      </c>
      <c r="L2181" s="2" t="str">
        <f>HYPERLINK("https://www.nba.com/game/...-vs-...-0022300264/play-by-play?watchFullGame=true", "LAC vs SAC - Q3 04:40.00")</f>
        <v>LAC vs SAC - Q3 04:40.00</v>
      </c>
      <c r="M2181">
        <v>1.59</v>
      </c>
      <c r="N2181">
        <v>93.77</v>
      </c>
      <c r="O2181">
        <v>52.94</v>
      </c>
      <c r="P2181">
        <v>15</v>
      </c>
      <c r="Q2181">
        <v>6</v>
      </c>
      <c r="R2181">
        <v>93</v>
      </c>
      <c r="S2181">
        <v>52</v>
      </c>
    </row>
    <row r="2182" spans="1:19" hidden="1" x14ac:dyDescent="0.25">
      <c r="A2182">
        <v>22000736</v>
      </c>
      <c r="B2182" t="s">
        <v>18</v>
      </c>
      <c r="C2182" t="s">
        <v>87</v>
      </c>
      <c r="D2182">
        <v>16</v>
      </c>
      <c r="E2182">
        <v>25</v>
      </c>
      <c r="F2182">
        <v>9</v>
      </c>
      <c r="G2182">
        <v>1</v>
      </c>
      <c r="H2182" s="1">
        <v>1.9907407407407408E-3</v>
      </c>
      <c r="I2182">
        <v>2020</v>
      </c>
      <c r="J2182" t="s">
        <v>83</v>
      </c>
      <c r="K2182" s="2" t="str">
        <f>HYPERLINK("https://www.nba.com/stats/events?CFID=&amp;CFPARAMS=&amp;GameEventID=91&amp;GameID=0022000736&amp;Season=2020-21&amp;flag=1&amp;title=Leonard%20driving%20Layup%20(4%20PTS)", "Driving Layup (4 PTS)")</f>
        <v>Driving Layup (4 PTS)</v>
      </c>
      <c r="L2182" s="2" t="str">
        <f>HYPERLINK("https://www.nba.com/game/...-vs-...-0022000736/play-by-play?watchFullGame=true", "LAC vs DEN - Q1 02:52.00")</f>
        <v>LAC vs DEN - Q1 02:52.00</v>
      </c>
      <c r="M2182">
        <v>1.58</v>
      </c>
      <c r="N2182">
        <v>93.12</v>
      </c>
      <c r="O2182">
        <v>52.03</v>
      </c>
      <c r="P2182">
        <v>10</v>
      </c>
      <c r="Q2182">
        <v>12</v>
      </c>
      <c r="R2182">
        <v>93</v>
      </c>
      <c r="S2182">
        <v>52</v>
      </c>
    </row>
    <row r="2183" spans="1:19" hidden="1" x14ac:dyDescent="0.25">
      <c r="A2183">
        <v>22200991</v>
      </c>
      <c r="B2183" t="s">
        <v>18</v>
      </c>
      <c r="C2183" t="s">
        <v>88</v>
      </c>
      <c r="D2183">
        <v>43</v>
      </c>
      <c r="E2183">
        <v>41</v>
      </c>
      <c r="F2183">
        <v>2</v>
      </c>
      <c r="G2183">
        <v>2</v>
      </c>
      <c r="H2183" s="1">
        <v>1.5046296296296296E-3</v>
      </c>
      <c r="I2183">
        <v>2022</v>
      </c>
      <c r="J2183" t="s">
        <v>83</v>
      </c>
      <c r="K2183" s="2" t="str">
        <f>HYPERLINK("https://www.nba.com/stats/events?CFID=&amp;CFPARAMS=&amp;GameEventID=271&amp;GameID=0022200991&amp;Season=2022-23&amp;flag=1&amp;title=Leonard%20driving%20DUNK%20(14%20PTS)", "Driving DUNK (14 PTS)")</f>
        <v>Driving DUNK (14 PTS)</v>
      </c>
      <c r="L2183" s="2" t="str">
        <f>HYPERLINK("https://www.nba.com/game/...-vs-...-0022200991/play-by-play?watchFullGame=true", "LAC vs TOR - Q2 02:10.00")</f>
        <v>LAC vs TOR - Q2 02:10.00</v>
      </c>
      <c r="M2183">
        <v>1.1599999999999999</v>
      </c>
      <c r="N2183">
        <v>93.22</v>
      </c>
      <c r="O2183">
        <v>49.51</v>
      </c>
      <c r="P2183">
        <v>-2</v>
      </c>
      <c r="Q2183">
        <v>11</v>
      </c>
      <c r="R2183">
        <v>93</v>
      </c>
      <c r="S2183">
        <v>49</v>
      </c>
    </row>
    <row r="2184" spans="1:19" hidden="1" x14ac:dyDescent="0.25">
      <c r="A2184">
        <v>22200476</v>
      </c>
      <c r="B2184" t="s">
        <v>18</v>
      </c>
      <c r="C2184" t="s">
        <v>88</v>
      </c>
      <c r="D2184">
        <v>25</v>
      </c>
      <c r="E2184">
        <v>10</v>
      </c>
      <c r="F2184">
        <v>15</v>
      </c>
      <c r="G2184">
        <v>1</v>
      </c>
      <c r="H2184" s="1">
        <v>2.8356481481481483E-3</v>
      </c>
      <c r="I2184">
        <v>2022</v>
      </c>
      <c r="J2184" t="s">
        <v>83</v>
      </c>
      <c r="K2184" s="2" t="str">
        <f>HYPERLINK("https://www.nba.com/stats/events?CFID=&amp;CFPARAMS=&amp;GameEventID=107&amp;GameID=0022200476&amp;Season=2022-23&amp;flag=1&amp;title=Leonard%20running%20alley-oop%20DUNK%20(4%20PTS)%20(P.%20George%201%20AST)", "Running alley-oop DUNK (4 PTS) (P. George 1 AST)")</f>
        <v>Running alley-oop DUNK (4 PTS) (P. George 1 AST)</v>
      </c>
      <c r="L2184" s="2" t="str">
        <f>HYPERLINK("https://www.nba.com/game/...-vs-...-0022200476/play-by-play?watchFullGame=true", "LAC vs CHA - Q1 04:05.00")</f>
        <v>LAC vs CHA - Q1 04:05.00</v>
      </c>
      <c r="M2184">
        <v>1.03</v>
      </c>
      <c r="N2184">
        <v>93.35</v>
      </c>
      <c r="O2184">
        <v>49.51</v>
      </c>
      <c r="P2184">
        <v>-2</v>
      </c>
      <c r="Q2184">
        <v>10</v>
      </c>
      <c r="R2184">
        <v>93</v>
      </c>
      <c r="S2184">
        <v>49</v>
      </c>
    </row>
    <row r="2185" spans="1:19" hidden="1" x14ac:dyDescent="0.25">
      <c r="A2185">
        <v>22000660</v>
      </c>
      <c r="B2185" t="s">
        <v>18</v>
      </c>
      <c r="C2185" t="s">
        <v>87</v>
      </c>
      <c r="D2185">
        <v>98</v>
      </c>
      <c r="E2185">
        <v>103</v>
      </c>
      <c r="F2185">
        <v>5</v>
      </c>
      <c r="G2185">
        <v>4</v>
      </c>
      <c r="H2185" s="1">
        <v>4.0740740740740737E-3</v>
      </c>
      <c r="I2185">
        <v>2020</v>
      </c>
      <c r="J2185" t="s">
        <v>83</v>
      </c>
      <c r="K2185" s="2" t="str">
        <f>HYPERLINK("https://www.nba.com/stats/events?CFID=&amp;CFPARAMS=&amp;GameEventID=537&amp;GameID=0022000660&amp;Season=2020-21&amp;flag=1&amp;title=Leonard%20reverse%20Layup%20(16%20PTS)%20(P.%20George%205%20AST)", "Reverse Layup (16 PTS) (P. George 5 AST)")</f>
        <v>Reverse Layup (16 PTS) (P. George 5 AST)</v>
      </c>
      <c r="L2185" s="2" t="str">
        <f>HYPERLINK("https://www.nba.com/game/...-vs-...-0022000660/play-by-play?watchFullGame=true", "LAC vs ATL - Q4 05:52.00")</f>
        <v>LAC vs ATL - Q4 05:52.00</v>
      </c>
      <c r="M2185">
        <v>1.52</v>
      </c>
      <c r="N2185">
        <v>93.35</v>
      </c>
      <c r="O2185">
        <v>47.73</v>
      </c>
      <c r="P2185">
        <v>-11</v>
      </c>
      <c r="Q2185">
        <v>10</v>
      </c>
      <c r="R2185">
        <v>93</v>
      </c>
      <c r="S2185">
        <v>47</v>
      </c>
    </row>
    <row r="2186" spans="1:19" hidden="1" x14ac:dyDescent="0.25">
      <c r="A2186">
        <v>22200639</v>
      </c>
      <c r="B2186" t="s">
        <v>18</v>
      </c>
      <c r="C2186" t="s">
        <v>87</v>
      </c>
      <c r="D2186">
        <v>15</v>
      </c>
      <c r="E2186">
        <v>9</v>
      </c>
      <c r="F2186">
        <v>6</v>
      </c>
      <c r="G2186">
        <v>1</v>
      </c>
      <c r="H2186" s="1">
        <v>5.6134259259259262E-3</v>
      </c>
      <c r="I2186">
        <v>2022</v>
      </c>
      <c r="J2186" t="s">
        <v>83</v>
      </c>
      <c r="K2186" s="2" t="str">
        <f>HYPERLINK("https://www.nba.com/stats/events?CFID=&amp;CFPARAMS=&amp;GameEventID=44&amp;GameID=0022200639&amp;Season=2022-23&amp;flag=1&amp;title=Leonard%20running%20Layup%20(6%20PTS)", "Running Layup (6 PTS)")</f>
        <v>Running Layup (6 PTS)</v>
      </c>
      <c r="L2186" s="2" t="str">
        <f>HYPERLINK("https://www.nba.com/game/...-vs-...-0022200639/play-by-play?watchFullGame=true", "LAC vs DEN - Q1 08:05.00")</f>
        <v>LAC vs DEN - Q1 08:05.00</v>
      </c>
      <c r="M2186">
        <v>1.45</v>
      </c>
      <c r="N2186">
        <v>93.08</v>
      </c>
      <c r="O2186">
        <v>51.47</v>
      </c>
      <c r="P2186">
        <v>7</v>
      </c>
      <c r="Q2186">
        <v>13</v>
      </c>
      <c r="R2186">
        <v>93</v>
      </c>
      <c r="S2186">
        <v>51</v>
      </c>
    </row>
    <row r="2187" spans="1:19" hidden="1" x14ac:dyDescent="0.25">
      <c r="A2187">
        <v>22200476</v>
      </c>
      <c r="B2187" t="s">
        <v>18</v>
      </c>
      <c r="C2187" t="s">
        <v>88</v>
      </c>
      <c r="D2187">
        <v>54</v>
      </c>
      <c r="E2187">
        <v>27</v>
      </c>
      <c r="F2187">
        <v>27</v>
      </c>
      <c r="G2187">
        <v>2</v>
      </c>
      <c r="H2187" s="1">
        <v>5.4629629629629629E-3</v>
      </c>
      <c r="I2187">
        <v>2022</v>
      </c>
      <c r="J2187" t="s">
        <v>83</v>
      </c>
      <c r="K2187" s="2" t="str">
        <f>HYPERLINK("https://www.nba.com/stats/events?CFID=&amp;CFPARAMS=&amp;GameEventID=254&amp;GameID=0022200476&amp;Season=2022-23&amp;flag=1&amp;title=Leonard%20running%20DUNK%20(6%20PTS)%20(R.%20Jackson%202%20AST)", "Running DUNK (6 PTS) (R. Jackson 2 AST)")</f>
        <v>Running DUNK (6 PTS) (R. Jackson 2 AST)</v>
      </c>
      <c r="L2187" s="2" t="str">
        <f>HYPERLINK("https://www.nba.com/game/...-vs-...-0022200476/play-by-play?watchFullGame=true", "LAC vs CHA - Q2 07:52.00")</f>
        <v>LAC vs CHA - Q2 07:52.00</v>
      </c>
      <c r="M2187">
        <v>0.77</v>
      </c>
      <c r="N2187">
        <v>93.61</v>
      </c>
      <c r="O2187">
        <v>49.75</v>
      </c>
      <c r="P2187">
        <v>-1</v>
      </c>
      <c r="Q2187">
        <v>8</v>
      </c>
      <c r="R2187">
        <v>93</v>
      </c>
      <c r="S2187">
        <v>49</v>
      </c>
    </row>
    <row r="2188" spans="1:19" hidden="1" x14ac:dyDescent="0.25">
      <c r="A2188">
        <v>21901258</v>
      </c>
      <c r="B2188" t="s">
        <v>18</v>
      </c>
      <c r="C2188" t="s">
        <v>90</v>
      </c>
      <c r="D2188">
        <v>72</v>
      </c>
      <c r="E2188">
        <v>77</v>
      </c>
      <c r="F2188">
        <v>5</v>
      </c>
      <c r="G2188">
        <v>3</v>
      </c>
      <c r="H2188" s="1">
        <v>4.9074074074074072E-3</v>
      </c>
      <c r="I2188">
        <v>2019</v>
      </c>
      <c r="J2188" t="s">
        <v>83</v>
      </c>
      <c r="K2188" s="2" t="str">
        <f>HYPERLINK("https://www.nba.com/stats/events?CFID=&amp;CFPARAMS=&amp;GameEventID=363&amp;GameID=0021901258&amp;Season=2019-20&amp;flag=1&amp;title=Leonard%20layup%20(12%20PTS)%20(R.%20Jackson%203%20AST)", "Layup (12 PTS) (R. Jackson 3 AST)")</f>
        <v>Layup (12 PTS) (R. Jackson 3 AST)</v>
      </c>
      <c r="L2188" s="2" t="str">
        <f>HYPERLINK("https://www.nba.com/game/...-vs-...-0021901258/play-by-play?watchFullGame=true", "LAC vs PHX - Q3 07:04.00")</f>
        <v>LAC vs PHX - Q3 07:04.00</v>
      </c>
      <c r="M2188">
        <v>1.34</v>
      </c>
      <c r="N2188">
        <v>93.64</v>
      </c>
      <c r="O2188">
        <v>50.8</v>
      </c>
      <c r="P2188">
        <v>4</v>
      </c>
      <c r="Q2188">
        <v>7</v>
      </c>
      <c r="R2188">
        <v>93</v>
      </c>
      <c r="S2188">
        <v>50</v>
      </c>
    </row>
    <row r="2189" spans="1:19" hidden="1" x14ac:dyDescent="0.25">
      <c r="A2189">
        <v>22200991</v>
      </c>
      <c r="B2189" t="s">
        <v>18</v>
      </c>
      <c r="C2189" t="s">
        <v>88</v>
      </c>
      <c r="D2189">
        <v>2</v>
      </c>
      <c r="E2189">
        <v>2</v>
      </c>
      <c r="F2189">
        <v>0</v>
      </c>
      <c r="G2189">
        <v>1</v>
      </c>
      <c r="H2189" s="1">
        <v>7.8125E-3</v>
      </c>
      <c r="I2189">
        <v>2022</v>
      </c>
      <c r="J2189" t="s">
        <v>83</v>
      </c>
      <c r="K2189" s="2" t="str">
        <f>HYPERLINK("https://www.nba.com/stats/events?CFID=&amp;CFPARAMS=&amp;GameEventID=8&amp;GameID=0022200991&amp;Season=2022-23&amp;flag=1&amp;title=Leonard%20driving%20DUNK%20(2%20PTS)%20(I.%20Zubac%201%20AST)", "Driving DUNK (2 PTS) (I. Zubac 1 AST)")</f>
        <v>Driving DUNK (2 PTS) (I. Zubac 1 AST)</v>
      </c>
      <c r="L2189" s="2" t="str">
        <f>HYPERLINK("https://www.nba.com/game/...-vs-...-0022200991/play-by-play?watchFullGame=true", "LAC vs TOR - Q1 11:15.00")</f>
        <v>LAC vs TOR - Q1 11:15.00</v>
      </c>
      <c r="M2189">
        <v>0.52</v>
      </c>
      <c r="N2189">
        <v>93.87</v>
      </c>
      <c r="O2189">
        <v>49.75</v>
      </c>
      <c r="P2189">
        <v>-1</v>
      </c>
      <c r="Q2189">
        <v>5</v>
      </c>
      <c r="R2189">
        <v>93</v>
      </c>
      <c r="S2189">
        <v>49</v>
      </c>
    </row>
    <row r="2190" spans="1:19" hidden="1" x14ac:dyDescent="0.25">
      <c r="A2190">
        <v>22000308</v>
      </c>
      <c r="B2190" t="s">
        <v>18</v>
      </c>
      <c r="C2190" t="s">
        <v>87</v>
      </c>
      <c r="D2190">
        <v>114</v>
      </c>
      <c r="E2190">
        <v>103</v>
      </c>
      <c r="F2190">
        <v>11</v>
      </c>
      <c r="G2190">
        <v>4</v>
      </c>
      <c r="H2190" s="1">
        <v>3.9930555555555552E-3</v>
      </c>
      <c r="I2190">
        <v>2020</v>
      </c>
      <c r="J2190" t="s">
        <v>83</v>
      </c>
      <c r="K2190" s="2" t="str">
        <f>HYPERLINK("https://www.nba.com/stats/events?CFID=&amp;CFPARAMS=&amp;GameEventID=509&amp;GameID=0022000308&amp;Season=2020-21&amp;flag=1&amp;title=Leonard%20driving%20finger%20roll%20Layup%20(24%20PTS)", "Driving finger roll Layup (24 PTS)")</f>
        <v>Driving finger roll Layup (24 PTS)</v>
      </c>
      <c r="L2190" s="2" t="str">
        <f>HYPERLINK("https://www.nba.com/game/...-vs-...-0022000308/play-by-play?watchFullGame=true", "LAC vs NYK - Q4 05:45.00")</f>
        <v>LAC vs NYK - Q4 05:45.00</v>
      </c>
      <c r="M2190">
        <v>1.32</v>
      </c>
      <c r="N2190">
        <v>93.38</v>
      </c>
      <c r="O2190">
        <v>51.78</v>
      </c>
      <c r="P2190">
        <v>9</v>
      </c>
      <c r="Q2190">
        <v>10</v>
      </c>
      <c r="R2190">
        <v>93</v>
      </c>
      <c r="S2190">
        <v>51</v>
      </c>
    </row>
    <row r="2191" spans="1:19" hidden="1" x14ac:dyDescent="0.25">
      <c r="A2191">
        <v>22000289</v>
      </c>
      <c r="B2191" t="s">
        <v>18</v>
      </c>
      <c r="C2191" t="s">
        <v>88</v>
      </c>
      <c r="D2191">
        <v>59</v>
      </c>
      <c r="E2191">
        <v>48</v>
      </c>
      <c r="F2191">
        <v>11</v>
      </c>
      <c r="G2191">
        <v>2</v>
      </c>
      <c r="H2191" s="1">
        <v>6.5162037037037033E-4</v>
      </c>
      <c r="I2191">
        <v>2020</v>
      </c>
      <c r="J2191" t="s">
        <v>83</v>
      </c>
      <c r="K2191" s="2" t="str">
        <f>HYPERLINK("https://www.nba.com/stats/events?CFID=&amp;CFPARAMS=&amp;GameEventID=302&amp;GameID=0022000289&amp;Season=2020-21&amp;flag=1&amp;title=Leonard%20driving%20DUNK%20(15%20PTS)", "Driving DUNK (15 PTS)")</f>
        <v>Driving DUNK (15 PTS)</v>
      </c>
      <c r="L2191" s="2" t="str">
        <f>HYPERLINK("https://www.nba.com/game/...-vs-...-0022000289/play-by-play?watchFullGame=true", "LAC vs ORL - Q2 00:56.30")</f>
        <v>LAC vs ORL - Q2 00:56.30</v>
      </c>
      <c r="M2191">
        <v>0.49</v>
      </c>
      <c r="N2191">
        <v>93.91</v>
      </c>
      <c r="O2191">
        <v>49.82</v>
      </c>
      <c r="P2191">
        <v>-1</v>
      </c>
      <c r="Q2191">
        <v>5</v>
      </c>
      <c r="R2191">
        <v>93</v>
      </c>
      <c r="S2191">
        <v>49</v>
      </c>
    </row>
    <row r="2192" spans="1:19" hidden="1" x14ac:dyDescent="0.25">
      <c r="A2192">
        <v>21900276</v>
      </c>
      <c r="B2192" t="s">
        <v>18</v>
      </c>
      <c r="C2192" t="s">
        <v>90</v>
      </c>
      <c r="D2192">
        <v>83</v>
      </c>
      <c r="E2192">
        <v>95</v>
      </c>
      <c r="F2192">
        <v>12</v>
      </c>
      <c r="G2192">
        <v>4</v>
      </c>
      <c r="H2192" s="1">
        <v>4.4907407407407405E-3</v>
      </c>
      <c r="I2192">
        <v>2019</v>
      </c>
      <c r="J2192" t="s">
        <v>83</v>
      </c>
      <c r="K2192" s="2" t="str">
        <f>HYPERLINK("https://www.nba.com/stats/events?CFID=&amp;CFPARAMS=&amp;GameEventID=575&amp;GameID=0021900276&amp;Season=2019-20&amp;flag=1&amp;title=Leonard%20layup%20(19%20PTS)", "Layup (19 PTS)")</f>
        <v>Layup (19 PTS)</v>
      </c>
      <c r="L2192" s="2" t="str">
        <f>HYPERLINK("https://www.nba.com/game/...-vs-...-0021900276/play-by-play?watchFullGame=true", "LAC vs SAS - Q4 06:28.00")</f>
        <v>LAC vs SAS - Q4 06:28.00</v>
      </c>
      <c r="M2192">
        <v>1.28</v>
      </c>
      <c r="N2192">
        <v>93.64</v>
      </c>
      <c r="O2192">
        <v>49.82</v>
      </c>
      <c r="P2192">
        <v>-1</v>
      </c>
      <c r="Q2192">
        <v>7</v>
      </c>
      <c r="R2192">
        <v>93</v>
      </c>
      <c r="S2192">
        <v>49</v>
      </c>
    </row>
    <row r="2193" spans="1:19" hidden="1" x14ac:dyDescent="0.25">
      <c r="A2193">
        <v>22200735</v>
      </c>
      <c r="B2193" t="s">
        <v>18</v>
      </c>
      <c r="C2193" t="s">
        <v>87</v>
      </c>
      <c r="D2193">
        <v>35</v>
      </c>
      <c r="E2193">
        <v>23</v>
      </c>
      <c r="F2193">
        <v>12</v>
      </c>
      <c r="G2193">
        <v>1</v>
      </c>
      <c r="H2193" s="1">
        <v>5.8912037037037038E-4</v>
      </c>
      <c r="I2193">
        <v>2022</v>
      </c>
      <c r="J2193" t="s">
        <v>83</v>
      </c>
      <c r="K2193" s="2" t="str">
        <f>HYPERLINK("https://www.nba.com/stats/events?CFID=&amp;CFPARAMS=&amp;GameEventID=140&amp;GameID=0022200735&amp;Season=2022-23&amp;flag=1&amp;title=Leonard%20driving%20Layup%20(8%20PTS)", "Driving Layup (8 PTS)")</f>
        <v>Driving Layup (8 PTS)</v>
      </c>
      <c r="L2193" s="2" t="str">
        <f>HYPERLINK("https://www.nba.com/game/...-vs-...-0022200735/play-by-play?watchFullGame=true", "LAC vs SAS - Q1 00:50.90")</f>
        <v>LAC vs SAS - Q1 00:50.90</v>
      </c>
      <c r="M2193">
        <v>1.27</v>
      </c>
      <c r="N2193">
        <v>93.74</v>
      </c>
      <c r="O2193">
        <v>52.21</v>
      </c>
      <c r="P2193">
        <v>11</v>
      </c>
      <c r="Q2193">
        <v>6</v>
      </c>
      <c r="R2193">
        <v>93</v>
      </c>
      <c r="S2193">
        <v>52</v>
      </c>
    </row>
    <row r="2194" spans="1:19" hidden="1" x14ac:dyDescent="0.25">
      <c r="A2194">
        <v>22000701</v>
      </c>
      <c r="B2194" t="s">
        <v>18</v>
      </c>
      <c r="C2194" t="s">
        <v>87</v>
      </c>
      <c r="D2194">
        <v>117</v>
      </c>
      <c r="E2194">
        <v>101</v>
      </c>
      <c r="F2194">
        <v>16</v>
      </c>
      <c r="G2194">
        <v>4</v>
      </c>
      <c r="H2194" s="1">
        <v>2.9861111111111113E-3</v>
      </c>
      <c r="I2194">
        <v>2020</v>
      </c>
      <c r="J2194" t="s">
        <v>83</v>
      </c>
      <c r="K2194" s="2" t="str">
        <f>HYPERLINK("https://www.nba.com/stats/events?CFID=&amp;CFPARAMS=&amp;GameEventID=590&amp;GameID=0022000701&amp;Season=2020-21&amp;flag=1&amp;title=Leonard%20Layup%20(28%20PTS)%20(P.%20George%209%20AST)", "Layup (28 PTS) (P. George 9 AST)")</f>
        <v>Layup (28 PTS) (P. George 9 AST)</v>
      </c>
      <c r="L2194" s="2" t="str">
        <f>HYPERLINK("https://www.nba.com/game/...-vs-...-0022000701/play-by-play?watchFullGame=true", "LAC vs PHI - Q4 04:18.00")</f>
        <v>LAC vs PHI - Q4 04:18.00</v>
      </c>
      <c r="M2194">
        <v>1.26</v>
      </c>
      <c r="N2194">
        <v>93.08</v>
      </c>
      <c r="O2194">
        <v>49.69</v>
      </c>
      <c r="P2194">
        <v>-2</v>
      </c>
      <c r="Q2194">
        <v>13</v>
      </c>
      <c r="R2194">
        <v>93</v>
      </c>
      <c r="S2194">
        <v>49</v>
      </c>
    </row>
    <row r="2195" spans="1:19" hidden="1" x14ac:dyDescent="0.25">
      <c r="A2195">
        <v>22200766</v>
      </c>
      <c r="B2195" t="s">
        <v>18</v>
      </c>
      <c r="C2195" t="s">
        <v>87</v>
      </c>
      <c r="D2195">
        <v>67</v>
      </c>
      <c r="E2195">
        <v>66</v>
      </c>
      <c r="F2195">
        <v>1</v>
      </c>
      <c r="G2195">
        <v>3</v>
      </c>
      <c r="H2195" s="1">
        <v>4.4907407407407405E-3</v>
      </c>
      <c r="I2195">
        <v>2022</v>
      </c>
      <c r="J2195" t="s">
        <v>83</v>
      </c>
      <c r="K2195" s="2" t="str">
        <f>HYPERLINK("https://www.nba.com/stats/events?CFID=&amp;CFPARAMS=&amp;GameEventID=382&amp;GameID=0022200766&amp;Season=2022-23&amp;flag=1&amp;title=Leonard%20running%20Layup%20(15%20PTS)%20(P.%20George%206%20AST)", "Running Layup (15 PTS) (P. George 6 AST)")</f>
        <v>Running Layup (15 PTS) (P. George 6 AST)</v>
      </c>
      <c r="L2195" s="2" t="str">
        <f>HYPERLINK("https://www.nba.com/game/...-vs-...-0022200766/play-by-play?watchFullGame=true", "LAC vs CHI - Q3 06:28.00")</f>
        <v>LAC vs CHI - Q3 06:28.00</v>
      </c>
      <c r="M2195">
        <v>1.25</v>
      </c>
      <c r="N2195">
        <v>93.77</v>
      </c>
      <c r="O2195">
        <v>52.21</v>
      </c>
      <c r="P2195">
        <v>11</v>
      </c>
      <c r="Q2195">
        <v>6</v>
      </c>
      <c r="R2195">
        <v>93</v>
      </c>
      <c r="S2195">
        <v>52</v>
      </c>
    </row>
    <row r="2196" spans="1:19" hidden="1" x14ac:dyDescent="0.25">
      <c r="A2196">
        <v>22000251</v>
      </c>
      <c r="B2196" t="s">
        <v>18</v>
      </c>
      <c r="C2196" t="s">
        <v>87</v>
      </c>
      <c r="D2196">
        <v>34</v>
      </c>
      <c r="E2196">
        <v>19</v>
      </c>
      <c r="F2196">
        <v>15</v>
      </c>
      <c r="G2196">
        <v>1</v>
      </c>
      <c r="H2196" s="1">
        <v>3.4374999999999998E-4</v>
      </c>
      <c r="I2196">
        <v>2020</v>
      </c>
      <c r="J2196" t="s">
        <v>83</v>
      </c>
      <c r="K2196" s="2" t="str">
        <f>HYPERLINK("https://www.nba.com/stats/events?CFID=&amp;CFPARAMS=&amp;GameEventID=150&amp;GameID=0022000251&amp;Season=2020-21&amp;flag=1&amp;title=Leonard%20driving%20Layup%20(12%20PTS)", "Driving Layup (12 PTS)")</f>
        <v>Driving Layup (12 PTS)</v>
      </c>
      <c r="L2196" s="2" t="str">
        <f>HYPERLINK("https://www.nba.com/game/...-vs-...-0022000251/play-by-play?watchFullGame=true", "LAC vs OKC - Q1 00:29.70")</f>
        <v>LAC vs OKC - Q1 00:29.70</v>
      </c>
      <c r="M2196">
        <v>1.24</v>
      </c>
      <c r="N2196">
        <v>93.91</v>
      </c>
      <c r="O2196">
        <v>52.27</v>
      </c>
      <c r="P2196">
        <v>11</v>
      </c>
      <c r="Q2196">
        <v>5</v>
      </c>
      <c r="R2196">
        <v>93</v>
      </c>
      <c r="S2196">
        <v>52</v>
      </c>
    </row>
    <row r="2197" spans="1:19" hidden="1" x14ac:dyDescent="0.25">
      <c r="A2197">
        <v>22000966</v>
      </c>
      <c r="B2197" t="s">
        <v>18</v>
      </c>
      <c r="C2197" t="s">
        <v>87</v>
      </c>
      <c r="D2197">
        <v>30</v>
      </c>
      <c r="E2197">
        <v>27</v>
      </c>
      <c r="F2197">
        <v>3</v>
      </c>
      <c r="G2197">
        <v>2</v>
      </c>
      <c r="H2197" s="1">
        <v>7.9861111111111105E-3</v>
      </c>
      <c r="I2197">
        <v>2020</v>
      </c>
      <c r="J2197" t="s">
        <v>83</v>
      </c>
      <c r="K2197" s="2" t="str">
        <f>HYPERLINK("https://www.nba.com/stats/events?CFID=&amp;CFPARAMS=&amp;GameEventID=154&amp;GameID=0022000966&amp;Season=2020-21&amp;flag=1&amp;title=Leonard%20Layup%20(7%20PTS)%20(R.%20Rondo%203%20AST)", "Layup (7 PTS) (R. Rondo 3 AST)")</f>
        <v>Layup (7 PTS) (R. Rondo 3 AST)</v>
      </c>
      <c r="L2197" s="2" t="str">
        <f>HYPERLINK("https://www.nba.com/game/...-vs-...-0022000966/play-by-play?watchFullGame=true", "LAC vs DEN - Q2 11:30.00")</f>
        <v>LAC vs DEN - Q2 11:30.00</v>
      </c>
      <c r="M2197">
        <v>1.24</v>
      </c>
      <c r="N2197">
        <v>93.12</v>
      </c>
      <c r="O2197">
        <v>49.58</v>
      </c>
      <c r="P2197">
        <v>-2</v>
      </c>
      <c r="Q2197">
        <v>12</v>
      </c>
      <c r="R2197">
        <v>93</v>
      </c>
      <c r="S2197">
        <v>49</v>
      </c>
    </row>
    <row r="2198" spans="1:19" hidden="1" x14ac:dyDescent="0.25">
      <c r="A2198">
        <v>22300511</v>
      </c>
      <c r="B2198" t="s">
        <v>18</v>
      </c>
      <c r="C2198" t="s">
        <v>87</v>
      </c>
      <c r="D2198">
        <v>11</v>
      </c>
      <c r="E2198">
        <v>8</v>
      </c>
      <c r="F2198">
        <v>3</v>
      </c>
      <c r="G2198">
        <v>1</v>
      </c>
      <c r="H2198" s="1">
        <v>5.9490740740740745E-3</v>
      </c>
      <c r="I2198">
        <v>2023</v>
      </c>
      <c r="J2198" t="s">
        <v>83</v>
      </c>
      <c r="K2198" s="2" t="str">
        <f>HYPERLINK("https://www.nba.com/stats/events?CFID=&amp;CFPARAMS=&amp;GameEventID=42&amp;GameID=0022300511&amp;Season=2023-24&amp;flag=1&amp;title=Leonard%20Layup%20(2%20PTS)%20(J.%20Harden%205%20AST)", "Layup (2 PTS) (J. Harden 5 AST)")</f>
        <v>Layup (2 PTS) (J. Harden 5 AST)</v>
      </c>
      <c r="L2198" s="2" t="str">
        <f>HYPERLINK("https://www.nba.com/game/...-vs-...-0022300511/play-by-play?watchFullGame=true", "LAC vs PHX - Q1 08:34.00")</f>
        <v>LAC vs PHX - Q1 08:34.00</v>
      </c>
      <c r="M2198">
        <v>1.23</v>
      </c>
      <c r="N2198">
        <v>93.22</v>
      </c>
      <c r="O2198">
        <v>49.02</v>
      </c>
      <c r="P2198">
        <v>-5</v>
      </c>
      <c r="Q2198">
        <v>11</v>
      </c>
      <c r="R2198">
        <v>93</v>
      </c>
      <c r="S2198">
        <v>49</v>
      </c>
    </row>
    <row r="2199" spans="1:19" hidden="1" x14ac:dyDescent="0.25">
      <c r="A2199">
        <v>22000142</v>
      </c>
      <c r="B2199" t="s">
        <v>18</v>
      </c>
      <c r="C2199" t="s">
        <v>87</v>
      </c>
      <c r="D2199">
        <v>126</v>
      </c>
      <c r="E2199">
        <v>119</v>
      </c>
      <c r="F2199">
        <v>7</v>
      </c>
      <c r="G2199">
        <v>4</v>
      </c>
      <c r="H2199" s="1">
        <v>6.5277777777777773E-4</v>
      </c>
      <c r="I2199">
        <v>2020</v>
      </c>
      <c r="J2199" t="s">
        <v>83</v>
      </c>
      <c r="K2199" s="2" t="str">
        <f>HYPERLINK("https://www.nba.com/stats/events?CFID=&amp;CFPARAMS=&amp;GameEventID=625&amp;GameID=0022000142&amp;Season=2020-21&amp;flag=1&amp;title=Leonard%20Layup%20(35%20PTS)", "Layup (35 PTS)")</f>
        <v>Layup (35 PTS)</v>
      </c>
      <c r="L2199" s="2" t="str">
        <f>HYPERLINK("https://www.nba.com/game/...-vs-...-0022000142/play-by-play?watchFullGame=true", "LAC vs CHI - Q4 00:56.40")</f>
        <v>LAC vs CHI - Q4 00:56.40</v>
      </c>
      <c r="M2199">
        <v>1.22</v>
      </c>
      <c r="N2199">
        <v>93.25</v>
      </c>
      <c r="O2199">
        <v>51.05</v>
      </c>
      <c r="P2199">
        <v>5</v>
      </c>
      <c r="Q2199">
        <v>11</v>
      </c>
      <c r="R2199">
        <v>93</v>
      </c>
      <c r="S2199">
        <v>51</v>
      </c>
    </row>
    <row r="2200" spans="1:19" hidden="1" x14ac:dyDescent="0.25">
      <c r="A2200">
        <v>22000644</v>
      </c>
      <c r="B2200" t="s">
        <v>18</v>
      </c>
      <c r="C2200" t="s">
        <v>87</v>
      </c>
      <c r="D2200">
        <v>32</v>
      </c>
      <c r="E2200">
        <v>18</v>
      </c>
      <c r="F2200">
        <v>14</v>
      </c>
      <c r="G2200">
        <v>1</v>
      </c>
      <c r="H2200" s="1">
        <v>1.1458333333333333E-3</v>
      </c>
      <c r="I2200">
        <v>2020</v>
      </c>
      <c r="J2200" t="s">
        <v>83</v>
      </c>
      <c r="K2200" s="2" t="str">
        <f>HYPERLINK("https://www.nba.com/stats/events?CFID=&amp;CFPARAMS=&amp;GameEventID=117&amp;GameID=0022000644&amp;Season=2020-21&amp;flag=1&amp;title=Leonard%20putback%20Layup%20(4%20PTS)", "Putback Layup (4 PTS)")</f>
        <v>Putback Layup (4 PTS)</v>
      </c>
      <c r="L2200" s="2" t="str">
        <f>HYPERLINK("https://www.nba.com/game/...-vs-...-0022000644/play-by-play?watchFullGame=true", "LAC vs CHA - Q1 01:39.00")</f>
        <v>LAC vs CHA - Q1 01:39.00</v>
      </c>
      <c r="M2200">
        <v>1.22</v>
      </c>
      <c r="N2200">
        <v>93.25</v>
      </c>
      <c r="O2200">
        <v>51.05</v>
      </c>
      <c r="P2200">
        <v>5</v>
      </c>
      <c r="Q2200">
        <v>11</v>
      </c>
      <c r="R2200">
        <v>93</v>
      </c>
      <c r="S2200">
        <v>51</v>
      </c>
    </row>
    <row r="2201" spans="1:19" hidden="1" x14ac:dyDescent="0.25">
      <c r="A2201">
        <v>22400793</v>
      </c>
      <c r="B2201" t="s">
        <v>18</v>
      </c>
      <c r="C2201" t="s">
        <v>87</v>
      </c>
      <c r="D2201">
        <v>76</v>
      </c>
      <c r="E2201">
        <v>69</v>
      </c>
      <c r="F2201">
        <v>7</v>
      </c>
      <c r="G2201">
        <v>3</v>
      </c>
      <c r="H2201" s="1">
        <v>3.1597222222222222E-3</v>
      </c>
      <c r="I2201">
        <v>2024</v>
      </c>
      <c r="J2201" t="s">
        <v>83</v>
      </c>
      <c r="K2201" s="2" t="str">
        <f>HYPERLINK("https://www.nba.com/stats/events?CFID=&amp;CFPARAMS=&amp;GameEventID=401&amp;GameID=0022400793&amp;Season=2024-25&amp;flag=1&amp;title=Leonard%20running%20Layup%20(19%20PTS)%20(Dunn%205%20AST)", "Running Layup (19 PTS) (K. Dunn 5 AST)")</f>
        <v>Running Layup (19 PTS) (K. Dunn 5 AST)</v>
      </c>
      <c r="L2201" s="2" t="str">
        <f>HYPERLINK("https://www.nba.com/game/...-vs-...-0022400793/play-by-play?watchFullGame=true", "LAC vs MIL - Q3 04:33.00")</f>
        <v>LAC vs MIL - Q3 04:33.00</v>
      </c>
      <c r="M2201">
        <v>1.21</v>
      </c>
      <c r="N2201">
        <v>93.51</v>
      </c>
      <c r="O2201">
        <v>51.72</v>
      </c>
      <c r="P2201">
        <v>9</v>
      </c>
      <c r="Q2201">
        <v>8</v>
      </c>
      <c r="R2201">
        <v>93</v>
      </c>
      <c r="S2201">
        <v>51</v>
      </c>
    </row>
    <row r="2202" spans="1:19" hidden="1" x14ac:dyDescent="0.25">
      <c r="A2202">
        <v>22400793</v>
      </c>
      <c r="B2202" t="s">
        <v>18</v>
      </c>
      <c r="C2202" t="s">
        <v>87</v>
      </c>
      <c r="D2202">
        <v>72</v>
      </c>
      <c r="E2202">
        <v>67</v>
      </c>
      <c r="F2202">
        <v>5</v>
      </c>
      <c r="G2202">
        <v>3</v>
      </c>
      <c r="H2202" s="1">
        <v>4.1087962962962962E-3</v>
      </c>
      <c r="I2202">
        <v>2024</v>
      </c>
      <c r="J2202" t="s">
        <v>83</v>
      </c>
      <c r="K2202" s="2" t="str">
        <f>HYPERLINK("https://www.nba.com/stats/events?CFID=&amp;CFPARAMS=&amp;GameEventID=381&amp;GameID=0022400793&amp;Season=2024-25&amp;flag=1&amp;title=Leonard%20running%20Layup%20(17%20PTS)%20(J.%20Harden%205%20AST)", "Running Layup (17 PTS) (J. Harden 5 AST)")</f>
        <v>Running Layup (17 PTS) (J. Harden 5 AST)</v>
      </c>
      <c r="L2202" s="2" t="str">
        <f>HYPERLINK("https://www.nba.com/game/...-vs-...-0022400793/play-by-play?watchFullGame=true", "LAC vs MIL - Q3 05:55.00")</f>
        <v>LAC vs MIL - Q3 05:55.00</v>
      </c>
      <c r="M2202">
        <v>1.2</v>
      </c>
      <c r="N2202">
        <v>93.25</v>
      </c>
      <c r="O2202">
        <v>50.98</v>
      </c>
      <c r="P2202">
        <v>5</v>
      </c>
      <c r="Q2202">
        <v>11</v>
      </c>
      <c r="R2202">
        <v>93</v>
      </c>
      <c r="S2202">
        <v>50</v>
      </c>
    </row>
    <row r="2203" spans="1:19" hidden="1" x14ac:dyDescent="0.25">
      <c r="A2203">
        <v>22000644</v>
      </c>
      <c r="B2203" t="s">
        <v>18</v>
      </c>
      <c r="C2203" t="s">
        <v>87</v>
      </c>
      <c r="D2203">
        <v>52</v>
      </c>
      <c r="E2203">
        <v>32</v>
      </c>
      <c r="F2203">
        <v>20</v>
      </c>
      <c r="G2203">
        <v>2</v>
      </c>
      <c r="H2203" s="1">
        <v>4.2129629629629626E-3</v>
      </c>
      <c r="I2203">
        <v>2020</v>
      </c>
      <c r="J2203" t="s">
        <v>83</v>
      </c>
      <c r="K2203" s="2" t="str">
        <f>HYPERLINK("https://www.nba.com/stats/events?CFID=&amp;CFPARAMS=&amp;GameEventID=233&amp;GameID=0022000644&amp;Season=2020-21&amp;flag=1&amp;title=Leonard%20driving%20Layup%20(8%20PTS)", "Driving Layup (8 PTS)")</f>
        <v>Driving Layup (8 PTS)</v>
      </c>
      <c r="L2203" s="2" t="str">
        <f>HYPERLINK("https://www.nba.com/game/...-vs-...-0022000644/play-by-play?watchFullGame=true", "LAC vs CHA - Q2 06:04.00")</f>
        <v>LAC vs CHA - Q2 06:04.00</v>
      </c>
      <c r="M2203">
        <v>1.1499999999999999</v>
      </c>
      <c r="N2203">
        <v>93.51</v>
      </c>
      <c r="O2203">
        <v>51.54</v>
      </c>
      <c r="P2203">
        <v>8</v>
      </c>
      <c r="Q2203">
        <v>8</v>
      </c>
      <c r="R2203">
        <v>93</v>
      </c>
      <c r="S2203">
        <v>51</v>
      </c>
    </row>
    <row r="2204" spans="1:19" hidden="1" x14ac:dyDescent="0.25">
      <c r="A2204">
        <v>22200735</v>
      </c>
      <c r="B2204" t="s">
        <v>18</v>
      </c>
      <c r="C2204" t="s">
        <v>87</v>
      </c>
      <c r="D2204">
        <v>25</v>
      </c>
      <c r="E2204">
        <v>18</v>
      </c>
      <c r="F2204">
        <v>7</v>
      </c>
      <c r="G2204">
        <v>1</v>
      </c>
      <c r="H2204" s="1">
        <v>2.2222222222222222E-3</v>
      </c>
      <c r="I2204">
        <v>2022</v>
      </c>
      <c r="J2204" t="s">
        <v>83</v>
      </c>
      <c r="K2204" s="2" t="str">
        <f>HYPERLINK("https://www.nba.com/stats/events?CFID=&amp;CFPARAMS=&amp;GameEventID=107&amp;GameID=0022200735&amp;Season=2022-23&amp;flag=1&amp;title=Leonard%20running%20finger%20roll%20Layup%20(6%20PTS)", "Running finger roll Layup (6 PTS)")</f>
        <v>Running finger roll Layup (6 PTS)</v>
      </c>
      <c r="L2204" s="2" t="str">
        <f>HYPERLINK("https://www.nba.com/game/...-vs-...-0022200735/play-by-play?watchFullGame=true", "LAC vs SAS - Q1 03:12.00")</f>
        <v>LAC vs SAS - Q1 03:12.00</v>
      </c>
      <c r="M2204">
        <v>1.1299999999999999</v>
      </c>
      <c r="N2204">
        <v>93.22</v>
      </c>
      <c r="O2204">
        <v>50</v>
      </c>
      <c r="P2204">
        <v>93</v>
      </c>
      <c r="Q2204">
        <v>11</v>
      </c>
      <c r="R2204">
        <v>93</v>
      </c>
      <c r="S2204">
        <v>50</v>
      </c>
    </row>
    <row r="2205" spans="1:19" hidden="1" x14ac:dyDescent="0.25">
      <c r="A2205">
        <v>22300716</v>
      </c>
      <c r="B2205" t="s">
        <v>18</v>
      </c>
      <c r="C2205" t="s">
        <v>87</v>
      </c>
      <c r="D2205">
        <v>57</v>
      </c>
      <c r="E2205">
        <v>51</v>
      </c>
      <c r="F2205">
        <v>6</v>
      </c>
      <c r="G2205">
        <v>2</v>
      </c>
      <c r="H2205" s="1">
        <v>2.9398148148148148E-3</v>
      </c>
      <c r="I2205">
        <v>2023</v>
      </c>
      <c r="J2205" t="s">
        <v>83</v>
      </c>
      <c r="K2205" s="2" t="str">
        <f>HYPERLINK("https://www.nba.com/stats/events?CFID=&amp;CFPARAMS=&amp;GameEventID=245&amp;GameID=0022300716&amp;Season=2023-24&amp;flag=1&amp;title=Leonard%20running%20Layup%20(10%20PTS)%20(P.%20George%201%20AST)", "Running Layup (10 PTS) (P. George 1 AST)")</f>
        <v>Running Layup (10 PTS) (P. George 1 AST)</v>
      </c>
      <c r="L2205" s="2" t="str">
        <f>HYPERLINK("https://www.nba.com/game/...-vs-...-0022300716/play-by-play?watchFullGame=true", "LAC vs ATL - Q2 04:14.00")</f>
        <v>LAC vs ATL - Q2 04:14.00</v>
      </c>
      <c r="M2205">
        <v>1.1100000000000001</v>
      </c>
      <c r="N2205">
        <v>93.25</v>
      </c>
      <c r="O2205">
        <v>49.75</v>
      </c>
      <c r="P2205">
        <v>-1</v>
      </c>
      <c r="Q2205">
        <v>11</v>
      </c>
      <c r="R2205">
        <v>93</v>
      </c>
      <c r="S2205">
        <v>49</v>
      </c>
    </row>
    <row r="2206" spans="1:19" hidden="1" x14ac:dyDescent="0.25">
      <c r="A2206">
        <v>21900035</v>
      </c>
      <c r="B2206" t="s">
        <v>18</v>
      </c>
      <c r="C2206" t="s">
        <v>90</v>
      </c>
      <c r="D2206">
        <v>62</v>
      </c>
      <c r="E2206">
        <v>62</v>
      </c>
      <c r="F2206">
        <v>0</v>
      </c>
      <c r="G2206">
        <v>3</v>
      </c>
      <c r="H2206" s="1">
        <v>6.1805555555555555E-3</v>
      </c>
      <c r="I2206">
        <v>2019</v>
      </c>
      <c r="J2206" t="s">
        <v>83</v>
      </c>
      <c r="K2206" s="2" t="str">
        <f>HYPERLINK("https://www.nba.com/stats/events?CFID=&amp;CFPARAMS=&amp;GameEventID=425&amp;GameID=0021900035&amp;Season=2019-20&amp;flag=1&amp;title=[LAC]%20Leonard%20layup:%20Made%20(10%20PTS)", "[LAC] Leonard layup: Made (10 PTS)")</f>
        <v>[LAC] Leonard layup: Made (10 PTS)</v>
      </c>
      <c r="L2206" s="2" t="str">
        <f>HYPERLINK("https://www.nba.com/game/...-vs-...-0021900035/play-by-play?watchFullGame=true", "LAC vs PHX - Q3 08:54.00")</f>
        <v>LAC vs PHX - Q3 08:54.00</v>
      </c>
      <c r="M2206">
        <v>1.1000000000000001</v>
      </c>
      <c r="N2206">
        <v>93.91</v>
      </c>
      <c r="O2206">
        <v>50.8</v>
      </c>
      <c r="P2206">
        <v>4</v>
      </c>
      <c r="Q2206">
        <v>5</v>
      </c>
      <c r="R2206">
        <v>93</v>
      </c>
      <c r="S2206">
        <v>50</v>
      </c>
    </row>
    <row r="2207" spans="1:19" hidden="1" x14ac:dyDescent="0.25">
      <c r="A2207">
        <v>22200525</v>
      </c>
      <c r="B2207" t="s">
        <v>18</v>
      </c>
      <c r="C2207" t="s">
        <v>87</v>
      </c>
      <c r="D2207">
        <v>39</v>
      </c>
      <c r="E2207">
        <v>50</v>
      </c>
      <c r="F2207">
        <v>11</v>
      </c>
      <c r="G2207">
        <v>2</v>
      </c>
      <c r="H2207" s="1">
        <v>2.0833333333333333E-3</v>
      </c>
      <c r="I2207">
        <v>2022</v>
      </c>
      <c r="J2207" t="s">
        <v>83</v>
      </c>
      <c r="K2207" s="2" t="str">
        <f>HYPERLINK("https://www.nba.com/stats/events?CFID=&amp;CFPARAMS=&amp;GameEventID=271&amp;GameID=0022200525&amp;Season=2022-23&amp;flag=1&amp;title=Leonard%20Layup%20(13%20PTS)%20(M.%20Morris%20Sr.%201%20AST)", "Layup (13 PTS) (M. Morris Sr. 1 AST)")</f>
        <v>Layup (13 PTS) (M. Morris Sr. 1 AST)</v>
      </c>
      <c r="L2207" s="2" t="str">
        <f>HYPERLINK("https://www.nba.com/game/...-vs-...-0022200525/play-by-play?watchFullGame=true", "LAC vs BOS - Q2 03:00.00")</f>
        <v>LAC vs BOS - Q2 03:00.00</v>
      </c>
      <c r="M2207">
        <v>1.04</v>
      </c>
      <c r="N2207">
        <v>93.64</v>
      </c>
      <c r="O2207">
        <v>51.47</v>
      </c>
      <c r="P2207">
        <v>7</v>
      </c>
      <c r="Q2207">
        <v>7</v>
      </c>
      <c r="R2207">
        <v>93</v>
      </c>
      <c r="S2207">
        <v>51</v>
      </c>
    </row>
    <row r="2208" spans="1:19" hidden="1" x14ac:dyDescent="0.25">
      <c r="A2208">
        <v>22000289</v>
      </c>
      <c r="B2208" t="s">
        <v>18</v>
      </c>
      <c r="C2208" t="s">
        <v>87</v>
      </c>
      <c r="D2208">
        <v>20</v>
      </c>
      <c r="E2208">
        <v>9</v>
      </c>
      <c r="F2208">
        <v>11</v>
      </c>
      <c r="G2208">
        <v>1</v>
      </c>
      <c r="H2208" s="1">
        <v>2.5694444444444445E-3</v>
      </c>
      <c r="I2208">
        <v>2020</v>
      </c>
      <c r="J2208" t="s">
        <v>83</v>
      </c>
      <c r="K2208" s="2" t="str">
        <f>HYPERLINK("https://www.nba.com/stats/events?CFID=&amp;CFPARAMS=&amp;GameEventID=96&amp;GameID=0022000289&amp;Season=2020-21&amp;flag=1&amp;title=Leonard%20driving%20Layup%20(7%20PTS)", "Driving Layup (7 PTS)")</f>
        <v>Driving Layup (7 PTS)</v>
      </c>
      <c r="L2208" s="2" t="str">
        <f>HYPERLINK("https://www.nba.com/game/...-vs-...-0022000289/play-by-play?watchFullGame=true", "LAC vs ORL - Q1 03:42.00")</f>
        <v>LAC vs ORL - Q1 03:42.00</v>
      </c>
      <c r="M2208">
        <v>1</v>
      </c>
      <c r="N2208">
        <v>93.51</v>
      </c>
      <c r="O2208">
        <v>51.05</v>
      </c>
      <c r="P2208">
        <v>5</v>
      </c>
      <c r="Q2208">
        <v>8</v>
      </c>
      <c r="R2208">
        <v>93</v>
      </c>
      <c r="S2208">
        <v>51</v>
      </c>
    </row>
    <row r="2209" spans="1:19" hidden="1" x14ac:dyDescent="0.25">
      <c r="A2209">
        <v>22300646</v>
      </c>
      <c r="B2209" t="s">
        <v>18</v>
      </c>
      <c r="C2209" t="s">
        <v>87</v>
      </c>
      <c r="D2209">
        <v>11</v>
      </c>
      <c r="E2209">
        <v>9</v>
      </c>
      <c r="F2209">
        <v>2</v>
      </c>
      <c r="G2209">
        <v>1</v>
      </c>
      <c r="H2209" s="1">
        <v>4.2939814814814811E-3</v>
      </c>
      <c r="I2209">
        <v>2023</v>
      </c>
      <c r="J2209" t="s">
        <v>83</v>
      </c>
      <c r="K2209" s="2" t="str">
        <f>HYPERLINK("https://www.nba.com/stats/events?CFID=&amp;CFPARAMS=&amp;GameEventID=74&amp;GameID=0022300646&amp;Season=2023-24&amp;flag=1&amp;title=Leonard%20running%20finger%20roll%20Layup%20(7%20PTS)", "Running finger roll Layup (7 PTS)")</f>
        <v>Running finger roll Layup (7 PTS)</v>
      </c>
      <c r="L2209" s="2" t="str">
        <f>HYPERLINK("https://www.nba.com/game/...-vs-...-0022300646/play-by-play?watchFullGame=true", "LAC vs BOS - Q1 06:11.00")</f>
        <v>LAC vs BOS - Q1 06:11.00</v>
      </c>
      <c r="M2209">
        <v>1</v>
      </c>
      <c r="N2209">
        <v>93.38</v>
      </c>
      <c r="O2209">
        <v>49.51</v>
      </c>
      <c r="P2209">
        <v>-2</v>
      </c>
      <c r="Q2209">
        <v>10</v>
      </c>
      <c r="R2209">
        <v>93</v>
      </c>
      <c r="S2209">
        <v>49</v>
      </c>
    </row>
    <row r="2210" spans="1:19" hidden="1" x14ac:dyDescent="0.25">
      <c r="A2210">
        <v>22000400</v>
      </c>
      <c r="B2210" t="s">
        <v>18</v>
      </c>
      <c r="C2210" t="s">
        <v>87</v>
      </c>
      <c r="D2210">
        <v>2</v>
      </c>
      <c r="E2210">
        <v>6</v>
      </c>
      <c r="F2210">
        <v>4</v>
      </c>
      <c r="G2210">
        <v>1</v>
      </c>
      <c r="H2210" s="1">
        <v>7.2685185185185188E-3</v>
      </c>
      <c r="I2210">
        <v>2020</v>
      </c>
      <c r="J2210" t="s">
        <v>83</v>
      </c>
      <c r="K2210" s="2" t="str">
        <f>HYPERLINK("https://www.nba.com/stats/events?CFID=&amp;CFPARAMS=&amp;GameEventID=18&amp;GameID=0022000400&amp;Season=2020-21&amp;flag=1&amp;title=Leonard%20driving%20Layup%20(2%20PTS)", "Driving Layup (2 PTS)")</f>
        <v>Driving Layup (2 PTS)</v>
      </c>
      <c r="L2210" s="2" t="str">
        <f>HYPERLINK("https://www.nba.com/game/...-vs-...-0022000400/play-by-play?watchFullGame=true", "LAC vs CHI - Q1 10:28.00")</f>
        <v>LAC vs CHI - Q1 10:28.00</v>
      </c>
      <c r="M2210">
        <v>1</v>
      </c>
      <c r="N2210">
        <v>93.51</v>
      </c>
      <c r="O2210">
        <v>51.05</v>
      </c>
      <c r="P2210">
        <v>5</v>
      </c>
      <c r="Q2210">
        <v>8</v>
      </c>
      <c r="R2210">
        <v>93</v>
      </c>
      <c r="S2210">
        <v>51</v>
      </c>
    </row>
    <row r="2211" spans="1:19" hidden="1" x14ac:dyDescent="0.25">
      <c r="A2211">
        <v>22000387</v>
      </c>
      <c r="B2211" t="s">
        <v>18</v>
      </c>
      <c r="C2211" t="s">
        <v>87</v>
      </c>
      <c r="D2211">
        <v>9</v>
      </c>
      <c r="E2211">
        <v>11</v>
      </c>
      <c r="F2211">
        <v>2</v>
      </c>
      <c r="G2211">
        <v>1</v>
      </c>
      <c r="H2211" s="1">
        <v>6.076388888888889E-3</v>
      </c>
      <c r="I2211">
        <v>2020</v>
      </c>
      <c r="J2211" t="s">
        <v>83</v>
      </c>
      <c r="K2211" s="2" t="str">
        <f>HYPERLINK("https://www.nba.com/stats/events?CFID=&amp;CFPARAMS=&amp;GameEventID=33&amp;GameID=0022000387&amp;Season=2020-21&amp;flag=1&amp;title=Leonard%20driving%20Layup%20(2%20PTS)%20(Ibaka%201%20AST)", "Driving Layup (2 PTS) (S. Ibaka 1 AST)")</f>
        <v>Driving Layup (2 PTS) (S. Ibaka 1 AST)</v>
      </c>
      <c r="L2211" s="2" t="str">
        <f>HYPERLINK("https://www.nba.com/game/...-vs-...-0022000387/play-by-play?watchFullGame=true", "LAC vs MIN - Q1 08:45.00")</f>
        <v>LAC vs MIN - Q1 08:45.00</v>
      </c>
      <c r="M2211">
        <v>0.99</v>
      </c>
      <c r="N2211">
        <v>93.38</v>
      </c>
      <c r="O2211">
        <v>49.58</v>
      </c>
      <c r="P2211">
        <v>-2</v>
      </c>
      <c r="Q2211">
        <v>10</v>
      </c>
      <c r="R2211">
        <v>93</v>
      </c>
      <c r="S2211">
        <v>49</v>
      </c>
    </row>
    <row r="2212" spans="1:19" hidden="1" x14ac:dyDescent="0.25">
      <c r="A2212">
        <v>22200970</v>
      </c>
      <c r="B2212" t="s">
        <v>18</v>
      </c>
      <c r="C2212" t="s">
        <v>87</v>
      </c>
      <c r="D2212">
        <v>92</v>
      </c>
      <c r="E2212">
        <v>104</v>
      </c>
      <c r="F2212">
        <v>12</v>
      </c>
      <c r="G2212">
        <v>3</v>
      </c>
      <c r="H2212" s="1">
        <v>1.1689814814814816E-3</v>
      </c>
      <c r="I2212">
        <v>2022</v>
      </c>
      <c r="J2212" t="s">
        <v>83</v>
      </c>
      <c r="K2212" s="2" t="str">
        <f>HYPERLINK("https://www.nba.com/stats/events?CFID=&amp;CFPARAMS=&amp;GameEventID=456&amp;GameID=0022200970&amp;Season=2022-23&amp;flag=1&amp;title=Leonard%20driving%20Layup%20(18%20PTS)", "Driving Layup (18 PTS)")</f>
        <v>Driving Layup (18 PTS)</v>
      </c>
      <c r="L2212" s="2" t="str">
        <f>HYPERLINK("https://www.nba.com/game/...-vs-...-0022200970/play-by-play?watchFullGame=true", "LAC vs MEM - Q3 01:41.00")</f>
        <v>LAC vs MEM - Q3 01:41.00</v>
      </c>
      <c r="M2212">
        <v>0.97</v>
      </c>
      <c r="N2212">
        <v>93.74</v>
      </c>
      <c r="O2212">
        <v>51.47</v>
      </c>
      <c r="P2212">
        <v>7</v>
      </c>
      <c r="Q2212">
        <v>6</v>
      </c>
      <c r="R2212">
        <v>93</v>
      </c>
      <c r="S2212">
        <v>51</v>
      </c>
    </row>
    <row r="2213" spans="1:19" hidden="1" x14ac:dyDescent="0.25">
      <c r="A2213">
        <v>22400943</v>
      </c>
      <c r="B2213" t="s">
        <v>18</v>
      </c>
      <c r="C2213" t="s">
        <v>87</v>
      </c>
      <c r="D2213">
        <v>43</v>
      </c>
      <c r="E2213">
        <v>57</v>
      </c>
      <c r="F2213">
        <v>14</v>
      </c>
      <c r="G2213">
        <v>2</v>
      </c>
      <c r="H2213" s="1">
        <v>1.8749999999999999E-3</v>
      </c>
      <c r="I2213">
        <v>2024</v>
      </c>
      <c r="J2213" t="s">
        <v>83</v>
      </c>
      <c r="K2213" s="2" t="str">
        <f>HYPERLINK("https://www.nba.com/stats/events?CFID=&amp;CFPARAMS=&amp;GameEventID=255&amp;GameID=0022400943&amp;Season=2024-25&amp;flag=1&amp;title=Leonard%20running%20Layup%20(14%20PTS)%20(J.%20Harden%205%20AST)", "Running Layup (14 PTS) (J. Harden 5 AST)")</f>
        <v>Running Layup (14 PTS) (J. Harden 5 AST)</v>
      </c>
      <c r="L2213" s="2" t="str">
        <f>HYPERLINK("https://www.nba.com/game/...-vs-...-0022400943/play-by-play?watchFullGame=true", "LAC vs NOP - Q2 02:42.00")</f>
        <v>LAC vs NOP - Q2 02:42.00</v>
      </c>
      <c r="M2213">
        <v>0.97</v>
      </c>
      <c r="N2213">
        <v>93.38</v>
      </c>
      <c r="O2213">
        <v>50</v>
      </c>
      <c r="P2213">
        <v>93</v>
      </c>
      <c r="Q2213">
        <v>10</v>
      </c>
      <c r="R2213">
        <v>93</v>
      </c>
      <c r="S2213">
        <v>50</v>
      </c>
    </row>
    <row r="2214" spans="1:19" hidden="1" x14ac:dyDescent="0.25">
      <c r="A2214">
        <v>22400697</v>
      </c>
      <c r="B2214" t="s">
        <v>18</v>
      </c>
      <c r="C2214" t="s">
        <v>87</v>
      </c>
      <c r="D2214">
        <v>36</v>
      </c>
      <c r="E2214">
        <v>41</v>
      </c>
      <c r="F2214">
        <v>5</v>
      </c>
      <c r="G2214">
        <v>2</v>
      </c>
      <c r="H2214" s="1">
        <v>7.2106481481481483E-3</v>
      </c>
      <c r="I2214">
        <v>2024</v>
      </c>
      <c r="J2214" t="s">
        <v>83</v>
      </c>
      <c r="K2214" s="2" t="str">
        <f>HYPERLINK("https://www.nba.com/stats/events?CFID=&amp;CFPARAMS=&amp;GameEventID=172&amp;GameID=0022400697&amp;Season=2024-25&amp;flag=1&amp;title=Leonard%20driving%20finger%20roll%20Layup%20(5%20PTS)", "Driving finger roll Layup (5 PTS)")</f>
        <v>Driving finger roll Layup (5 PTS)</v>
      </c>
      <c r="L2214" s="2" t="str">
        <f>HYPERLINK("https://www.nba.com/game/...-vs-...-0022400697/play-by-play?watchFullGame=true", "LAC vs TOR - Q2 10:23.00")</f>
        <v>LAC vs TOR - Q2 10:23.00</v>
      </c>
      <c r="M2214">
        <v>0.88</v>
      </c>
      <c r="N2214">
        <v>93.64</v>
      </c>
      <c r="O2214">
        <v>50.98</v>
      </c>
      <c r="P2214">
        <v>5</v>
      </c>
      <c r="Q2214">
        <v>7</v>
      </c>
      <c r="R2214">
        <v>93</v>
      </c>
      <c r="S2214">
        <v>50</v>
      </c>
    </row>
    <row r="2215" spans="1:19" hidden="1" x14ac:dyDescent="0.25">
      <c r="A2215">
        <v>22200766</v>
      </c>
      <c r="B2215" t="s">
        <v>18</v>
      </c>
      <c r="C2215" t="s">
        <v>88</v>
      </c>
      <c r="D2215">
        <v>101</v>
      </c>
      <c r="E2215">
        <v>96</v>
      </c>
      <c r="F2215">
        <v>5</v>
      </c>
      <c r="G2215">
        <v>4</v>
      </c>
      <c r="H2215" s="1">
        <v>3.1250000000000002E-3</v>
      </c>
      <c r="I2215">
        <v>2022</v>
      </c>
      <c r="J2215" t="s">
        <v>83</v>
      </c>
      <c r="K2215" s="2" t="str">
        <f>HYPERLINK("https://www.nba.com/stats/events?CFID=&amp;CFPARAMS=&amp;GameEventID=578&amp;GameID=0022200766&amp;Season=2022-23&amp;flag=1&amp;title=Leonard%20cutting%20DUNK%20(28%20PTS)%20(P.%20George%207%20AST)", "Cutting DUNK (28 PTS) (P. George 7 AST)")</f>
        <v>Cutting DUNK (28 PTS) (P. George 7 AST)</v>
      </c>
      <c r="L2215" s="2" t="str">
        <f>HYPERLINK("https://www.nba.com/game/...-vs-...-0022200766/play-by-play?watchFullGame=true", "LAC vs CHI - Q4 04:30.00")</f>
        <v>LAC vs CHI - Q4 04:30.00</v>
      </c>
      <c r="M2215">
        <v>1.1299999999999999</v>
      </c>
      <c r="N2215">
        <v>93.25</v>
      </c>
      <c r="O2215">
        <v>50.49</v>
      </c>
      <c r="P2215">
        <v>2</v>
      </c>
      <c r="Q2215">
        <v>11</v>
      </c>
      <c r="R2215">
        <v>93</v>
      </c>
      <c r="S2215">
        <v>50</v>
      </c>
    </row>
    <row r="2216" spans="1:19" hidden="1" x14ac:dyDescent="0.25">
      <c r="A2216">
        <v>22000756</v>
      </c>
      <c r="B2216" t="s">
        <v>18</v>
      </c>
      <c r="C2216" t="s">
        <v>88</v>
      </c>
      <c r="D2216">
        <v>18</v>
      </c>
      <c r="E2216">
        <v>7</v>
      </c>
      <c r="F2216">
        <v>11</v>
      </c>
      <c r="G2216">
        <v>1</v>
      </c>
      <c r="H2216" s="1">
        <v>5.0462962962962961E-3</v>
      </c>
      <c r="I2216">
        <v>2020</v>
      </c>
      <c r="J2216" t="s">
        <v>83</v>
      </c>
      <c r="K2216" s="2" t="str">
        <f>HYPERLINK("https://www.nba.com/stats/events?CFID=&amp;CFPARAMS=&amp;GameEventID=46&amp;GameID=0022000756&amp;Season=2020-21&amp;flag=1&amp;title=Leonard%20running%20DUNK%20(5%20PTS)", "Running DUNK (5 PTS)")</f>
        <v>Running DUNK (5 PTS)</v>
      </c>
      <c r="L2216" s="2" t="str">
        <f>HYPERLINK("https://www.nba.com/game/...-vs-...-0022000756/play-by-play?watchFullGame=true", "LAC vs LAL - Q1 07:16.00")</f>
        <v>LAC vs LAL - Q1 07:16.00</v>
      </c>
      <c r="M2216">
        <v>0.98</v>
      </c>
      <c r="N2216">
        <v>93.38</v>
      </c>
      <c r="O2216">
        <v>50.31</v>
      </c>
      <c r="P2216">
        <v>2</v>
      </c>
      <c r="Q2216">
        <v>10</v>
      </c>
      <c r="R2216">
        <v>93</v>
      </c>
      <c r="S2216">
        <v>50</v>
      </c>
    </row>
    <row r="2217" spans="1:19" hidden="1" x14ac:dyDescent="0.25">
      <c r="A2217">
        <v>22000224</v>
      </c>
      <c r="B2217" t="s">
        <v>18</v>
      </c>
      <c r="C2217" t="s">
        <v>88</v>
      </c>
      <c r="D2217">
        <v>10</v>
      </c>
      <c r="E2217">
        <v>11</v>
      </c>
      <c r="F2217">
        <v>1</v>
      </c>
      <c r="G2217">
        <v>1</v>
      </c>
      <c r="H2217" s="1">
        <v>4.9074074074074072E-3</v>
      </c>
      <c r="I2217">
        <v>2020</v>
      </c>
      <c r="J2217" t="s">
        <v>83</v>
      </c>
      <c r="K2217" s="2" t="str">
        <f>HYPERLINK("https://www.nba.com/stats/events?CFID=&amp;CFPARAMS=&amp;GameEventID=50&amp;GameID=0022000224&amp;Season=2020-21&amp;flag=1&amp;title=Leonard%20running%20DUNK%20(4%20PTS)", "Running DUNK (4 PTS)")</f>
        <v>Running DUNK (4 PTS)</v>
      </c>
      <c r="L2217" s="2" t="str">
        <f>HYPERLINK("https://www.nba.com/game/...-vs-...-0022000224/play-by-play?watchFullGame=true", "LAC vs SAC - Q1 07:04.00")</f>
        <v>LAC vs SAC - Q1 07:04.00</v>
      </c>
      <c r="M2217">
        <v>0.86</v>
      </c>
      <c r="N2217">
        <v>93.51</v>
      </c>
      <c r="O2217">
        <v>50.31</v>
      </c>
      <c r="P2217">
        <v>2</v>
      </c>
      <c r="Q2217">
        <v>8</v>
      </c>
      <c r="R2217">
        <v>93</v>
      </c>
      <c r="S2217">
        <v>50</v>
      </c>
    </row>
    <row r="2218" spans="1:19" hidden="1" x14ac:dyDescent="0.25">
      <c r="A2218">
        <v>41900231</v>
      </c>
      <c r="B2218" t="s">
        <v>18</v>
      </c>
      <c r="C2218" t="s">
        <v>92</v>
      </c>
      <c r="D2218">
        <v>51</v>
      </c>
      <c r="E2218">
        <v>40</v>
      </c>
      <c r="F2218">
        <v>11</v>
      </c>
      <c r="G2218">
        <v>2</v>
      </c>
      <c r="H2218" s="1">
        <v>3.6111111111111109E-3</v>
      </c>
      <c r="I2218" t="s">
        <v>85</v>
      </c>
      <c r="J2218" t="s">
        <v>83</v>
      </c>
      <c r="K2218" s="2" t="str">
        <f>HYPERLINK("https://www.nba.com/stats/events?CFID=&amp;CFPARAMS=&amp;GameEventID=244&amp;GameID=0041900231&amp;Season=2019-20&amp;flag=1&amp;title=Leonard%20dunk%20(15%20PTS)", "Dunk (15 PTS)")</f>
        <v>Dunk (15 PTS)</v>
      </c>
      <c r="L2218" s="2" t="str">
        <f>HYPERLINK("https://www.nba.com/game/...-vs-...-0041900231/play-by-play?watchFullGame=true", "LAC vs DEN - Q2 05:12.00")</f>
        <v>LAC vs DEN - Q2 05:12.00</v>
      </c>
      <c r="M2218">
        <v>1.67</v>
      </c>
      <c r="N2218">
        <v>93.25</v>
      </c>
      <c r="O2218">
        <v>50.56</v>
      </c>
      <c r="P2218">
        <v>3</v>
      </c>
      <c r="Q2218">
        <v>11</v>
      </c>
      <c r="R2218">
        <v>93</v>
      </c>
      <c r="S2218">
        <v>50</v>
      </c>
    </row>
    <row r="2219" spans="1:19" hidden="1" x14ac:dyDescent="0.25">
      <c r="A2219">
        <v>21900068</v>
      </c>
      <c r="B2219" t="s">
        <v>18</v>
      </c>
      <c r="C2219" t="s">
        <v>92</v>
      </c>
      <c r="D2219">
        <v>84</v>
      </c>
      <c r="E2219">
        <v>75</v>
      </c>
      <c r="F2219">
        <v>9</v>
      </c>
      <c r="G2219">
        <v>4</v>
      </c>
      <c r="H2219" s="1">
        <v>7.8009259259259256E-3</v>
      </c>
      <c r="I2219">
        <v>2019</v>
      </c>
      <c r="J2219" t="s">
        <v>83</v>
      </c>
      <c r="K2219" s="2" t="str">
        <f>HYPERLINK("https://www.nba.com/stats/events?CFID=&amp;CFPARAMS=&amp;GameEventID=543&amp;GameID=0021900068&amp;Season=2019-20&amp;flag=1&amp;title=[LAC]%20Leonard%20dunk:%20Made%20(27%20PTS)", "[LAC] Leonard dunk: Made (27 PTS)")</f>
        <v>[LAC] Leonard dunk: Made (27 PTS)</v>
      </c>
      <c r="L2219" s="2" t="str">
        <f>HYPERLINK("https://www.nba.com/game/...-vs-...-0021900068/play-by-play?watchFullGame=true", "LAC vs SAS - Q4 11:14.00")</f>
        <v>LAC vs SAS - Q4 11:14.00</v>
      </c>
      <c r="M2219">
        <v>1.1100000000000001</v>
      </c>
      <c r="N2219">
        <v>93.87</v>
      </c>
      <c r="O2219">
        <v>50.67</v>
      </c>
      <c r="P2219">
        <v>3</v>
      </c>
      <c r="Q2219">
        <v>5</v>
      </c>
      <c r="R2219">
        <v>93</v>
      </c>
      <c r="S2219">
        <v>50</v>
      </c>
    </row>
    <row r="2220" spans="1:19" hidden="1" x14ac:dyDescent="0.25">
      <c r="A2220">
        <v>22200668</v>
      </c>
      <c r="B2220" t="s">
        <v>18</v>
      </c>
      <c r="C2220" t="s">
        <v>88</v>
      </c>
      <c r="D2220">
        <v>27</v>
      </c>
      <c r="E2220">
        <v>31</v>
      </c>
      <c r="F2220">
        <v>4</v>
      </c>
      <c r="G2220">
        <v>1</v>
      </c>
      <c r="H2220" s="1">
        <v>2.5694444444444446E-4</v>
      </c>
      <c r="I2220">
        <v>2022</v>
      </c>
      <c r="J2220" t="s">
        <v>83</v>
      </c>
      <c r="K2220" s="2" t="str">
        <f>HYPERLINK("https://www.nba.com/stats/events?CFID=&amp;CFPARAMS=&amp;GameEventID=142&amp;GameID=0022200668&amp;Season=2022-23&amp;flag=1&amp;title=Leonard%20driving%20DUNK%20(7%20PTS)%20(R.%20Jackson%201%20AST)", "Driving DUNK (7 PTS) (R. Jackson 1 AST)")</f>
        <v>Driving DUNK (7 PTS) (R. Jackson 1 AST)</v>
      </c>
      <c r="L2220" s="2" t="str">
        <f>HYPERLINK("https://www.nba.com/game/...-vs-...-0022200668/play-by-play?watchFullGame=true", "LAC vs PHI - Q1 00:22.20")</f>
        <v>LAC vs PHI - Q1 00:22.20</v>
      </c>
      <c r="M2220">
        <v>1.19</v>
      </c>
      <c r="N2220">
        <v>93.22</v>
      </c>
      <c r="O2220">
        <v>50.74</v>
      </c>
      <c r="P2220">
        <v>4</v>
      </c>
      <c r="Q2220">
        <v>11</v>
      </c>
      <c r="R2220">
        <v>93</v>
      </c>
      <c r="S2220">
        <v>50</v>
      </c>
    </row>
    <row r="2221" spans="1:19" hidden="1" x14ac:dyDescent="0.25">
      <c r="A2221">
        <v>22200932</v>
      </c>
      <c r="B2221" t="s">
        <v>18</v>
      </c>
      <c r="C2221" t="s">
        <v>88</v>
      </c>
      <c r="D2221">
        <v>26</v>
      </c>
      <c r="E2221">
        <v>18</v>
      </c>
      <c r="F2221">
        <v>8</v>
      </c>
      <c r="G2221">
        <v>1</v>
      </c>
      <c r="H2221" s="1">
        <v>2.0717592592592593E-3</v>
      </c>
      <c r="I2221">
        <v>2022</v>
      </c>
      <c r="J2221" t="s">
        <v>83</v>
      </c>
      <c r="K2221" s="2" t="str">
        <f>HYPERLINK("https://www.nba.com/stats/events?CFID=&amp;CFPARAMS=&amp;GameEventID=131&amp;GameID=0022200932&amp;Season=2022-23&amp;flag=1&amp;title=Leonard%20cutting%20DUNK%20(8%20PTS)%20(N.%20Powell%201%20AST)", "Cutting DUNK (8 PTS) (N. Powell 1 AST)")</f>
        <v>Cutting DUNK (8 PTS) (N. Powell 1 AST)</v>
      </c>
      <c r="L2221" s="2" t="str">
        <f>HYPERLINK("https://www.nba.com/game/...-vs-...-0022200932/play-by-play?watchFullGame=true", "LAC vs MIN - Q1 02:59.00")</f>
        <v>LAC vs MIN - Q1 02:59.00</v>
      </c>
      <c r="M2221">
        <v>1.19</v>
      </c>
      <c r="N2221">
        <v>93.22</v>
      </c>
      <c r="O2221">
        <v>50.74</v>
      </c>
      <c r="P2221">
        <v>4</v>
      </c>
      <c r="Q2221">
        <v>11</v>
      </c>
      <c r="R2221">
        <v>93</v>
      </c>
      <c r="S2221">
        <v>50</v>
      </c>
    </row>
    <row r="2222" spans="1:19" hidden="1" x14ac:dyDescent="0.25">
      <c r="A2222">
        <v>22000224</v>
      </c>
      <c r="B2222" t="s">
        <v>18</v>
      </c>
      <c r="C2222" t="s">
        <v>88</v>
      </c>
      <c r="D2222">
        <v>18</v>
      </c>
      <c r="E2222">
        <v>19</v>
      </c>
      <c r="F2222">
        <v>1</v>
      </c>
      <c r="G2222">
        <v>1</v>
      </c>
      <c r="H2222" s="1">
        <v>3.0439814814814813E-3</v>
      </c>
      <c r="I2222">
        <v>2020</v>
      </c>
      <c r="J2222" t="s">
        <v>83</v>
      </c>
      <c r="K2222" s="2" t="str">
        <f>HYPERLINK("https://www.nba.com/stats/events?CFID=&amp;CFPARAMS=&amp;GameEventID=85&amp;GameID=0022000224&amp;Season=2020-21&amp;flag=1&amp;title=Leonard%20driving%20DUNK%20(6%20PTS)", "Driving DUNK (6 PTS)")</f>
        <v>Driving DUNK (6 PTS)</v>
      </c>
      <c r="L2222" s="2" t="str">
        <f>HYPERLINK("https://www.nba.com/game/...-vs-...-0022000224/play-by-play?watchFullGame=true", "LAC vs SAC - Q1 04:23.00")</f>
        <v>LAC vs SAC - Q1 04:23.00</v>
      </c>
      <c r="M2222">
        <v>0.72</v>
      </c>
      <c r="N2222">
        <v>93.77</v>
      </c>
      <c r="O2222">
        <v>50.8</v>
      </c>
      <c r="P2222">
        <v>4</v>
      </c>
      <c r="Q2222">
        <v>6</v>
      </c>
      <c r="R2222">
        <v>93</v>
      </c>
      <c r="S2222">
        <v>50</v>
      </c>
    </row>
    <row r="2223" spans="1:19" hidden="1" x14ac:dyDescent="0.25">
      <c r="A2223">
        <v>22000509</v>
      </c>
      <c r="B2223" t="s">
        <v>18</v>
      </c>
      <c r="C2223" t="s">
        <v>88</v>
      </c>
      <c r="D2223">
        <v>17</v>
      </c>
      <c r="E2223">
        <v>17</v>
      </c>
      <c r="F2223">
        <v>0</v>
      </c>
      <c r="G2223">
        <v>1</v>
      </c>
      <c r="H2223" s="1">
        <v>3.3449074074074076E-3</v>
      </c>
      <c r="I2223">
        <v>2020</v>
      </c>
      <c r="J2223" t="s">
        <v>83</v>
      </c>
      <c r="K2223" s="2" t="str">
        <f>HYPERLINK("https://www.nba.com/stats/events?CFID=&amp;CFPARAMS=&amp;GameEventID=89&amp;GameID=0022000509&amp;Season=2020-21&amp;flag=1&amp;title=Leonard%20running%20DUNK%20(6%20PTS)", "Running DUNK (6 PTS)")</f>
        <v>Running DUNK (6 PTS)</v>
      </c>
      <c r="L2223" s="2" t="str">
        <f>HYPERLINK("https://www.nba.com/game/...-vs-...-0022000509/play-by-play?watchFullGame=true", "LAC vs MEM - Q1 04:49.00")</f>
        <v>LAC vs MEM - Q1 04:49.00</v>
      </c>
      <c r="M2223">
        <v>0.72</v>
      </c>
      <c r="N2223">
        <v>93.77</v>
      </c>
      <c r="O2223">
        <v>50.8</v>
      </c>
      <c r="P2223">
        <v>4</v>
      </c>
      <c r="Q2223">
        <v>6</v>
      </c>
      <c r="R2223">
        <v>93</v>
      </c>
      <c r="S2223">
        <v>50</v>
      </c>
    </row>
    <row r="2224" spans="1:19" hidden="1" x14ac:dyDescent="0.25">
      <c r="A2224">
        <v>21900603</v>
      </c>
      <c r="B2224" t="s">
        <v>18</v>
      </c>
      <c r="C2224" t="s">
        <v>92</v>
      </c>
      <c r="D2224">
        <v>83</v>
      </c>
      <c r="E2224">
        <v>62</v>
      </c>
      <c r="F2224">
        <v>21</v>
      </c>
      <c r="G2224">
        <v>3</v>
      </c>
      <c r="H2224" s="1">
        <v>4.8726851851851848E-3</v>
      </c>
      <c r="I2224">
        <v>2019</v>
      </c>
      <c r="J2224" t="s">
        <v>83</v>
      </c>
      <c r="K2224" s="2" t="str">
        <f>HYPERLINK("https://www.nba.com/stats/events?CFID=&amp;CFPARAMS=&amp;GameEventID=374&amp;GameID=0021900603&amp;Season=2019-20&amp;flag=1&amp;title=Leonard%20dunk%20(37%20PTS)%20(L.%20Shamet%202%20AST)", "Dunk (37 PTS) (L. Shamet 2 AST)")</f>
        <v>Dunk (37 PTS) (L. Shamet 2 AST)</v>
      </c>
      <c r="L2224" s="2" t="str">
        <f>HYPERLINK("https://www.nba.com/game/...-vs-...-0021900603/play-by-play?watchFullGame=true", "LAC vs CLE - Q3 07:01.00")</f>
        <v>LAC vs CLE - Q3 07:01.00</v>
      </c>
      <c r="M2224">
        <v>1.39</v>
      </c>
      <c r="N2224">
        <v>93.61</v>
      </c>
      <c r="O2224">
        <v>50.91</v>
      </c>
      <c r="P2224">
        <v>5</v>
      </c>
      <c r="Q2224">
        <v>8</v>
      </c>
      <c r="R2224">
        <v>93</v>
      </c>
      <c r="S2224">
        <v>50</v>
      </c>
    </row>
    <row r="2225" spans="1:19" hidden="1" x14ac:dyDescent="0.25">
      <c r="A2225">
        <v>21900251</v>
      </c>
      <c r="B2225" t="s">
        <v>18</v>
      </c>
      <c r="C2225" t="s">
        <v>92</v>
      </c>
      <c r="D2225">
        <v>80</v>
      </c>
      <c r="E2225">
        <v>59</v>
      </c>
      <c r="F2225">
        <v>21</v>
      </c>
      <c r="G2225">
        <v>3</v>
      </c>
      <c r="H2225" s="1">
        <v>3.9930555555555552E-3</v>
      </c>
      <c r="I2225">
        <v>2019</v>
      </c>
      <c r="J2225" t="s">
        <v>83</v>
      </c>
      <c r="K2225" s="2" t="str">
        <f>HYPERLINK("https://www.nba.com/stats/events?CFID=&amp;CFPARAMS=&amp;GameEventID=448&amp;GameID=0021900251&amp;Season=2019-20&amp;flag=1&amp;title=Leonard%20dunk%20(19%20PTS)%20(L.%20Williams%203%20AST)", "Dunk (19 PTS) (L. Williams 3 AST)")</f>
        <v>Dunk (19 PTS) (L. Williams 3 AST)</v>
      </c>
      <c r="L2225" s="2" t="str">
        <f>HYPERLINK("https://www.nba.com/game/...-vs-...-0021900251/play-by-play?watchFullGame=true", "LAC vs DAL - Q3 05:45.00")</f>
        <v>LAC vs DAL - Q3 05:45.00</v>
      </c>
      <c r="M2225">
        <v>1.1499999999999999</v>
      </c>
      <c r="N2225">
        <v>93.91</v>
      </c>
      <c r="O2225">
        <v>51.05</v>
      </c>
      <c r="P2225">
        <v>5</v>
      </c>
      <c r="Q2225">
        <v>5</v>
      </c>
      <c r="R2225">
        <v>93</v>
      </c>
      <c r="S2225">
        <v>51</v>
      </c>
    </row>
    <row r="2226" spans="1:19" hidden="1" x14ac:dyDescent="0.25">
      <c r="A2226">
        <v>22000501</v>
      </c>
      <c r="B2226" t="s">
        <v>18</v>
      </c>
      <c r="C2226" t="s">
        <v>88</v>
      </c>
      <c r="D2226">
        <v>45</v>
      </c>
      <c r="E2226">
        <v>48</v>
      </c>
      <c r="F2226">
        <v>3</v>
      </c>
      <c r="G2226">
        <v>2</v>
      </c>
      <c r="H2226" s="1">
        <v>2.3495370370370371E-3</v>
      </c>
      <c r="I2226">
        <v>2020</v>
      </c>
      <c r="J2226" t="s">
        <v>83</v>
      </c>
      <c r="K2226" s="2" t="str">
        <f>HYPERLINK("https://www.nba.com/stats/events?CFID=&amp;CFPARAMS=&amp;GameEventID=259&amp;GameID=0022000501&amp;Season=2020-21&amp;flag=1&amp;title=Leonard%20driving%20DUNK%20(8%20PTS)", "Driving DUNK (8 PTS)")</f>
        <v>Driving DUNK (8 PTS)</v>
      </c>
      <c r="L2226" s="2" t="str">
        <f>HYPERLINK("https://www.nba.com/game/...-vs-...-0022000501/play-by-play?watchFullGame=true", "LAC vs MEM - Q2 03:23.00")</f>
        <v>LAC vs MEM - Q2 03:23.00</v>
      </c>
      <c r="M2226">
        <v>1</v>
      </c>
      <c r="N2226">
        <v>93.51</v>
      </c>
      <c r="O2226">
        <v>51.05</v>
      </c>
      <c r="P2226">
        <v>5</v>
      </c>
      <c r="Q2226">
        <v>8</v>
      </c>
      <c r="R2226">
        <v>93</v>
      </c>
      <c r="S2226">
        <v>51</v>
      </c>
    </row>
    <row r="2227" spans="1:19" hidden="1" x14ac:dyDescent="0.25">
      <c r="A2227">
        <v>22201162</v>
      </c>
      <c r="B2227" t="s">
        <v>18</v>
      </c>
      <c r="C2227" t="s">
        <v>88</v>
      </c>
      <c r="D2227">
        <v>54</v>
      </c>
      <c r="E2227">
        <v>51</v>
      </c>
      <c r="F2227">
        <v>3</v>
      </c>
      <c r="G2227">
        <v>2</v>
      </c>
      <c r="H2227" s="1">
        <v>1.0300925925925926E-3</v>
      </c>
      <c r="I2227">
        <v>2022</v>
      </c>
      <c r="J2227" t="s">
        <v>83</v>
      </c>
      <c r="K2227" s="2" t="str">
        <f>HYPERLINK("https://www.nba.com/stats/events?CFID=&amp;CFPARAMS=&amp;GameEventID=318&amp;GameID=0022201162&amp;Season=2022-23&amp;flag=1&amp;title=Leonard%20cutting%20DUNK%20(12%20PTS)%20(M.%20Plumlee%201%20AST)", "Cutting DUNK (12 PTS) (M. Plumlee 1 AST)")</f>
        <v>Cutting DUNK (12 PTS) (M. Plumlee 1 AST)</v>
      </c>
      <c r="L2227" s="2" t="str">
        <f>HYPERLINK("https://www.nba.com/game/...-vs-...-0022201162/play-by-play?watchFullGame=true", "LAC vs NOP - Q2 01:29.00")</f>
        <v>LAC vs NOP - Q2 01:29.00</v>
      </c>
      <c r="M2227">
        <v>0.69</v>
      </c>
      <c r="N2227">
        <v>93.91</v>
      </c>
      <c r="O2227">
        <v>50.98</v>
      </c>
      <c r="P2227">
        <v>5</v>
      </c>
      <c r="Q2227">
        <v>5</v>
      </c>
      <c r="R2227">
        <v>93</v>
      </c>
      <c r="S2227">
        <v>50</v>
      </c>
    </row>
    <row r="2228" spans="1:19" hidden="1" x14ac:dyDescent="0.25">
      <c r="A2228">
        <v>21900068</v>
      </c>
      <c r="B2228" t="s">
        <v>18</v>
      </c>
      <c r="C2228" t="s">
        <v>92</v>
      </c>
      <c r="D2228">
        <v>62</v>
      </c>
      <c r="E2228">
        <v>54</v>
      </c>
      <c r="F2228">
        <v>8</v>
      </c>
      <c r="G2228">
        <v>3</v>
      </c>
      <c r="H2228" s="1">
        <v>4.9537037037037041E-3</v>
      </c>
      <c r="I2228">
        <v>2019</v>
      </c>
      <c r="J2228" t="s">
        <v>83</v>
      </c>
      <c r="K2228" s="2" t="str">
        <f>HYPERLINK("https://www.nba.com/stats/events?CFID=&amp;CFPARAMS=&amp;GameEventID=391&amp;GameID=0021900068&amp;Season=2019-20&amp;flag=1&amp;title=[LAC]%20Leonard%20dunk:%20Made%20(21%20PTS)", "[LAC] Leonard dunk: Made (21 PTS)")</f>
        <v>[LAC] Leonard dunk: Made (21 PTS)</v>
      </c>
      <c r="L2228" s="2" t="str">
        <f>HYPERLINK("https://www.nba.com/game/...-vs-...-0021900068/play-by-play?watchFullGame=true", "LAC vs SAS - Q3 07:08.00")</f>
        <v>LAC vs SAS - Q3 07:08.00</v>
      </c>
      <c r="M2228">
        <v>1.54</v>
      </c>
      <c r="N2228">
        <v>93.48</v>
      </c>
      <c r="O2228">
        <v>51.16</v>
      </c>
      <c r="P2228">
        <v>6</v>
      </c>
      <c r="Q2228">
        <v>9</v>
      </c>
      <c r="R2228">
        <v>93</v>
      </c>
      <c r="S2228">
        <v>51</v>
      </c>
    </row>
    <row r="2229" spans="1:19" hidden="1" x14ac:dyDescent="0.25">
      <c r="A2229">
        <v>22000788</v>
      </c>
      <c r="B2229" t="s">
        <v>18</v>
      </c>
      <c r="C2229" t="s">
        <v>88</v>
      </c>
      <c r="D2229">
        <v>112</v>
      </c>
      <c r="E2229">
        <v>96</v>
      </c>
      <c r="F2229">
        <v>16</v>
      </c>
      <c r="G2229">
        <v>4</v>
      </c>
      <c r="H2229" s="1">
        <v>9.7222222222222219E-4</v>
      </c>
      <c r="I2229">
        <v>2020</v>
      </c>
      <c r="J2229" t="s">
        <v>83</v>
      </c>
      <c r="K2229" s="2" t="str">
        <f>HYPERLINK("https://www.nba.com/stats/events?CFID=&amp;CFPARAMS=&amp;GameEventID=566&amp;GameID=0022000788&amp;Season=2020-21&amp;flag=1&amp;title=Leonard%20cutting%20DUNK%20(26%20PTS)%20(R.%20Rondo%209%20AST)", "Cutting DUNK (26 PTS) (R. Rondo 9 AST)")</f>
        <v>Cutting DUNK (26 PTS) (R. Rondo 9 AST)</v>
      </c>
      <c r="L2229" s="2" t="str">
        <f>HYPERLINK("https://www.nba.com/game/...-vs-...-0022000788/play-by-play?watchFullGame=true", "LAC vs PHX - Q4 01:24.00")</f>
        <v>LAC vs PHX - Q4 01:24.00</v>
      </c>
      <c r="M2229">
        <v>1.38</v>
      </c>
      <c r="N2229">
        <v>93.12</v>
      </c>
      <c r="O2229">
        <v>51.29</v>
      </c>
      <c r="P2229">
        <v>6</v>
      </c>
      <c r="Q2229">
        <v>12</v>
      </c>
      <c r="R2229">
        <v>93</v>
      </c>
      <c r="S2229">
        <v>51</v>
      </c>
    </row>
    <row r="2230" spans="1:19" hidden="1" x14ac:dyDescent="0.25">
      <c r="A2230">
        <v>22300257</v>
      </c>
      <c r="B2230" t="s">
        <v>18</v>
      </c>
      <c r="C2230" t="s">
        <v>88</v>
      </c>
      <c r="D2230">
        <v>19</v>
      </c>
      <c r="E2230">
        <v>15</v>
      </c>
      <c r="F2230">
        <v>4</v>
      </c>
      <c r="G2230">
        <v>1</v>
      </c>
      <c r="H2230" s="1">
        <v>3.3217592592592591E-3</v>
      </c>
      <c r="I2230">
        <v>2023</v>
      </c>
      <c r="J2230" t="s">
        <v>83</v>
      </c>
      <c r="K2230" s="2" t="str">
        <f>HYPERLINK("https://www.nba.com/stats/events?CFID=&amp;CFPARAMS=&amp;GameEventID=99&amp;GameID=0022300257&amp;Season=2023-24&amp;flag=1&amp;title=Leonard%20running%20DUNK%20(6%20PTS)", "Running DUNK (6 PTS)")</f>
        <v>Running DUNK (6 PTS)</v>
      </c>
      <c r="L2230" s="2" t="str">
        <f>HYPERLINK("https://www.nba.com/game/...-vs-...-0022300257/play-by-play?watchFullGame=true", "LAC vs DEN - Q1 04:47.00")</f>
        <v>LAC vs DEN - Q1 04:47.00</v>
      </c>
      <c r="M2230">
        <v>1.1499999999999999</v>
      </c>
      <c r="N2230">
        <v>93.48</v>
      </c>
      <c r="O2230">
        <v>51.47</v>
      </c>
      <c r="P2230">
        <v>7</v>
      </c>
      <c r="Q2230">
        <v>9</v>
      </c>
      <c r="R2230">
        <v>93</v>
      </c>
      <c r="S2230">
        <v>51</v>
      </c>
    </row>
    <row r="2231" spans="1:19" hidden="1" x14ac:dyDescent="0.25">
      <c r="A2231">
        <v>22300917</v>
      </c>
      <c r="B2231" t="s">
        <v>18</v>
      </c>
      <c r="C2231" t="s">
        <v>88</v>
      </c>
      <c r="D2231">
        <v>63</v>
      </c>
      <c r="E2231">
        <v>67</v>
      </c>
      <c r="F2231">
        <v>4</v>
      </c>
      <c r="G2231">
        <v>3</v>
      </c>
      <c r="H2231" s="1">
        <v>4.7106481481481478E-3</v>
      </c>
      <c r="I2231">
        <v>2023</v>
      </c>
      <c r="J2231" t="s">
        <v>83</v>
      </c>
      <c r="K2231" s="2" t="str">
        <f>HYPERLINK("https://www.nba.com/stats/events?CFID=&amp;CFPARAMS=&amp;GameEventID=381&amp;GameID=0022300917&amp;Season=2023-24&amp;flag=1&amp;title=Leonard%20running%20DUNK%20(11%20PTS)%20(J.%20Harden%206%20AST)", "Running DUNK (11 PTS) (J. Harden 6 AST)")</f>
        <v>Running DUNK (11 PTS) (J. Harden 6 AST)</v>
      </c>
      <c r="L2231" s="2" t="str">
        <f>HYPERLINK("https://www.nba.com/game/...-vs-...-0022300917/play-by-play?watchFullGame=true", "LAC vs CHI - Q3 06:47.00")</f>
        <v>LAC vs CHI - Q3 06:47.00</v>
      </c>
      <c r="M2231">
        <v>0.97</v>
      </c>
      <c r="N2231">
        <v>93.74</v>
      </c>
      <c r="O2231">
        <v>51.47</v>
      </c>
      <c r="P2231">
        <v>7</v>
      </c>
      <c r="Q2231">
        <v>6</v>
      </c>
      <c r="R2231">
        <v>93</v>
      </c>
      <c r="S2231">
        <v>51</v>
      </c>
    </row>
    <row r="2232" spans="1:19" hidden="1" x14ac:dyDescent="0.25">
      <c r="A2232">
        <v>22000788</v>
      </c>
      <c r="B2232" t="s">
        <v>18</v>
      </c>
      <c r="C2232" t="s">
        <v>88</v>
      </c>
      <c r="D2232">
        <v>72</v>
      </c>
      <c r="E2232">
        <v>73</v>
      </c>
      <c r="F2232">
        <v>1</v>
      </c>
      <c r="G2232">
        <v>3</v>
      </c>
      <c r="H2232" s="1">
        <v>3.1134259259259257E-3</v>
      </c>
      <c r="I2232">
        <v>2020</v>
      </c>
      <c r="J2232" t="s">
        <v>83</v>
      </c>
      <c r="K2232" s="2" t="str">
        <f>HYPERLINK("https://www.nba.com/stats/events?CFID=&amp;CFPARAMS=&amp;GameEventID=360&amp;GameID=0022000788&amp;Season=2020-21&amp;flag=1&amp;title=Leonard%20driving%20DUNK%20(15%20PTS)", "Driving DUNK (15 PTS)")</f>
        <v>Driving DUNK (15 PTS)</v>
      </c>
      <c r="L2232" s="2" t="str">
        <f>HYPERLINK("https://www.nba.com/game/...-vs-...-0022000788/play-by-play?watchFullGame=true", "LAC vs PHX - Q3 04:29.00")</f>
        <v>LAC vs PHX - Q3 04:29.00</v>
      </c>
      <c r="M2232">
        <v>1.44</v>
      </c>
      <c r="N2232">
        <v>93.12</v>
      </c>
      <c r="O2232">
        <v>51.54</v>
      </c>
      <c r="P2232">
        <v>8</v>
      </c>
      <c r="Q2232">
        <v>12</v>
      </c>
      <c r="R2232">
        <v>93</v>
      </c>
      <c r="S2232">
        <v>51</v>
      </c>
    </row>
    <row r="2233" spans="1:19" hidden="1" x14ac:dyDescent="0.25">
      <c r="A2233">
        <v>22000142</v>
      </c>
      <c r="B2233" t="s">
        <v>18</v>
      </c>
      <c r="C2233" t="s">
        <v>88</v>
      </c>
      <c r="D2233">
        <v>85</v>
      </c>
      <c r="E2233">
        <v>82</v>
      </c>
      <c r="F2233">
        <v>3</v>
      </c>
      <c r="G2233">
        <v>3</v>
      </c>
      <c r="H2233" s="1">
        <v>3.460648148148148E-3</v>
      </c>
      <c r="I2233">
        <v>2020</v>
      </c>
      <c r="J2233" t="s">
        <v>83</v>
      </c>
      <c r="K2233" s="2" t="str">
        <f>HYPERLINK("https://www.nba.com/stats/events?CFID=&amp;CFPARAMS=&amp;GameEventID=396&amp;GameID=0022000142&amp;Season=2020-21&amp;flag=1&amp;title=Leonard%20alley-oop%20DUNK%20(31%20PTS)%20(P.%20George%209%20AST)", "Alley-oop DUNK (31 PTS) (P. George 9 AST)")</f>
        <v>Alley-oop DUNK (31 PTS) (P. George 9 AST)</v>
      </c>
      <c r="L2233" s="2" t="str">
        <f>HYPERLINK("https://www.nba.com/game/...-vs-...-0022000142/play-by-play?watchFullGame=true", "LAC vs CHI - Q3 04:59.00")</f>
        <v>LAC vs CHI - Q3 04:59.00</v>
      </c>
      <c r="M2233">
        <v>0.98</v>
      </c>
      <c r="N2233">
        <v>93.77</v>
      </c>
      <c r="O2233">
        <v>51.54</v>
      </c>
      <c r="P2233">
        <v>8</v>
      </c>
      <c r="Q2233">
        <v>6</v>
      </c>
      <c r="R2233">
        <v>93</v>
      </c>
      <c r="S2233">
        <v>51</v>
      </c>
    </row>
    <row r="2234" spans="1:19" hidden="1" x14ac:dyDescent="0.25">
      <c r="A2234">
        <v>22000308</v>
      </c>
      <c r="B2234" t="s">
        <v>18</v>
      </c>
      <c r="C2234" t="s">
        <v>88</v>
      </c>
      <c r="D2234">
        <v>92</v>
      </c>
      <c r="E2234">
        <v>82</v>
      </c>
      <c r="F2234">
        <v>10</v>
      </c>
      <c r="G2234">
        <v>3</v>
      </c>
      <c r="H2234" s="1">
        <v>2.627314814814815E-3</v>
      </c>
      <c r="I2234">
        <v>2020</v>
      </c>
      <c r="J2234" t="s">
        <v>83</v>
      </c>
      <c r="K2234" s="2" t="str">
        <f>HYPERLINK("https://www.nba.com/stats/events?CFID=&amp;CFPARAMS=&amp;GameEventID=390&amp;GameID=0022000308&amp;Season=2020-21&amp;flag=1&amp;title=Leonard%20driving%20DUNK%20(18%20PTS)%20(R.%20Jackson%203%20AST)", "Driving DUNK (18 PTS) (R. Jackson 3 AST)")</f>
        <v>Driving DUNK (18 PTS) (R. Jackson 3 AST)</v>
      </c>
      <c r="L2234" s="2" t="str">
        <f>HYPERLINK("https://www.nba.com/game/...-vs-...-0022000308/play-by-play?watchFullGame=true", "LAC vs NYK - Q3 03:47.00")</f>
        <v>LAC vs NYK - Q3 03:47.00</v>
      </c>
      <c r="M2234">
        <v>0.91</v>
      </c>
      <c r="N2234">
        <v>93.91</v>
      </c>
      <c r="O2234">
        <v>51.54</v>
      </c>
      <c r="P2234">
        <v>8</v>
      </c>
      <c r="Q2234">
        <v>5</v>
      </c>
      <c r="R2234">
        <v>93</v>
      </c>
      <c r="S2234">
        <v>51</v>
      </c>
    </row>
    <row r="2235" spans="1:19" hidden="1" x14ac:dyDescent="0.25">
      <c r="A2235">
        <v>22000989</v>
      </c>
      <c r="B2235" t="s">
        <v>18</v>
      </c>
      <c r="C2235" t="s">
        <v>88</v>
      </c>
      <c r="D2235">
        <v>4</v>
      </c>
      <c r="E2235">
        <v>2</v>
      </c>
      <c r="F2235">
        <v>2</v>
      </c>
      <c r="G2235">
        <v>1</v>
      </c>
      <c r="H2235" s="1">
        <v>7.3032407407407404E-3</v>
      </c>
      <c r="I2235">
        <v>2020</v>
      </c>
      <c r="J2235" t="s">
        <v>83</v>
      </c>
      <c r="K2235" s="2" t="str">
        <f>HYPERLINK("https://www.nba.com/stats/events?CFID=&amp;CFPARAMS=&amp;GameEventID=20&amp;GameID=0022000989&amp;Season=2020-21&amp;flag=1&amp;title=Leonard%20driving%20DUNK%20(2%20PTS)", "Driving DUNK (2 PTS)")</f>
        <v>Driving DUNK (2 PTS)</v>
      </c>
      <c r="L2235" s="2" t="str">
        <f>HYPERLINK("https://www.nba.com/game/...-vs-...-0022000989/play-by-play?watchFullGame=true", "LAC vs TOR - Q1 10:31.00")</f>
        <v>LAC vs TOR - Q1 10:31.00</v>
      </c>
      <c r="M2235">
        <v>1.51</v>
      </c>
      <c r="N2235">
        <v>93.12</v>
      </c>
      <c r="O2235">
        <v>51.78</v>
      </c>
      <c r="P2235">
        <v>9</v>
      </c>
      <c r="Q2235">
        <v>12</v>
      </c>
      <c r="R2235">
        <v>93</v>
      </c>
      <c r="S2235">
        <v>51</v>
      </c>
    </row>
    <row r="2236" spans="1:19" hidden="1" x14ac:dyDescent="0.25">
      <c r="A2236">
        <v>22300637</v>
      </c>
      <c r="B2236" t="s">
        <v>18</v>
      </c>
      <c r="C2236" t="s">
        <v>88</v>
      </c>
      <c r="D2236">
        <v>23</v>
      </c>
      <c r="E2236">
        <v>13</v>
      </c>
      <c r="F2236">
        <v>10</v>
      </c>
      <c r="G2236">
        <v>1</v>
      </c>
      <c r="H2236" s="1">
        <v>2.7430555555555554E-3</v>
      </c>
      <c r="I2236">
        <v>2023</v>
      </c>
      <c r="J2236" t="s">
        <v>83</v>
      </c>
      <c r="K2236" s="2" t="str">
        <f>HYPERLINK("https://www.nba.com/stats/events?CFID=&amp;CFPARAMS=&amp;GameEventID=100&amp;GameID=0022300637&amp;Season=2023-24&amp;flag=1&amp;title=Leonard%20running%20DUNK%20(4%20PTS)%20(R.%20Westbrook%201%20AST)", "Running DUNK (4 PTS) (R. Westbrook 1 AST)")</f>
        <v>Running DUNK (4 PTS) (R. Westbrook 1 AST)</v>
      </c>
      <c r="L2236" s="2" t="str">
        <f>HYPERLINK("https://www.nba.com/game/...-vs-...-0022300637/play-by-play?watchFullGame=true", "LAC vs TOR - Q1 03:57.00")</f>
        <v>LAC vs TOR - Q1 03:57.00</v>
      </c>
      <c r="M2236">
        <v>1.3</v>
      </c>
      <c r="N2236">
        <v>93.51</v>
      </c>
      <c r="O2236">
        <v>51.96</v>
      </c>
      <c r="P2236">
        <v>10</v>
      </c>
      <c r="Q2236">
        <v>8</v>
      </c>
      <c r="R2236">
        <v>93</v>
      </c>
      <c r="S2236">
        <v>51</v>
      </c>
    </row>
    <row r="2237" spans="1:19" hidden="1" x14ac:dyDescent="0.25">
      <c r="A2237">
        <v>22300553</v>
      </c>
      <c r="B2237" t="s">
        <v>18</v>
      </c>
      <c r="C2237" t="s">
        <v>88</v>
      </c>
      <c r="D2237">
        <v>56</v>
      </c>
      <c r="E2237">
        <v>61</v>
      </c>
      <c r="F2237">
        <v>5</v>
      </c>
      <c r="G2237">
        <v>3</v>
      </c>
      <c r="H2237" s="1">
        <v>4.8958333333333336E-3</v>
      </c>
      <c r="I2237">
        <v>2023</v>
      </c>
      <c r="J2237" t="s">
        <v>83</v>
      </c>
      <c r="K2237" s="2" t="str">
        <f>HYPERLINK("https://www.nba.com/stats/events?CFID=&amp;CFPARAMS=&amp;GameEventID=345&amp;GameID=0022300553&amp;Season=2023-24&amp;flag=1&amp;title=Leonard%20running%20DUNK%20(18%20PTS)", "Running DUNK (18 PTS)")</f>
        <v>Running DUNK (18 PTS)</v>
      </c>
      <c r="L2237" s="2" t="str">
        <f>HYPERLINK("https://www.nba.com/game/...-vs-...-0022300553/play-by-play?watchFullGame=true", "LAC vs MIN - Q3 07:03.00")</f>
        <v>LAC vs MIN - Q3 07:03.00</v>
      </c>
      <c r="M2237">
        <v>1.5</v>
      </c>
      <c r="N2237">
        <v>93.51</v>
      </c>
      <c r="O2237">
        <v>52.45</v>
      </c>
      <c r="P2237">
        <v>12</v>
      </c>
      <c r="Q2237">
        <v>8</v>
      </c>
      <c r="R2237">
        <v>93</v>
      </c>
      <c r="S2237">
        <v>52</v>
      </c>
    </row>
    <row r="2238" spans="1:19" hidden="1" x14ac:dyDescent="0.25">
      <c r="A2238">
        <v>22301225</v>
      </c>
      <c r="B2238" t="s">
        <v>18</v>
      </c>
      <c r="C2238" t="s">
        <v>88</v>
      </c>
      <c r="D2238">
        <v>44</v>
      </c>
      <c r="E2238">
        <v>38</v>
      </c>
      <c r="F2238">
        <v>6</v>
      </c>
      <c r="G2238">
        <v>2</v>
      </c>
      <c r="H2238" s="1">
        <v>3.0555555555555557E-3</v>
      </c>
      <c r="I2238">
        <v>2023</v>
      </c>
      <c r="J2238" t="s">
        <v>83</v>
      </c>
      <c r="K2238" s="2" t="str">
        <f>HYPERLINK("https://www.nba.com/stats/events?CFID=&amp;CFPARAMS=&amp;GameEventID=269&amp;GameID=0022301225&amp;Season=2023-24&amp;flag=1&amp;title=Leonard%20driving%20DUNK%20(16%20PTS)", "Driving DUNK (16 PTS)")</f>
        <v>Driving DUNK (16 PTS)</v>
      </c>
      <c r="L2238" s="2" t="str">
        <f>HYPERLINK("https://www.nba.com/game/...-vs-...-0022301225/play-by-play?watchFullGame=true", "LAC vs UTA - Q2 04:24.00")</f>
        <v>LAC vs UTA - Q2 04:24.00</v>
      </c>
      <c r="M2238">
        <v>2.35</v>
      </c>
      <c r="N2238">
        <v>93.25</v>
      </c>
      <c r="O2238">
        <v>54.17</v>
      </c>
      <c r="P2238">
        <v>21</v>
      </c>
      <c r="Q2238">
        <v>11</v>
      </c>
      <c r="R2238">
        <v>93</v>
      </c>
      <c r="S2238">
        <v>54</v>
      </c>
    </row>
    <row r="2239" spans="1:19" hidden="1" x14ac:dyDescent="0.25">
      <c r="A2239">
        <v>42000174</v>
      </c>
      <c r="B2239" t="s">
        <v>18</v>
      </c>
      <c r="C2239" t="s">
        <v>88</v>
      </c>
      <c r="D2239">
        <v>55</v>
      </c>
      <c r="E2239">
        <v>38</v>
      </c>
      <c r="F2239">
        <v>17</v>
      </c>
      <c r="G2239">
        <v>2</v>
      </c>
      <c r="H2239" s="1">
        <v>1.7708333333333332E-3</v>
      </c>
      <c r="I2239" t="s">
        <v>91</v>
      </c>
      <c r="J2239" t="s">
        <v>83</v>
      </c>
      <c r="K2239" s="2" t="str">
        <f>HYPERLINK("https://www.nba.com/stats/events?CFID=&amp;CFPARAMS=&amp;GameEventID=304&amp;GameID=0042000174&amp;Season=2020-21&amp;flag=1&amp;title=Leonard%20cutting%20DUNK%20(15%20PTS)%20(R.%20Rondo%203%20AST)", "Cutting DUNK (15 PTS) (R. Rondo 3 AST)")</f>
        <v>Cutting DUNK (15 PTS) (R. Rondo 3 AST)</v>
      </c>
      <c r="L2239" s="2" t="str">
        <f>HYPERLINK("https://www.nba.com/game/...-vs-...-0042000174/play-by-play?watchFullGame=true", "LAC vs DAL - Q2 02:33.00")</f>
        <v>LAC vs DAL - Q2 02:33.00</v>
      </c>
      <c r="M2239">
        <v>1.24</v>
      </c>
      <c r="N2239">
        <v>93.12</v>
      </c>
      <c r="O2239">
        <v>49.58</v>
      </c>
      <c r="P2239">
        <v>93</v>
      </c>
      <c r="Q2239">
        <v>49</v>
      </c>
      <c r="R2239">
        <v>93</v>
      </c>
      <c r="S2239">
        <v>49</v>
      </c>
    </row>
    <row r="2240" spans="1:19" hidden="1" x14ac:dyDescent="0.25">
      <c r="A2240">
        <v>42000177</v>
      </c>
      <c r="B2240" t="s">
        <v>18</v>
      </c>
      <c r="C2240" t="s">
        <v>88</v>
      </c>
      <c r="D2240">
        <v>35</v>
      </c>
      <c r="E2240">
        <v>36</v>
      </c>
      <c r="F2240">
        <v>1</v>
      </c>
      <c r="G2240">
        <v>1</v>
      </c>
      <c r="H2240" s="1">
        <v>1.6782407407407406E-4</v>
      </c>
      <c r="I2240" t="s">
        <v>91</v>
      </c>
      <c r="J2240" t="s">
        <v>83</v>
      </c>
      <c r="K2240" s="2" t="str">
        <f>HYPERLINK("https://www.nba.com/stats/events?CFID=&amp;CFPARAMS=&amp;GameEventID=142&amp;GameID=0042000177&amp;Season=2020-21&amp;flag=1&amp;title=Leonard%20driving%20DUNK%20(13%20PTS)", "Driving DUNK (13 PTS)")</f>
        <v>Driving DUNK (13 PTS)</v>
      </c>
      <c r="L2240" s="2" t="str">
        <f>HYPERLINK("https://www.nba.com/game/...-vs-...-0042000177/play-by-play?watchFullGame=true", "LAC vs DAL - Q1 00:14.50")</f>
        <v>LAC vs DAL - Q1 00:14.50</v>
      </c>
      <c r="M2240">
        <v>0.68</v>
      </c>
      <c r="N2240">
        <v>93.77</v>
      </c>
      <c r="O2240">
        <v>49.33</v>
      </c>
      <c r="P2240">
        <v>93</v>
      </c>
      <c r="Q2240">
        <v>49</v>
      </c>
      <c r="R2240">
        <v>93</v>
      </c>
      <c r="S2240">
        <v>49</v>
      </c>
    </row>
    <row r="2241" spans="1:19" hidden="1" x14ac:dyDescent="0.25">
      <c r="A2241">
        <v>22300827</v>
      </c>
      <c r="B2241" t="s">
        <v>18</v>
      </c>
      <c r="C2241" t="s">
        <v>88</v>
      </c>
      <c r="D2241">
        <v>44</v>
      </c>
      <c r="E2241">
        <v>48</v>
      </c>
      <c r="F2241">
        <v>4</v>
      </c>
      <c r="G2241">
        <v>2</v>
      </c>
      <c r="H2241" s="1">
        <v>2.3032407407407407E-3</v>
      </c>
      <c r="I2241">
        <v>2023</v>
      </c>
      <c r="J2241" t="s">
        <v>83</v>
      </c>
      <c r="K2241" s="2" t="str">
        <f>HYPERLINK("https://www.nba.com/stats/events?CFID=&amp;CFPARAMS=&amp;GameEventID=270&amp;GameID=0022300827&amp;Season=2023-24&amp;flag=1&amp;title=Leonard%20running%20DUNK%20(10%20PTS)%20(T.%20Mann%202%20AST)", "Running DUNK (10 PTS) (T. Mann 2 AST)")</f>
        <v>Running DUNK (10 PTS) (T. Mann 2 AST)</v>
      </c>
      <c r="L2241" s="2" t="str">
        <f>HYPERLINK("https://www.nba.com/game/...-vs-...-0022300827/play-by-play?watchFullGame=true", "LAC vs SAC - Q2 03:19.00")</f>
        <v>LAC vs SAC - Q2 03:19.00</v>
      </c>
      <c r="M2241">
        <v>0.63</v>
      </c>
      <c r="N2241">
        <v>93.74</v>
      </c>
      <c r="O2241">
        <v>50</v>
      </c>
      <c r="P2241">
        <v>93</v>
      </c>
      <c r="Q2241">
        <v>6</v>
      </c>
      <c r="R2241">
        <v>93</v>
      </c>
      <c r="S2241">
        <v>50</v>
      </c>
    </row>
    <row r="2242" spans="1:19" hidden="1" x14ac:dyDescent="0.25">
      <c r="A2242">
        <v>22300848</v>
      </c>
      <c r="B2242" t="s">
        <v>18</v>
      </c>
      <c r="C2242" t="s">
        <v>87</v>
      </c>
      <c r="D2242">
        <v>30</v>
      </c>
      <c r="E2242">
        <v>29</v>
      </c>
      <c r="F2242">
        <v>1</v>
      </c>
      <c r="G2242">
        <v>1</v>
      </c>
      <c r="H2242" s="1">
        <v>3.472222222222222E-6</v>
      </c>
      <c r="I2242">
        <v>2023</v>
      </c>
      <c r="J2242" t="s">
        <v>83</v>
      </c>
      <c r="K2242" s="2" t="str">
        <f>HYPERLINK("https://www.nba.com/stats/events?CFID=&amp;CFPARAMS=&amp;GameEventID=178&amp;GameID=0022300848&amp;Season=2023-24&amp;flag=1&amp;title=Leonard%20tip%20Layup%20(10%20PTS)", "Tip Layup (10 PTS)")</f>
        <v>Tip Layup (10 PTS)</v>
      </c>
      <c r="L2242" s="2" t="str">
        <f>HYPERLINK("https://www.nba.com/game/...-vs-...-0022300848/play-by-play?watchFullGame=true", "LAC vs LAL - Q1 00:00.30")</f>
        <v>LAC vs LAL - Q1 00:00.30</v>
      </c>
      <c r="M2242" t="s">
        <v>21</v>
      </c>
      <c r="N2242">
        <v>94.41</v>
      </c>
      <c r="O2242">
        <v>50</v>
      </c>
      <c r="P2242">
        <v>94</v>
      </c>
      <c r="Q2242">
        <v>50</v>
      </c>
      <c r="R2242">
        <v>94</v>
      </c>
      <c r="S2242">
        <v>50</v>
      </c>
    </row>
    <row r="2243" spans="1:19" hidden="1" x14ac:dyDescent="0.25">
      <c r="A2243">
        <v>22300085</v>
      </c>
      <c r="B2243" t="s">
        <v>18</v>
      </c>
      <c r="C2243" t="s">
        <v>87</v>
      </c>
      <c r="D2243">
        <v>50</v>
      </c>
      <c r="E2243">
        <v>59</v>
      </c>
      <c r="F2243">
        <v>9</v>
      </c>
      <c r="G2243">
        <v>2</v>
      </c>
      <c r="H2243" s="1">
        <v>1.1458333333333333E-3</v>
      </c>
      <c r="I2243">
        <v>2023</v>
      </c>
      <c r="J2243" t="s">
        <v>83</v>
      </c>
      <c r="K2243" s="2" t="str">
        <f>HYPERLINK("https://www.nba.com/stats/events?CFID=&amp;CFPARAMS=&amp;GameEventID=302&amp;GameID=0022300085&amp;Season=2023-24&amp;flag=1&amp;title=Leonard%20putback%20Layup%20(12%20PTS)", "Putback Layup (12 PTS)")</f>
        <v>Putback Layup (12 PTS)</v>
      </c>
      <c r="L2243" s="2" t="str">
        <f>HYPERLINK("https://www.nba.com/game/...-vs-...-0022300085/play-by-play?watchFullGame=true", "LAC vs UTA - Q2 01:39.00")</f>
        <v>LAC vs UTA - Q2 01:39.00</v>
      </c>
      <c r="M2243" t="s">
        <v>21</v>
      </c>
      <c r="N2243">
        <v>94.41</v>
      </c>
      <c r="O2243">
        <v>50</v>
      </c>
      <c r="P2243">
        <v>94</v>
      </c>
      <c r="Q2243">
        <v>50</v>
      </c>
      <c r="R2243">
        <v>94</v>
      </c>
      <c r="S2243">
        <v>50</v>
      </c>
    </row>
    <row r="2244" spans="1:19" hidden="1" x14ac:dyDescent="0.25">
      <c r="A2244">
        <v>22000736</v>
      </c>
      <c r="B2244" t="s">
        <v>18</v>
      </c>
      <c r="C2244" t="s">
        <v>87</v>
      </c>
      <c r="D2244">
        <v>18</v>
      </c>
      <c r="E2244">
        <v>27</v>
      </c>
      <c r="F2244">
        <v>9</v>
      </c>
      <c r="G2244">
        <v>1</v>
      </c>
      <c r="H2244" s="1">
        <v>1.3194444444444445E-3</v>
      </c>
      <c r="I2244">
        <v>2020</v>
      </c>
      <c r="J2244" t="s">
        <v>83</v>
      </c>
      <c r="K2244" s="2" t="str">
        <f>HYPERLINK("https://www.nba.com/stats/events?CFID=&amp;CFPARAMS=&amp;GameEventID=106&amp;GameID=0022000736&amp;Season=2020-21&amp;flag=1&amp;title=Leonard%20tip%20Layup%20(6%20PTS)", "Tip Layup (6 PTS)")</f>
        <v>Tip Layup (6 PTS)</v>
      </c>
      <c r="L2244" s="2" t="str">
        <f>HYPERLINK("https://www.nba.com/game/...-vs-...-0022000736/play-by-play?watchFullGame=true", "LAC vs DEN - Q1 01:54.00")</f>
        <v>LAC vs DEN - Q1 01:54.00</v>
      </c>
      <c r="M2244" t="s">
        <v>21</v>
      </c>
      <c r="N2244">
        <v>94.41</v>
      </c>
      <c r="O2244">
        <v>50</v>
      </c>
      <c r="P2244">
        <v>94</v>
      </c>
      <c r="Q2244">
        <v>50</v>
      </c>
      <c r="R2244">
        <v>94</v>
      </c>
      <c r="S2244">
        <v>50</v>
      </c>
    </row>
    <row r="2245" spans="1:19" hidden="1" x14ac:dyDescent="0.25">
      <c r="A2245">
        <v>22000488</v>
      </c>
      <c r="B2245" t="s">
        <v>18</v>
      </c>
      <c r="C2245" t="s">
        <v>87</v>
      </c>
      <c r="D2245">
        <v>27</v>
      </c>
      <c r="E2245">
        <v>19</v>
      </c>
      <c r="F2245">
        <v>8</v>
      </c>
      <c r="G2245">
        <v>1</v>
      </c>
      <c r="H2245" s="1">
        <v>1.6435185185185185E-3</v>
      </c>
      <c r="I2245">
        <v>2020</v>
      </c>
      <c r="J2245" t="s">
        <v>83</v>
      </c>
      <c r="K2245" s="2" t="str">
        <f>HYPERLINK("https://www.nba.com/stats/events?CFID=&amp;CFPARAMS=&amp;GameEventID=118&amp;GameID=0022000488&amp;Season=2020-21&amp;flag=1&amp;title=Leonard%20tip%20Layup%20(6%20PTS)", "Tip Layup (6 PTS)")</f>
        <v>Tip Layup (6 PTS)</v>
      </c>
      <c r="L2245" s="2" t="str">
        <f>HYPERLINK("https://www.nba.com/game/...-vs-...-0022000488/play-by-play?watchFullGame=true", "LAC vs WAS - Q1 02:22.00")</f>
        <v>LAC vs WAS - Q1 02:22.00</v>
      </c>
      <c r="M2245" t="s">
        <v>21</v>
      </c>
      <c r="N2245">
        <v>94.41</v>
      </c>
      <c r="O2245">
        <v>50</v>
      </c>
      <c r="P2245">
        <v>94</v>
      </c>
      <c r="Q2245">
        <v>50</v>
      </c>
      <c r="R2245">
        <v>94</v>
      </c>
      <c r="S2245">
        <v>50</v>
      </c>
    </row>
    <row r="2246" spans="1:19" hidden="1" x14ac:dyDescent="0.25">
      <c r="A2246">
        <v>22300458</v>
      </c>
      <c r="B2246" t="s">
        <v>18</v>
      </c>
      <c r="C2246" t="s">
        <v>87</v>
      </c>
      <c r="D2246">
        <v>42</v>
      </c>
      <c r="E2246">
        <v>48</v>
      </c>
      <c r="F2246">
        <v>6</v>
      </c>
      <c r="G2246">
        <v>2</v>
      </c>
      <c r="H2246" s="1">
        <v>3.3912037037037036E-3</v>
      </c>
      <c r="I2246">
        <v>2023</v>
      </c>
      <c r="J2246" t="s">
        <v>83</v>
      </c>
      <c r="K2246" s="2" t="str">
        <f>HYPERLINK("https://www.nba.com/stats/events?CFID=&amp;CFPARAMS=&amp;GameEventID=234&amp;GameID=0022300458&amp;Season=2023-24&amp;flag=1&amp;title=Leonard%20tip%20Layup%20(9%20PTS)", "Tip Layup (9 PTS)")</f>
        <v>Tip Layup (9 PTS)</v>
      </c>
      <c r="L2246" s="2" t="str">
        <f>HYPERLINK("https://www.nba.com/game/...-vs-...-0022300458/play-by-play?watchFullGame=true", "LAC vs MIA - Q2 04:53.00")</f>
        <v>LAC vs MIA - Q2 04:53.00</v>
      </c>
      <c r="M2246" t="s">
        <v>21</v>
      </c>
      <c r="N2246">
        <v>94.41</v>
      </c>
      <c r="O2246">
        <v>50</v>
      </c>
      <c r="P2246">
        <v>94</v>
      </c>
      <c r="Q2246">
        <v>50</v>
      </c>
      <c r="R2246">
        <v>94</v>
      </c>
      <c r="S2246">
        <v>50</v>
      </c>
    </row>
    <row r="2247" spans="1:19" hidden="1" x14ac:dyDescent="0.25">
      <c r="A2247">
        <v>22300676</v>
      </c>
      <c r="B2247" t="s">
        <v>18</v>
      </c>
      <c r="C2247" t="s">
        <v>87</v>
      </c>
      <c r="D2247">
        <v>53</v>
      </c>
      <c r="E2247">
        <v>45</v>
      </c>
      <c r="F2247">
        <v>8</v>
      </c>
      <c r="G2247">
        <v>2</v>
      </c>
      <c r="H2247" s="1">
        <v>3.5300925925925925E-3</v>
      </c>
      <c r="I2247">
        <v>2023</v>
      </c>
      <c r="J2247" t="s">
        <v>83</v>
      </c>
      <c r="K2247" s="2" t="str">
        <f>HYPERLINK("https://www.nba.com/stats/events?CFID=&amp;CFPARAMS=&amp;GameEventID=255&amp;GameID=0022300676&amp;Season=2023-24&amp;flag=1&amp;title=Leonard%20tip%20Layup%20(13%20PTS)", "Tip Layup (13 PTS)")</f>
        <v>Tip Layup (13 PTS)</v>
      </c>
      <c r="L2247" s="2" t="str">
        <f>HYPERLINK("https://www.nba.com/game/...-vs-...-0022300676/play-by-play?watchFullGame=true", "LAC vs WAS - Q2 05:05.00")</f>
        <v>LAC vs WAS - Q2 05:05.00</v>
      </c>
      <c r="M2247" t="s">
        <v>21</v>
      </c>
      <c r="N2247">
        <v>94.41</v>
      </c>
      <c r="O2247">
        <v>50</v>
      </c>
      <c r="P2247">
        <v>94</v>
      </c>
      <c r="Q2247">
        <v>50</v>
      </c>
      <c r="R2247">
        <v>94</v>
      </c>
      <c r="S2247">
        <v>50</v>
      </c>
    </row>
    <row r="2248" spans="1:19" hidden="1" x14ac:dyDescent="0.25">
      <c r="A2248">
        <v>22000775</v>
      </c>
      <c r="B2248" t="s">
        <v>18</v>
      </c>
      <c r="C2248" t="s">
        <v>87</v>
      </c>
      <c r="D2248">
        <v>68</v>
      </c>
      <c r="E2248">
        <v>45</v>
      </c>
      <c r="F2248">
        <v>23</v>
      </c>
      <c r="G2248">
        <v>2</v>
      </c>
      <c r="H2248" s="1">
        <v>4.1435185185185186E-3</v>
      </c>
      <c r="I2248">
        <v>2020</v>
      </c>
      <c r="J2248" t="s">
        <v>83</v>
      </c>
      <c r="K2248" s="2" t="str">
        <f>HYPERLINK("https://www.nba.com/stats/events?CFID=&amp;CFPARAMS=&amp;GameEventID=259&amp;GameID=0022000775&amp;Season=2020-21&amp;flag=1&amp;title=Leonard%20putback%20Layup%20(11%20PTS)", "Putback Layup (11 PTS)")</f>
        <v>Putback Layup (11 PTS)</v>
      </c>
      <c r="L2248" s="2" t="str">
        <f>HYPERLINK("https://www.nba.com/game/...-vs-...-0022000775/play-by-play?watchFullGame=true", "LAC vs POR - Q2 05:58.00")</f>
        <v>LAC vs POR - Q2 05:58.00</v>
      </c>
      <c r="M2248" t="s">
        <v>21</v>
      </c>
      <c r="N2248">
        <v>94.41</v>
      </c>
      <c r="O2248">
        <v>50</v>
      </c>
      <c r="P2248">
        <v>94</v>
      </c>
      <c r="Q2248">
        <v>50</v>
      </c>
      <c r="R2248">
        <v>94</v>
      </c>
      <c r="S2248">
        <v>50</v>
      </c>
    </row>
    <row r="2249" spans="1:19" hidden="1" x14ac:dyDescent="0.25">
      <c r="A2249">
        <v>22000601</v>
      </c>
      <c r="B2249" t="s">
        <v>18</v>
      </c>
      <c r="C2249" t="s">
        <v>87</v>
      </c>
      <c r="D2249">
        <v>63</v>
      </c>
      <c r="E2249">
        <v>78</v>
      </c>
      <c r="F2249">
        <v>15</v>
      </c>
      <c r="G2249">
        <v>3</v>
      </c>
      <c r="H2249" s="1">
        <v>5.7638888888888887E-3</v>
      </c>
      <c r="I2249">
        <v>2020</v>
      </c>
      <c r="J2249" t="s">
        <v>83</v>
      </c>
      <c r="K2249" s="2" t="str">
        <f>HYPERLINK("https://www.nba.com/stats/events?CFID=&amp;CFPARAMS=&amp;GameEventID=367&amp;GameID=0022000601&amp;Season=2020-21&amp;flag=1&amp;title=Leonard%20tip%20Layup%20(20%20PTS)", "Tip Layup (20 PTS)")</f>
        <v>Tip Layup (20 PTS)</v>
      </c>
      <c r="L2249" s="2" t="str">
        <f>HYPERLINK("https://www.nba.com/game/...-vs-...-0022000601/play-by-play?watchFullGame=true", "LAC vs NOP - Q3 08:18.00")</f>
        <v>LAC vs NOP - Q3 08:18.00</v>
      </c>
      <c r="M2249" t="s">
        <v>21</v>
      </c>
      <c r="N2249">
        <v>94.41</v>
      </c>
      <c r="O2249">
        <v>50</v>
      </c>
      <c r="P2249">
        <v>94</v>
      </c>
      <c r="Q2249">
        <v>50</v>
      </c>
      <c r="R2249">
        <v>94</v>
      </c>
      <c r="S2249">
        <v>50</v>
      </c>
    </row>
    <row r="2250" spans="1:19" hidden="1" x14ac:dyDescent="0.25">
      <c r="A2250">
        <v>22300708</v>
      </c>
      <c r="B2250" t="s">
        <v>18</v>
      </c>
      <c r="C2250" t="s">
        <v>87</v>
      </c>
      <c r="D2250">
        <v>50</v>
      </c>
      <c r="E2250">
        <v>47</v>
      </c>
      <c r="F2250">
        <v>3</v>
      </c>
      <c r="G2250">
        <v>3</v>
      </c>
      <c r="H2250" s="1">
        <v>6.2962962962962964E-3</v>
      </c>
      <c r="I2250">
        <v>2023</v>
      </c>
      <c r="J2250" t="s">
        <v>83</v>
      </c>
      <c r="K2250" s="2" t="str">
        <f>HYPERLINK("https://www.nba.com/stats/events?CFID=&amp;CFPARAMS=&amp;GameEventID=295&amp;GameID=0022300708&amp;Season=2023-24&amp;flag=1&amp;title=Leonard%20putback%20Layup%20(13%20PTS)", "Putback Layup (13 PTS)")</f>
        <v>Putback Layup (13 PTS)</v>
      </c>
      <c r="L2250" s="2" t="str">
        <f>HYPERLINK("https://www.nba.com/game/...-vs-...-0022300708/play-by-play?watchFullGame=true", "LAC vs MIA - Q3 09:04.00")</f>
        <v>LAC vs MIA - Q3 09:04.00</v>
      </c>
      <c r="M2250" t="s">
        <v>21</v>
      </c>
      <c r="N2250">
        <v>94.41</v>
      </c>
      <c r="O2250">
        <v>50</v>
      </c>
      <c r="P2250">
        <v>94</v>
      </c>
      <c r="Q2250">
        <v>50</v>
      </c>
      <c r="R2250">
        <v>94</v>
      </c>
      <c r="S2250">
        <v>50</v>
      </c>
    </row>
    <row r="2251" spans="1:19" hidden="1" x14ac:dyDescent="0.25">
      <c r="A2251">
        <v>22200902</v>
      </c>
      <c r="B2251" t="s">
        <v>26</v>
      </c>
      <c r="C2251" t="s">
        <v>19</v>
      </c>
      <c r="D2251">
        <v>5</v>
      </c>
      <c r="E2251">
        <v>8</v>
      </c>
      <c r="F2251">
        <v>3</v>
      </c>
      <c r="G2251">
        <v>1</v>
      </c>
      <c r="H2251" s="1">
        <v>7.1875000000000003E-3</v>
      </c>
      <c r="I2251">
        <v>2022</v>
      </c>
      <c r="J2251" t="s">
        <v>83</v>
      </c>
      <c r="K2251" s="2" t="str">
        <f>HYPERLINK("https://www.nba.com/stats/events?CFID=&amp;CFPARAMS=&amp;GameEventID=23&amp;GameID=0022200902&amp;Season=2022-23&amp;flag=1&amp;title=Leonard%203PT%20%20(3%20PTS)%20(M.%20Morris%20Sr.%201%20AST)", "3PT  (3 PTS) (M. Morris Sr. 1 AST)")</f>
        <v>3PT  (3 PTS) (M. Morris Sr. 1 AST)</v>
      </c>
      <c r="L2251" s="2" t="str">
        <f>HYPERLINK("https://www.nba.com/game/...-vs-...-0022200902/play-by-play?watchFullGame=true", "LAC vs SAC - Q1 10:21.00")</f>
        <v>LAC vs SAC - Q1 10:21.00</v>
      </c>
      <c r="M2251">
        <v>23.41</v>
      </c>
      <c r="N2251">
        <v>94.4</v>
      </c>
      <c r="O2251">
        <v>3.19</v>
      </c>
      <c r="P2251">
        <v>-234</v>
      </c>
      <c r="Q2251">
        <v>3</v>
      </c>
      <c r="R2251">
        <v>94</v>
      </c>
      <c r="S2251">
        <v>3</v>
      </c>
    </row>
    <row r="2252" spans="1:19" hidden="1" x14ac:dyDescent="0.25">
      <c r="A2252">
        <v>22000387</v>
      </c>
      <c r="B2252" t="s">
        <v>26</v>
      </c>
      <c r="C2252" t="s">
        <v>19</v>
      </c>
      <c r="D2252">
        <v>37</v>
      </c>
      <c r="E2252">
        <v>44</v>
      </c>
      <c r="F2252">
        <v>7</v>
      </c>
      <c r="G2252">
        <v>2</v>
      </c>
      <c r="H2252" s="1">
        <v>3.9120370370370368E-3</v>
      </c>
      <c r="I2252">
        <v>2020</v>
      </c>
      <c r="J2252" t="s">
        <v>83</v>
      </c>
      <c r="K2252" s="2" t="str">
        <f>HYPERLINK("https://www.nba.com/stats/events?CFID=&amp;CFPARAMS=&amp;GameEventID=257&amp;GameID=0022000387&amp;Season=2020-21&amp;flag=1&amp;title=Leonard%203PT%20%20(12%20PTS)%20(R.%20Jackson%202%20AST)", "3PT  (12 PTS) (R. Jackson 2 AST)")</f>
        <v>3PT  (12 PTS) (R. Jackson 2 AST)</v>
      </c>
      <c r="L2252" s="2" t="str">
        <f>HYPERLINK("https://www.nba.com/game/...-vs-...-0022000387/play-by-play?watchFullGame=true", "LAC vs MIN - Q2 05:38.00")</f>
        <v>LAC vs MIN - Q2 05:38.00</v>
      </c>
      <c r="M2252">
        <v>23.37</v>
      </c>
      <c r="N2252">
        <v>94.04</v>
      </c>
      <c r="O2252">
        <v>3.26</v>
      </c>
      <c r="P2252">
        <v>-234</v>
      </c>
      <c r="Q2252">
        <v>4</v>
      </c>
      <c r="R2252">
        <v>94</v>
      </c>
      <c r="S2252">
        <v>3</v>
      </c>
    </row>
    <row r="2253" spans="1:19" hidden="1" x14ac:dyDescent="0.25">
      <c r="A2253">
        <v>22300179</v>
      </c>
      <c r="B2253" t="s">
        <v>26</v>
      </c>
      <c r="C2253" t="s">
        <v>19</v>
      </c>
      <c r="D2253">
        <v>50</v>
      </c>
      <c r="E2253">
        <v>59</v>
      </c>
      <c r="F2253">
        <v>9</v>
      </c>
      <c r="G2253">
        <v>3</v>
      </c>
      <c r="H2253" s="1">
        <v>6.1111111111111114E-3</v>
      </c>
      <c r="I2253">
        <v>2023</v>
      </c>
      <c r="J2253" t="s">
        <v>83</v>
      </c>
      <c r="K2253" s="2" t="str">
        <f>HYPERLINK("https://www.nba.com/stats/events?CFID=&amp;CFPARAMS=&amp;GameEventID=410&amp;GameID=0022300179&amp;Season=2023-24&amp;flag=1&amp;title=Leonard%203PT%20running%20(10%20PTS)%20(R.%20Westbrook%204%20AST)", "3PT running (10 PTS) (R. Westbrook 4 AST)")</f>
        <v>3PT running (10 PTS) (R. Westbrook 4 AST)</v>
      </c>
      <c r="L2253" s="2" t="str">
        <f>HYPERLINK("https://www.nba.com/game/...-vs-...-0022300179/play-by-play?watchFullGame=true", "LAC vs MEM - Q3 08:48.00")</f>
        <v>LAC vs MEM - Q3 08:48.00</v>
      </c>
      <c r="M2253">
        <v>23.04</v>
      </c>
      <c r="N2253">
        <v>94</v>
      </c>
      <c r="O2253">
        <v>3.92</v>
      </c>
      <c r="P2253">
        <v>-230</v>
      </c>
      <c r="Q2253">
        <v>4</v>
      </c>
      <c r="R2253">
        <v>94</v>
      </c>
      <c r="S2253">
        <v>3</v>
      </c>
    </row>
    <row r="2254" spans="1:19" hidden="1" x14ac:dyDescent="0.25">
      <c r="A2254">
        <v>22300956</v>
      </c>
      <c r="B2254" t="s">
        <v>26</v>
      </c>
      <c r="C2254" t="s">
        <v>19</v>
      </c>
      <c r="D2254">
        <v>76</v>
      </c>
      <c r="E2254">
        <v>58</v>
      </c>
      <c r="F2254">
        <v>18</v>
      </c>
      <c r="G2254">
        <v>3</v>
      </c>
      <c r="H2254" s="1">
        <v>6.5624999999999998E-3</v>
      </c>
      <c r="I2254">
        <v>2023</v>
      </c>
      <c r="J2254" t="s">
        <v>83</v>
      </c>
      <c r="K2254" s="2" t="str">
        <f>HYPERLINK("https://www.nba.com/stats/events?CFID=&amp;CFPARAMS=&amp;GameEventID=318&amp;GameID=0022300956&amp;Season=2023-24&amp;flag=1&amp;title=Leonard%203PT%20%20(20%20PTS)%20(B.%20Hyland%206%20AST)", "3PT  (20 PTS) (B. Hyland 6 AST)")</f>
        <v>3PT  (20 PTS) (B. Hyland 6 AST)</v>
      </c>
      <c r="L2254" s="2" t="str">
        <f>HYPERLINK("https://www.nba.com/game/...-vs-...-0022300956/play-by-play?watchFullGame=true", "LAC vs CHI - Q3 09:27.00")</f>
        <v>LAC vs CHI - Q3 09:27.00</v>
      </c>
      <c r="M2254">
        <v>22.93</v>
      </c>
      <c r="N2254">
        <v>94.96</v>
      </c>
      <c r="O2254">
        <v>4.17</v>
      </c>
      <c r="P2254">
        <v>-229</v>
      </c>
      <c r="Q2254">
        <v>-5</v>
      </c>
      <c r="R2254">
        <v>94</v>
      </c>
      <c r="S2254">
        <v>4</v>
      </c>
    </row>
    <row r="2255" spans="1:19" hidden="1" x14ac:dyDescent="0.25">
      <c r="A2255">
        <v>22200810</v>
      </c>
      <c r="B2255" t="s">
        <v>26</v>
      </c>
      <c r="C2255" t="s">
        <v>19</v>
      </c>
      <c r="D2255">
        <v>49</v>
      </c>
      <c r="E2255">
        <v>40</v>
      </c>
      <c r="F2255">
        <v>9</v>
      </c>
      <c r="G2255">
        <v>2</v>
      </c>
      <c r="H2255" s="1">
        <v>2.2222222222222222E-3</v>
      </c>
      <c r="I2255">
        <v>2022</v>
      </c>
      <c r="J2255" t="s">
        <v>83</v>
      </c>
      <c r="K2255" s="2" t="str">
        <f>HYPERLINK("https://www.nba.com/stats/events?CFID=&amp;CFPARAMS=&amp;GameEventID=253&amp;GameID=0022200810&amp;Season=2022-23&amp;flag=1&amp;title=Leonard%203PT%20%20(9%20PTS)%20(N.%20Batum%203%20AST)", "3PT  (9 PTS) (N. Batum 3 AST)")</f>
        <v>3PT  (9 PTS) (N. Batum 3 AST)</v>
      </c>
      <c r="L2255" s="2" t="str">
        <f>HYPERLINK("https://www.nba.com/game/...-vs-...-0022200810/play-by-play?watchFullGame=true", "LAC vs BKN - Q2 03:12.00")</f>
        <v>LAC vs BKN - Q2 03:12.00</v>
      </c>
      <c r="M2255">
        <v>22.67</v>
      </c>
      <c r="N2255">
        <v>94.43</v>
      </c>
      <c r="O2255">
        <v>4.66</v>
      </c>
      <c r="P2255">
        <v>-227</v>
      </c>
      <c r="Q2255">
        <v>4</v>
      </c>
      <c r="R2255">
        <v>94</v>
      </c>
      <c r="S2255">
        <v>4</v>
      </c>
    </row>
    <row r="2256" spans="1:19" hidden="1" x14ac:dyDescent="0.25">
      <c r="A2256">
        <v>22000289</v>
      </c>
      <c r="B2256" t="s">
        <v>26</v>
      </c>
      <c r="C2256" t="s">
        <v>19</v>
      </c>
      <c r="D2256">
        <v>5</v>
      </c>
      <c r="E2256">
        <v>3</v>
      </c>
      <c r="F2256">
        <v>2</v>
      </c>
      <c r="G2256">
        <v>1</v>
      </c>
      <c r="H2256" s="1">
        <v>7.1296296296296299E-3</v>
      </c>
      <c r="I2256">
        <v>2020</v>
      </c>
      <c r="J2256" t="s">
        <v>83</v>
      </c>
      <c r="K2256" s="2" t="str">
        <f>HYPERLINK("https://www.nba.com/stats/events?CFID=&amp;CFPARAMS=&amp;GameEventID=17&amp;GameID=0022000289&amp;Season=2020-21&amp;flag=1&amp;title=Leonard%203PT%20%20(3%20PTS)%20(N.%20Batum%201%20AST)", "3PT  (3 PTS) (N. Batum 1 AST)")</f>
        <v>3PT  (3 PTS) (N. Batum 1 AST)</v>
      </c>
      <c r="L2256" s="2" t="str">
        <f>HYPERLINK("https://www.nba.com/game/...-vs-...-0022000289/play-by-play?watchFullGame=true", "LAC vs ORL - Q1 10:16.00")</f>
        <v>LAC vs ORL - Q1 10:16.00</v>
      </c>
      <c r="M2256">
        <v>22.51</v>
      </c>
      <c r="N2256">
        <v>94.04</v>
      </c>
      <c r="O2256">
        <v>4.97</v>
      </c>
      <c r="P2256">
        <v>-225</v>
      </c>
      <c r="Q2256">
        <v>4</v>
      </c>
      <c r="R2256">
        <v>94</v>
      </c>
      <c r="S2256">
        <v>4</v>
      </c>
    </row>
    <row r="2257" spans="1:19" hidden="1" x14ac:dyDescent="0.25">
      <c r="A2257">
        <v>21900485</v>
      </c>
      <c r="B2257" t="s">
        <v>26</v>
      </c>
      <c r="C2257" t="s">
        <v>84</v>
      </c>
      <c r="D2257">
        <v>69</v>
      </c>
      <c r="E2257">
        <v>72</v>
      </c>
      <c r="F2257">
        <v>3</v>
      </c>
      <c r="G2257">
        <v>3</v>
      </c>
      <c r="H2257" s="1">
        <v>6.2500000000000003E-3</v>
      </c>
      <c r="I2257">
        <v>2019</v>
      </c>
      <c r="J2257" t="s">
        <v>83</v>
      </c>
      <c r="K2257" s="2" t="str">
        <f>HYPERLINK("https://www.nba.com/stats/events?CFID=&amp;CFPARAMS=&amp;GameEventID=356&amp;GameID=0021900485&amp;Season=2019-20&amp;flag=1&amp;title=Leonard%2022'%203PT%20%20(17%20PTS)%20(L.%20Williams%206%20AST)", "22' 3PT  (17 PTS) (L. Williams 6 AST)")</f>
        <v>22' 3PT  (17 PTS) (L. Williams 6 AST)</v>
      </c>
      <c r="L2257" s="2" t="str">
        <f>HYPERLINK("https://www.nba.com/game/...-vs-...-0021900485/play-by-play?watchFullGame=true", "LAC vs UTA - Q3 09:00.00")</f>
        <v>LAC vs UTA - Q3 09:00.00</v>
      </c>
      <c r="M2257">
        <v>22.46</v>
      </c>
      <c r="N2257">
        <v>94.79</v>
      </c>
      <c r="O2257">
        <v>5.08</v>
      </c>
      <c r="P2257">
        <v>-225</v>
      </c>
      <c r="Q2257">
        <v>-4</v>
      </c>
      <c r="R2257">
        <v>94</v>
      </c>
      <c r="S2257">
        <v>5</v>
      </c>
    </row>
    <row r="2258" spans="1:19" hidden="1" x14ac:dyDescent="0.25">
      <c r="A2258">
        <v>22300024</v>
      </c>
      <c r="B2258" t="s">
        <v>26</v>
      </c>
      <c r="C2258" t="s">
        <v>19</v>
      </c>
      <c r="D2258">
        <v>49</v>
      </c>
      <c r="E2258">
        <v>58</v>
      </c>
      <c r="F2258">
        <v>9</v>
      </c>
      <c r="G2258">
        <v>2</v>
      </c>
      <c r="H2258" s="1">
        <v>6.7013888888888885E-4</v>
      </c>
      <c r="I2258">
        <v>2023</v>
      </c>
      <c r="J2258" t="s">
        <v>83</v>
      </c>
      <c r="K2258" s="2" t="str">
        <f>HYPERLINK("https://www.nba.com/stats/events?CFID=&amp;CFPARAMS=&amp;GameEventID=295&amp;GameID=0022300024&amp;Season=2023-24&amp;flag=1&amp;title=Leonard%203PT%20%20(8%20PTS)%20(N.%20Powell%201%20AST)", "3PT  (8 PTS) (N. Powell 1 AST)")</f>
        <v>3PT  (8 PTS) (N. Powell 1 AST)</v>
      </c>
      <c r="L2258" s="2" t="str">
        <f>HYPERLINK("https://www.nba.com/game/...-vs-...-0022300024/play-by-play?watchFullGame=true", "LAC vs DEN - Q2 00:57.90")</f>
        <v>LAC vs DEN - Q2 00:57.90</v>
      </c>
      <c r="M2258">
        <v>22.43</v>
      </c>
      <c r="N2258">
        <v>94.3</v>
      </c>
      <c r="O2258">
        <v>5.15</v>
      </c>
      <c r="P2258">
        <v>-224</v>
      </c>
      <c r="Q2258">
        <v>1</v>
      </c>
      <c r="R2258">
        <v>94</v>
      </c>
      <c r="S2258">
        <v>5</v>
      </c>
    </row>
    <row r="2259" spans="1:19" hidden="1" x14ac:dyDescent="0.25">
      <c r="A2259">
        <v>22200745</v>
      </c>
      <c r="B2259" t="s">
        <v>18</v>
      </c>
      <c r="C2259" t="s">
        <v>19</v>
      </c>
      <c r="D2259">
        <v>4</v>
      </c>
      <c r="E2259">
        <v>4</v>
      </c>
      <c r="F2259">
        <v>0</v>
      </c>
      <c r="G2259">
        <v>1</v>
      </c>
      <c r="H2259" s="1">
        <v>6.5624999999999998E-3</v>
      </c>
      <c r="I2259">
        <v>2022</v>
      </c>
      <c r="J2259" t="s">
        <v>83</v>
      </c>
      <c r="K2259" s="2" t="str">
        <f>HYPERLINK("https://www.nba.com/stats/events?CFID=&amp;CFPARAMS=&amp;GameEventID=32&amp;GameID=0022200745&amp;Season=2022-23&amp;flag=1&amp;title=Leonard%2015'%20pullup%20Jump%20Shot%20(4%20PTS)", "15' pullup Jump Shot (4 PTS)")</f>
        <v>15' pullup Jump Shot (4 PTS)</v>
      </c>
      <c r="L2259" s="2" t="str">
        <f>HYPERLINK("https://www.nba.com/game/...-vs-...-0022200745/play-by-play?watchFullGame=true", "LAC vs ATL - Q1 09:27.00")</f>
        <v>LAC vs ATL - Q1 09:27.00</v>
      </c>
      <c r="M2259">
        <v>15.32</v>
      </c>
      <c r="N2259">
        <v>94.69</v>
      </c>
      <c r="O2259">
        <v>80.64</v>
      </c>
      <c r="P2259">
        <v>153</v>
      </c>
      <c r="Q2259">
        <v>-3</v>
      </c>
      <c r="R2259">
        <v>94</v>
      </c>
      <c r="S2259">
        <v>80</v>
      </c>
    </row>
    <row r="2260" spans="1:19" hidden="1" x14ac:dyDescent="0.25">
      <c r="A2260">
        <v>21900224</v>
      </c>
      <c r="B2260" t="s">
        <v>18</v>
      </c>
      <c r="C2260" t="s">
        <v>84</v>
      </c>
      <c r="D2260">
        <v>2</v>
      </c>
      <c r="E2260">
        <v>0</v>
      </c>
      <c r="F2260">
        <v>2</v>
      </c>
      <c r="G2260">
        <v>1</v>
      </c>
      <c r="H2260" s="1">
        <v>8.1365740740740738E-3</v>
      </c>
      <c r="I2260">
        <v>2019</v>
      </c>
      <c r="J2260" t="s">
        <v>83</v>
      </c>
      <c r="K2260" s="2" t="str">
        <f>HYPERLINK("https://www.nba.com/stats/events?CFID=&amp;CFPARAMS=&amp;GameEventID=7&amp;GameID=0021900224&amp;Season=2019-20&amp;flag=1&amp;title=Leonard%2017'%20jumpshot%20(2%20PTS)%20(P.%20George%201%20AST)", "17' jumpshot (2 PTS) (P. George 1 AST)")</f>
        <v>17' jumpshot (2 PTS) (P. George 1 AST)</v>
      </c>
      <c r="L2260" s="2" t="str">
        <f>HYPERLINK("https://www.nba.com/game/...-vs-...-0021900224/play-by-play?watchFullGame=true", "LAC vs HOU - Q1 11:43.00")</f>
        <v>LAC vs HOU - Q1 11:43.00</v>
      </c>
      <c r="M2260">
        <v>17.38</v>
      </c>
      <c r="N2260">
        <v>94.4</v>
      </c>
      <c r="O2260">
        <v>84.73</v>
      </c>
      <c r="P2260">
        <v>174</v>
      </c>
      <c r="Q2260">
        <v>84</v>
      </c>
      <c r="R2260">
        <v>94</v>
      </c>
      <c r="S2260">
        <v>84</v>
      </c>
    </row>
    <row r="2261" spans="1:19" hidden="1" x14ac:dyDescent="0.25">
      <c r="A2261">
        <v>21900002</v>
      </c>
      <c r="B2261" t="s">
        <v>18</v>
      </c>
      <c r="C2261" t="s">
        <v>19</v>
      </c>
      <c r="D2261">
        <v>38</v>
      </c>
      <c r="E2261">
        <v>39</v>
      </c>
      <c r="F2261">
        <v>1</v>
      </c>
      <c r="G2261">
        <v>2</v>
      </c>
      <c r="H2261" s="1">
        <v>5.2546296296296299E-3</v>
      </c>
      <c r="I2261">
        <v>2019</v>
      </c>
      <c r="J2261" t="s">
        <v>83</v>
      </c>
      <c r="K2261" s="2" t="str">
        <f>HYPERLINK("https://www.nba.com/stats/events?CFID=&amp;CFPARAMS=&amp;GameEventID=224&amp;GameID=0021900002&amp;Season=2019-20&amp;flag=1&amp;title=Leonard%2019'%20pullup%20Jump%20Shot%20(15%20PTS)", "19' pullup Jump Shot (15 PTS)")</f>
        <v>19' pullup Jump Shot (15 PTS)</v>
      </c>
      <c r="L2261" s="2" t="str">
        <f>HYPERLINK("https://www.nba.com/game/...-vs-...-0021900002/play-by-play?watchFullGame=true", "LAC vs LAL - Q2 07:34.00")</f>
        <v>LAC vs LAL - Q2 07:34.00</v>
      </c>
      <c r="M2261">
        <v>19.23</v>
      </c>
      <c r="N2261">
        <v>94</v>
      </c>
      <c r="O2261">
        <v>88.41</v>
      </c>
      <c r="P2261">
        <v>192</v>
      </c>
      <c r="Q2261">
        <v>4</v>
      </c>
      <c r="R2261">
        <v>94</v>
      </c>
      <c r="S2261">
        <v>88</v>
      </c>
    </row>
    <row r="2262" spans="1:19" hidden="1" x14ac:dyDescent="0.25">
      <c r="A2262">
        <v>22300568</v>
      </c>
      <c r="B2262" t="s">
        <v>18</v>
      </c>
      <c r="C2262" t="s">
        <v>19</v>
      </c>
      <c r="D2262">
        <v>7</v>
      </c>
      <c r="E2262">
        <v>2</v>
      </c>
      <c r="F2262">
        <v>5</v>
      </c>
      <c r="G2262">
        <v>1</v>
      </c>
      <c r="H2262" s="1">
        <v>7.3263888888888892E-3</v>
      </c>
      <c r="I2262">
        <v>2023</v>
      </c>
      <c r="J2262" t="s">
        <v>83</v>
      </c>
      <c r="K2262" s="2" t="str">
        <f>HYPERLINK("https://www.nba.com/stats/events?CFID=&amp;CFPARAMS=&amp;GameEventID=20&amp;GameID=0022300568&amp;Season=2023-24&amp;flag=1&amp;title=Leonard%2013'%20turnaround%20fadeaway%20Jump%20Shot%20(2%20PTS)", "13' turnaround fadeaway Jump Shot (2 PTS)")</f>
        <v>13' turnaround fadeaway Jump Shot (2 PTS)</v>
      </c>
      <c r="L2262" s="2" t="str">
        <f>HYPERLINK("https://www.nba.com/game/...-vs-...-0022300568/play-by-play?watchFullGame=true", "LAC vs OKC - Q1 10:33.00")</f>
        <v>LAC vs OKC - Q1 10:33.00</v>
      </c>
      <c r="M2262">
        <v>13.73</v>
      </c>
      <c r="N2262">
        <v>94.4</v>
      </c>
      <c r="O2262">
        <v>22.55</v>
      </c>
      <c r="P2262">
        <v>-137</v>
      </c>
      <c r="Q2262">
        <v>22</v>
      </c>
      <c r="R2262">
        <v>94</v>
      </c>
      <c r="S2262">
        <v>22</v>
      </c>
    </row>
    <row r="2263" spans="1:19" hidden="1" x14ac:dyDescent="0.25">
      <c r="A2263">
        <v>22000675</v>
      </c>
      <c r="B2263" t="s">
        <v>18</v>
      </c>
      <c r="C2263" t="s">
        <v>19</v>
      </c>
      <c r="D2263">
        <v>116</v>
      </c>
      <c r="E2263">
        <v>92</v>
      </c>
      <c r="F2263">
        <v>24</v>
      </c>
      <c r="G2263">
        <v>4</v>
      </c>
      <c r="H2263" s="1">
        <v>4.6527777777777774E-3</v>
      </c>
      <c r="I2263">
        <v>2020</v>
      </c>
      <c r="J2263" t="s">
        <v>83</v>
      </c>
      <c r="K2263" s="2" t="str">
        <f>HYPERLINK("https://www.nba.com/stats/events?CFID=&amp;CFPARAMS=&amp;GameEventID=570&amp;GameID=0022000675&amp;Season=2020-21&amp;flag=1&amp;title=Leonard%2013'%20pullup%20Jump%20Shot%20(25%20PTS)", "13' pullup Jump Shot (25 PTS)")</f>
        <v>13' pullup Jump Shot (25 PTS)</v>
      </c>
      <c r="L2263" s="2" t="str">
        <f>HYPERLINK("https://www.nba.com/game/...-vs-...-0022000675/play-by-play?watchFullGame=true", "LAC vs SAS - Q4 06:42.00")</f>
        <v>LAC vs SAS - Q4 06:42.00</v>
      </c>
      <c r="M2263">
        <v>13.64</v>
      </c>
      <c r="N2263">
        <v>94.3</v>
      </c>
      <c r="O2263">
        <v>77.27</v>
      </c>
      <c r="P2263">
        <v>136</v>
      </c>
      <c r="Q2263">
        <v>1</v>
      </c>
      <c r="R2263">
        <v>94</v>
      </c>
      <c r="S2263">
        <v>77</v>
      </c>
    </row>
    <row r="2264" spans="1:19" hidden="1" x14ac:dyDescent="0.25">
      <c r="A2264">
        <v>22200902</v>
      </c>
      <c r="B2264" t="s">
        <v>18</v>
      </c>
      <c r="C2264" t="s">
        <v>19</v>
      </c>
      <c r="D2264">
        <v>10</v>
      </c>
      <c r="E2264">
        <v>13</v>
      </c>
      <c r="F2264">
        <v>3</v>
      </c>
      <c r="G2264">
        <v>1</v>
      </c>
      <c r="H2264" s="1">
        <v>6.4814814814814813E-3</v>
      </c>
      <c r="I2264">
        <v>2022</v>
      </c>
      <c r="J2264" t="s">
        <v>83</v>
      </c>
      <c r="K2264" s="2" t="str">
        <f>HYPERLINK("https://www.nba.com/stats/events?CFID=&amp;CFPARAMS=&amp;GameEventID=37&amp;GameID=0022200902&amp;Season=2022-23&amp;flag=1&amp;title=Leonard%2012'%20fadeaway%20Jump%20Shot%20(5%20PTS)", "12' fadeaway Jump Shot (5 PTS)")</f>
        <v>12' fadeaway Jump Shot (5 PTS)</v>
      </c>
      <c r="L2264" s="2" t="str">
        <f>HYPERLINK("https://www.nba.com/game/...-vs-...-0022200902/play-by-play?watchFullGame=true", "LAC vs SAC - Q1 09:20.00")</f>
        <v>LAC vs SAC - Q1 09:20.00</v>
      </c>
      <c r="M2264">
        <v>12.13</v>
      </c>
      <c r="N2264">
        <v>94.4</v>
      </c>
      <c r="O2264">
        <v>74.260000000000005</v>
      </c>
      <c r="P2264">
        <v>121</v>
      </c>
      <c r="Q2264">
        <v>74</v>
      </c>
      <c r="R2264">
        <v>94</v>
      </c>
      <c r="S2264">
        <v>74</v>
      </c>
    </row>
    <row r="2265" spans="1:19" hidden="1" x14ac:dyDescent="0.25">
      <c r="A2265">
        <v>22200617</v>
      </c>
      <c r="B2265" t="s">
        <v>18</v>
      </c>
      <c r="C2265" t="s">
        <v>19</v>
      </c>
      <c r="D2265">
        <v>21</v>
      </c>
      <c r="E2265">
        <v>10</v>
      </c>
      <c r="F2265">
        <v>11</v>
      </c>
      <c r="G2265">
        <v>1</v>
      </c>
      <c r="H2265" s="1">
        <v>3.3912037037037036E-3</v>
      </c>
      <c r="I2265">
        <v>2022</v>
      </c>
      <c r="J2265" t="s">
        <v>83</v>
      </c>
      <c r="K2265" s="2" t="str">
        <f>HYPERLINK("https://www.nba.com/stats/events?CFID=&amp;CFPARAMS=&amp;GameEventID=90&amp;GameID=0022200617&amp;Season=2022-23&amp;flag=1&amp;title=Leonard%2011'%20Jump%20Shot%20(9%20PTS)%20(N.%20Batum%201%20AST)", "11' Jump Shot (9 PTS) (N. Batum 1 AST)")</f>
        <v>11' Jump Shot (9 PTS) (N. Batum 1 AST)</v>
      </c>
      <c r="L2265" s="2" t="str">
        <f>HYPERLINK("https://www.nba.com/game/...-vs-...-0022200617/play-by-play?watchFullGame=true", "LAC vs DAL - Q1 04:53.00")</f>
        <v>LAC vs DAL - Q1 04:53.00</v>
      </c>
      <c r="M2265">
        <v>11.52</v>
      </c>
      <c r="N2265">
        <v>94.66</v>
      </c>
      <c r="O2265">
        <v>73.040000000000006</v>
      </c>
      <c r="P2265">
        <v>115</v>
      </c>
      <c r="Q2265">
        <v>-2</v>
      </c>
      <c r="R2265">
        <v>94</v>
      </c>
      <c r="S2265">
        <v>73</v>
      </c>
    </row>
    <row r="2266" spans="1:19" hidden="1" x14ac:dyDescent="0.25">
      <c r="A2266">
        <v>22000400</v>
      </c>
      <c r="B2266" t="s">
        <v>18</v>
      </c>
      <c r="C2266" t="s">
        <v>19</v>
      </c>
      <c r="D2266">
        <v>32</v>
      </c>
      <c r="E2266">
        <v>27</v>
      </c>
      <c r="F2266">
        <v>5</v>
      </c>
      <c r="G2266">
        <v>2</v>
      </c>
      <c r="H2266" s="1">
        <v>7.8009259259259256E-3</v>
      </c>
      <c r="I2266">
        <v>2020</v>
      </c>
      <c r="J2266" t="s">
        <v>83</v>
      </c>
      <c r="K2266" s="2" t="str">
        <f>HYPERLINK("https://www.nba.com/stats/events?CFID=&amp;CFPARAMS=&amp;GameEventID=167&amp;GameID=0022000400&amp;Season=2020-21&amp;flag=1&amp;title=Leonard%2011'%20turnaround%20fadeaway%20Jump%20Shot%20(10%20PTS)", "11' turnaround fadeaway Jump Shot (10 PTS)")</f>
        <v>11' turnaround fadeaway Jump Shot (10 PTS)</v>
      </c>
      <c r="L2266" s="2" t="str">
        <f>HYPERLINK("https://www.nba.com/game/...-vs-...-0022000400/play-by-play?watchFullGame=true", "LAC vs CHI - Q2 11:14.00")</f>
        <v>LAC vs CHI - Q2 11:14.00</v>
      </c>
      <c r="M2266">
        <v>11.36</v>
      </c>
      <c r="N2266">
        <v>94.69</v>
      </c>
      <c r="O2266">
        <v>27.27</v>
      </c>
      <c r="P2266">
        <v>-114</v>
      </c>
      <c r="Q2266">
        <v>-3</v>
      </c>
      <c r="R2266">
        <v>94</v>
      </c>
      <c r="S2266">
        <v>27</v>
      </c>
    </row>
    <row r="2267" spans="1:19" hidden="1" x14ac:dyDescent="0.25">
      <c r="A2267">
        <v>42200172</v>
      </c>
      <c r="B2267" t="s">
        <v>18</v>
      </c>
      <c r="C2267" t="s">
        <v>19</v>
      </c>
      <c r="D2267">
        <v>59</v>
      </c>
      <c r="E2267">
        <v>54</v>
      </c>
      <c r="F2267">
        <v>5</v>
      </c>
      <c r="G2267">
        <v>2</v>
      </c>
      <c r="H2267" s="1">
        <v>4.4328703703703701E-4</v>
      </c>
      <c r="I2267" t="s">
        <v>96</v>
      </c>
      <c r="J2267" t="s">
        <v>83</v>
      </c>
      <c r="K2267" s="2" t="str">
        <f>HYPERLINK("https://www.nba.com/stats/events?CFID=&amp;CFPARAMS=&amp;GameEventID=304&amp;GameID=0042200172&amp;Season=2022-23&amp;flag=1&amp;title=Leonard%2011'%20pullup%20Jump%20Shot%20(16%20PTS)%20(E.%20Gordon%202%20AST)", "11' pullup Jump Shot (16 PTS) (E. Gordon 2 AST)")</f>
        <v>11' pullup Jump Shot (16 PTS) (E. Gordon 2 AST)</v>
      </c>
      <c r="L2267" s="2" t="str">
        <f>HYPERLINK("https://www.nba.com/game/...-vs-...-0042200172/play-by-play?watchFullGame=true", "LAC vs PHX - Q2 00:38.30")</f>
        <v>LAC vs PHX - Q2 00:38.30</v>
      </c>
      <c r="M2267">
        <v>11.28</v>
      </c>
      <c r="N2267">
        <v>94.83</v>
      </c>
      <c r="O2267">
        <v>27.45</v>
      </c>
      <c r="P2267">
        <v>94</v>
      </c>
      <c r="Q2267">
        <v>27</v>
      </c>
      <c r="R2267">
        <v>94</v>
      </c>
      <c r="S2267">
        <v>27</v>
      </c>
    </row>
    <row r="2268" spans="1:19" hidden="1" x14ac:dyDescent="0.25">
      <c r="A2268">
        <v>22200408</v>
      </c>
      <c r="B2268" t="s">
        <v>18</v>
      </c>
      <c r="C2268" t="s">
        <v>19</v>
      </c>
      <c r="D2268">
        <v>8</v>
      </c>
      <c r="E2268">
        <v>10</v>
      </c>
      <c r="F2268">
        <v>2</v>
      </c>
      <c r="G2268">
        <v>1</v>
      </c>
      <c r="H2268" s="1">
        <v>5.6944444444444447E-3</v>
      </c>
      <c r="I2268">
        <v>2022</v>
      </c>
      <c r="J2268" t="s">
        <v>83</v>
      </c>
      <c r="K2268" s="2" t="str">
        <f>HYPERLINK("https://www.nba.com/stats/events?CFID=&amp;CFPARAMS=&amp;GameEventID=48&amp;GameID=0022200408&amp;Season=2022-23&amp;flag=1&amp;title=Leonard%2010'%20turnaround%20fadeaway%20Jump%20Shot%20(3%20PTS)", "10' turnaround fadeaway Jump Shot (3 PTS)")</f>
        <v>10' turnaround fadeaway Jump Shot (3 PTS)</v>
      </c>
      <c r="L2268" s="2" t="str">
        <f>HYPERLINK("https://www.nba.com/game/...-vs-...-0022200408/play-by-play?watchFullGame=true", "LAC vs BOS - Q1 08:12.00")</f>
        <v>LAC vs BOS - Q1 08:12.00</v>
      </c>
      <c r="M2268">
        <v>10.92</v>
      </c>
      <c r="N2268">
        <v>94.92</v>
      </c>
      <c r="O2268">
        <v>71.81</v>
      </c>
      <c r="P2268">
        <v>109</v>
      </c>
      <c r="Q2268">
        <v>-5</v>
      </c>
      <c r="R2268">
        <v>94</v>
      </c>
      <c r="S2268">
        <v>71</v>
      </c>
    </row>
    <row r="2269" spans="1:19" hidden="1" x14ac:dyDescent="0.25">
      <c r="A2269">
        <v>22001019</v>
      </c>
      <c r="B2269" t="s">
        <v>18</v>
      </c>
      <c r="C2269" t="s">
        <v>19</v>
      </c>
      <c r="D2269">
        <v>17</v>
      </c>
      <c r="E2269">
        <v>15</v>
      </c>
      <c r="F2269">
        <v>2</v>
      </c>
      <c r="G2269">
        <v>1</v>
      </c>
      <c r="H2269" s="1">
        <v>1.9907407407407408E-3</v>
      </c>
      <c r="I2269">
        <v>2020</v>
      </c>
      <c r="J2269" t="s">
        <v>83</v>
      </c>
      <c r="K2269" s="2" t="str">
        <f>HYPERLINK("https://www.nba.com/stats/events?CFID=&amp;CFPARAMS=&amp;GameEventID=100&amp;GameID=0022001019&amp;Season=2020-21&amp;flag=1&amp;title=Leonard%2010'%20turnaround%20fadeaway%20Jump%20Shot%20(7%20PTS)%20(R.%20Rondo%201%20AST)", "10' turnaround fadeaway Jump Shot (7 PTS) (R. Rondo 1 AST)")</f>
        <v>10' turnaround fadeaway Jump Shot (7 PTS) (R. Rondo 1 AST)</v>
      </c>
      <c r="L2269" s="2" t="str">
        <f>HYPERLINK("https://www.nba.com/game/...-vs-...-0022001019/play-by-play?watchFullGame=true", "LAC vs NYK - Q1 02:52.00")</f>
        <v>LAC vs NYK - Q1 02:52.00</v>
      </c>
      <c r="M2269">
        <v>10.09</v>
      </c>
      <c r="N2269">
        <v>94.96</v>
      </c>
      <c r="O2269">
        <v>70.17</v>
      </c>
      <c r="P2269">
        <v>101</v>
      </c>
      <c r="Q2269">
        <v>-5</v>
      </c>
      <c r="R2269">
        <v>94</v>
      </c>
      <c r="S2269">
        <v>70</v>
      </c>
    </row>
    <row r="2270" spans="1:19" hidden="1" x14ac:dyDescent="0.25">
      <c r="A2270">
        <v>22000644</v>
      </c>
      <c r="B2270" t="s">
        <v>18</v>
      </c>
      <c r="C2270" t="s">
        <v>19</v>
      </c>
      <c r="D2270">
        <v>21</v>
      </c>
      <c r="E2270">
        <v>10</v>
      </c>
      <c r="F2270">
        <v>11</v>
      </c>
      <c r="G2270">
        <v>1</v>
      </c>
      <c r="H2270" s="1">
        <v>3.8310185185185183E-3</v>
      </c>
      <c r="I2270">
        <v>2020</v>
      </c>
      <c r="J2270" t="s">
        <v>83</v>
      </c>
      <c r="K2270" s="2" t="str">
        <f>HYPERLINK("https://www.nba.com/stats/events?CFID=&amp;CFPARAMS=&amp;GameEventID=56&amp;GameID=0022000644&amp;Season=2020-21&amp;flag=1&amp;title=Leonard%209'%20turnaround%20fadeaway%20Jump%20Shot%20(2%20PTS)", "9' turnaround fadeaway Jump Shot (2 PTS)")</f>
        <v>9' turnaround fadeaway Jump Shot (2 PTS)</v>
      </c>
      <c r="L2270" s="2" t="str">
        <f>HYPERLINK("https://www.nba.com/game/...-vs-...-0022000644/play-by-play?watchFullGame=true", "LAC vs CHA - Q1 05:31.00")</f>
        <v>LAC vs CHA - Q1 05:31.00</v>
      </c>
      <c r="M2270">
        <v>9.6</v>
      </c>
      <c r="N2270">
        <v>94.83</v>
      </c>
      <c r="O2270">
        <v>69.19</v>
      </c>
      <c r="P2270">
        <v>96</v>
      </c>
      <c r="Q2270">
        <v>-4</v>
      </c>
      <c r="R2270">
        <v>94</v>
      </c>
      <c r="S2270">
        <v>69</v>
      </c>
    </row>
    <row r="2271" spans="1:19" hidden="1" x14ac:dyDescent="0.25">
      <c r="A2271">
        <v>22000488</v>
      </c>
      <c r="B2271" t="s">
        <v>18</v>
      </c>
      <c r="C2271" t="s">
        <v>89</v>
      </c>
      <c r="D2271">
        <v>31</v>
      </c>
      <c r="E2271">
        <v>20</v>
      </c>
      <c r="F2271">
        <v>11</v>
      </c>
      <c r="G2271">
        <v>1</v>
      </c>
      <c r="H2271" s="1">
        <v>9.6064814814814819E-4</v>
      </c>
      <c r="I2271">
        <v>2020</v>
      </c>
      <c r="J2271" t="s">
        <v>83</v>
      </c>
      <c r="K2271" s="2" t="str">
        <f>HYPERLINK("https://www.nba.com/stats/events?CFID=&amp;CFPARAMS=&amp;GameEventID=134&amp;GameID=0022000488&amp;Season=2020-21&amp;flag=1&amp;title=Leonard%206'%20driving%20Hook%20(10%20PTS)", "6' driving Hook (10 PTS)")</f>
        <v>6' driving Hook (10 PTS)</v>
      </c>
      <c r="L2271" s="2" t="str">
        <f>HYPERLINK("https://www.nba.com/game/...-vs-...-0022000488/play-by-play?watchFullGame=true", "LAC vs WAS - Q1 01:23.00")</f>
        <v>LAC vs WAS - Q1 01:23.00</v>
      </c>
      <c r="M2271">
        <v>6.65</v>
      </c>
      <c r="N2271">
        <v>94.43</v>
      </c>
      <c r="O2271">
        <v>63.3</v>
      </c>
      <c r="P2271">
        <v>67</v>
      </c>
      <c r="Q2271">
        <v>63</v>
      </c>
      <c r="R2271">
        <v>94</v>
      </c>
      <c r="S2271">
        <v>63</v>
      </c>
    </row>
    <row r="2272" spans="1:19" hidden="1" x14ac:dyDescent="0.25">
      <c r="A2272">
        <v>22200932</v>
      </c>
      <c r="B2272" t="s">
        <v>18</v>
      </c>
      <c r="C2272" t="s">
        <v>19</v>
      </c>
      <c r="D2272">
        <v>44</v>
      </c>
      <c r="E2272">
        <v>39</v>
      </c>
      <c r="F2272">
        <v>5</v>
      </c>
      <c r="G2272">
        <v>2</v>
      </c>
      <c r="H2272" s="1">
        <v>4.6527777777777774E-3</v>
      </c>
      <c r="I2272">
        <v>2022</v>
      </c>
      <c r="J2272" t="s">
        <v>83</v>
      </c>
      <c r="K2272" s="2" t="str">
        <f>HYPERLINK("https://www.nba.com/stats/events?CFID=&amp;CFPARAMS=&amp;GameEventID=263&amp;GameID=0022200932&amp;Season=2022-23&amp;flag=1&amp;title=Leonard%206'%20Jump%20Shot%20(12%20PTS)%20(R.%20Westbrook%206%20AST)", "6' Jump Shot (12 PTS) (R. Westbrook 6 AST)")</f>
        <v>6' Jump Shot (12 PTS) (R. Westbrook 6 AST)</v>
      </c>
      <c r="L2272" s="2" t="str">
        <f>HYPERLINK("https://www.nba.com/game/...-vs-...-0022200932/play-by-play?watchFullGame=true", "LAC vs MIN - Q2 06:42.00")</f>
        <v>LAC vs MIN - Q2 06:42.00</v>
      </c>
      <c r="M2272">
        <v>6.64</v>
      </c>
      <c r="N2272">
        <v>94.92</v>
      </c>
      <c r="O2272">
        <v>63.24</v>
      </c>
      <c r="P2272">
        <v>66</v>
      </c>
      <c r="Q2272">
        <v>-5</v>
      </c>
      <c r="R2272">
        <v>94</v>
      </c>
      <c r="S2272">
        <v>63</v>
      </c>
    </row>
    <row r="2273" spans="1:19" hidden="1" x14ac:dyDescent="0.25">
      <c r="A2273">
        <v>41900232</v>
      </c>
      <c r="B2273" t="s">
        <v>18</v>
      </c>
      <c r="C2273" t="s">
        <v>84</v>
      </c>
      <c r="D2273">
        <v>4</v>
      </c>
      <c r="E2273">
        <v>14</v>
      </c>
      <c r="F2273">
        <v>10</v>
      </c>
      <c r="G2273">
        <v>1</v>
      </c>
      <c r="H2273" s="1">
        <v>5.1273148148148146E-3</v>
      </c>
      <c r="I2273" t="s">
        <v>85</v>
      </c>
      <c r="J2273" t="s">
        <v>83</v>
      </c>
      <c r="K2273" s="2" t="str">
        <f>HYPERLINK("https://www.nba.com/stats/events?CFID=&amp;CFPARAMS=&amp;GameEventID=56&amp;GameID=0041900232&amp;Season=2019-20&amp;flag=1&amp;title=Leonard%20jumpshot%20(2%20PTS)", "Jumpshot (2 PTS)")</f>
        <v>Jumpshot (2 PTS)</v>
      </c>
      <c r="L2273" s="2" t="str">
        <f>HYPERLINK("https://www.nba.com/game/...-vs-...-0041900232/play-by-play?watchFullGame=true", "LAC vs DEN - Q1 07:23.00")</f>
        <v>LAC vs DEN - Q1 07:23.00</v>
      </c>
      <c r="M2273">
        <v>2.38</v>
      </c>
      <c r="N2273">
        <v>94.69</v>
      </c>
      <c r="O2273">
        <v>54.73</v>
      </c>
      <c r="P2273">
        <v>24</v>
      </c>
      <c r="Q2273">
        <v>-3</v>
      </c>
      <c r="R2273">
        <v>94</v>
      </c>
      <c r="S2273">
        <v>54</v>
      </c>
    </row>
    <row r="2274" spans="1:19" hidden="1" x14ac:dyDescent="0.25">
      <c r="A2274">
        <v>21900115</v>
      </c>
      <c r="B2274" t="s">
        <v>18</v>
      </c>
      <c r="C2274" t="s">
        <v>90</v>
      </c>
      <c r="D2274">
        <v>86</v>
      </c>
      <c r="E2274">
        <v>90</v>
      </c>
      <c r="F2274">
        <v>4</v>
      </c>
      <c r="G2274">
        <v>4</v>
      </c>
      <c r="H2274" s="1">
        <v>4.3518518518518515E-3</v>
      </c>
      <c r="I2274">
        <v>2019</v>
      </c>
      <c r="J2274" t="s">
        <v>83</v>
      </c>
      <c r="K2274" s="2" t="str">
        <f>HYPERLINK("https://www.nba.com/stats/events?CFID=&amp;CFPARAMS=&amp;GameEventID=598&amp;GameID=0021900115&amp;Season=2019-20&amp;flag=1&amp;title=[LAC]%20Leonard%20layup:%20Made%20(17%20PTS)", "[LAC] Leonard layup: Made (17 PTS)")</f>
        <v>[LAC] Leonard layup: Made (17 PTS)</v>
      </c>
      <c r="L2274" s="2" t="str">
        <f>HYPERLINK("https://www.nba.com/game/...-vs-...-0021900115/play-by-play?watchFullGame=true", "LAC vs POR - Q4 06:16.00")</f>
        <v>LAC vs POR - Q4 06:16.00</v>
      </c>
      <c r="M2274">
        <v>2.36</v>
      </c>
      <c r="N2274">
        <v>94</v>
      </c>
      <c r="O2274">
        <v>54.34</v>
      </c>
      <c r="P2274">
        <v>22</v>
      </c>
      <c r="Q2274">
        <v>4</v>
      </c>
      <c r="R2274">
        <v>94</v>
      </c>
      <c r="S2274">
        <v>54</v>
      </c>
    </row>
    <row r="2275" spans="1:19" hidden="1" x14ac:dyDescent="0.25">
      <c r="A2275">
        <v>21900002</v>
      </c>
      <c r="B2275" t="s">
        <v>18</v>
      </c>
      <c r="C2275" t="s">
        <v>88</v>
      </c>
      <c r="D2275">
        <v>42</v>
      </c>
      <c r="E2275">
        <v>39</v>
      </c>
      <c r="F2275">
        <v>3</v>
      </c>
      <c r="G2275">
        <v>2</v>
      </c>
      <c r="H2275" s="1">
        <v>4.5023148148148149E-3</v>
      </c>
      <c r="I2275">
        <v>2019</v>
      </c>
      <c r="J2275" t="s">
        <v>83</v>
      </c>
      <c r="K2275" s="2" t="str">
        <f>HYPERLINK("https://www.nba.com/stats/events?CFID=&amp;CFPARAMS=&amp;GameEventID=245&amp;GameID=0021900002&amp;Season=2019-20&amp;flag=1&amp;title=Leonard%20cutting%20DUNK%20(17%20PTS)%20(M.%20Harrell%201%20AST)", "Cutting DUNK (17 PTS) (M. Harrell 1 AST)")</f>
        <v>Cutting DUNK (17 PTS) (M. Harrell 1 AST)</v>
      </c>
      <c r="L2275" s="2" t="str">
        <f>HYPERLINK("https://www.nba.com/game/...-vs-...-0021900002/play-by-play?watchFullGame=true", "LAC vs LAL - Q2 06:29.00")</f>
        <v>LAC vs LAL - Q2 06:29.00</v>
      </c>
      <c r="M2275">
        <v>0.83</v>
      </c>
      <c r="N2275">
        <v>94.66</v>
      </c>
      <c r="O2275">
        <v>48.46</v>
      </c>
      <c r="P2275">
        <v>-8</v>
      </c>
      <c r="Q2275">
        <v>-2</v>
      </c>
      <c r="R2275">
        <v>94</v>
      </c>
      <c r="S2275">
        <v>48</v>
      </c>
    </row>
    <row r="2276" spans="1:19" hidden="1" x14ac:dyDescent="0.25">
      <c r="A2276">
        <v>41900152</v>
      </c>
      <c r="B2276" t="s">
        <v>18</v>
      </c>
      <c r="C2276" t="s">
        <v>90</v>
      </c>
      <c r="D2276">
        <v>69</v>
      </c>
      <c r="E2276">
        <v>73</v>
      </c>
      <c r="F2276">
        <v>4</v>
      </c>
      <c r="G2276">
        <v>3</v>
      </c>
      <c r="H2276" s="1">
        <v>4.9074074074074072E-3</v>
      </c>
      <c r="I2276" t="s">
        <v>86</v>
      </c>
      <c r="J2276" t="s">
        <v>83</v>
      </c>
      <c r="K2276" s="2" t="str">
        <f>HYPERLINK("https://www.nba.com/stats/events?CFID=&amp;CFPARAMS=&amp;GameEventID=425&amp;GameID=0041900152&amp;Season=2019-20&amp;flag=1&amp;title=Leonard%20layup%20(27%20PTS)%20(L.%20Williams%204%20AST)", "Layup (27 PTS) (L. Williams 4 AST)")</f>
        <v>Layup (27 PTS) (L. Williams 4 AST)</v>
      </c>
      <c r="L2276" s="2" t="str">
        <f>HYPERLINK("https://www.nba.com/game/...-vs-...-0041900152/play-by-play?watchFullGame=true", "LAC vs DAL - Q3 07:04.00")</f>
        <v>LAC vs DAL - Q3 07:04.00</v>
      </c>
      <c r="M2276">
        <v>2.19</v>
      </c>
      <c r="N2276">
        <v>94.04</v>
      </c>
      <c r="O2276">
        <v>53.99</v>
      </c>
      <c r="P2276">
        <v>20</v>
      </c>
      <c r="Q2276">
        <v>4</v>
      </c>
      <c r="R2276">
        <v>94</v>
      </c>
      <c r="S2276">
        <v>53</v>
      </c>
    </row>
    <row r="2277" spans="1:19" hidden="1" x14ac:dyDescent="0.25">
      <c r="A2277">
        <v>22300151</v>
      </c>
      <c r="B2277" t="s">
        <v>18</v>
      </c>
      <c r="C2277" t="s">
        <v>88</v>
      </c>
      <c r="D2277">
        <v>16</v>
      </c>
      <c r="E2277">
        <v>15</v>
      </c>
      <c r="F2277">
        <v>1</v>
      </c>
      <c r="G2277">
        <v>1</v>
      </c>
      <c r="H2277" s="1">
        <v>2.1875000000000002E-3</v>
      </c>
      <c r="I2277">
        <v>2023</v>
      </c>
      <c r="J2277" t="s">
        <v>83</v>
      </c>
      <c r="K2277" s="2" t="str">
        <f>HYPERLINK("https://www.nba.com/stats/events?CFID=&amp;CFPARAMS=&amp;GameEventID=84&amp;GameID=0022300151&amp;Season=2023-24&amp;flag=1&amp;title=Leonard%20cutting%20DUNK%20(4%20PTS)%20(M.%20Plumlee%201%20AST)", "Cutting DUNK (4 PTS) (M. Plumlee 1 AST)")</f>
        <v>Cutting DUNK (4 PTS) (M. Plumlee 1 AST)</v>
      </c>
      <c r="L2277" s="2" t="str">
        <f>HYPERLINK("https://www.nba.com/game/...-vs-...-0022300151/play-by-play?watchFullGame=true", "LAC vs NYK - Q1 03:09.00")</f>
        <v>LAC vs NYK - Q1 03:09.00</v>
      </c>
      <c r="M2277">
        <v>0.71</v>
      </c>
      <c r="N2277">
        <v>94.96</v>
      </c>
      <c r="O2277">
        <v>49.02</v>
      </c>
      <c r="P2277">
        <v>-5</v>
      </c>
      <c r="Q2277">
        <v>-5</v>
      </c>
      <c r="R2277">
        <v>94</v>
      </c>
      <c r="S2277">
        <v>49</v>
      </c>
    </row>
    <row r="2278" spans="1:19" hidden="1" x14ac:dyDescent="0.25">
      <c r="A2278">
        <v>22200687</v>
      </c>
      <c r="B2278" t="s">
        <v>18</v>
      </c>
      <c r="C2278" t="s">
        <v>88</v>
      </c>
      <c r="D2278">
        <v>11</v>
      </c>
      <c r="E2278">
        <v>10</v>
      </c>
      <c r="F2278">
        <v>1</v>
      </c>
      <c r="G2278">
        <v>1</v>
      </c>
      <c r="H2278" s="1">
        <v>5.5324074074074078E-3</v>
      </c>
      <c r="I2278">
        <v>2022</v>
      </c>
      <c r="J2278" t="s">
        <v>83</v>
      </c>
      <c r="K2278" s="2" t="str">
        <f>HYPERLINK("https://www.nba.com/stats/events?CFID=&amp;CFPARAMS=&amp;GameEventID=45&amp;GameID=0022200687&amp;Season=2022-23&amp;flag=1&amp;title=Leonard%20DUNK%20(7%20PTS)%20(M.%20Morris%20Sr.%201%20AST)", "DUNK (7 PTS) (M. Morris Sr. 1 AST)")</f>
        <v>DUNK (7 PTS) (M. Morris Sr. 1 AST)</v>
      </c>
      <c r="L2278" s="2" t="str">
        <f>HYPERLINK("https://www.nba.com/game/...-vs-...-0022200687/play-by-play?watchFullGame=true", "LAC vs SAS - Q1 07:58.00")</f>
        <v>LAC vs SAS - Q1 07:58.00</v>
      </c>
      <c r="M2278">
        <v>0.54</v>
      </c>
      <c r="N2278">
        <v>94.17</v>
      </c>
      <c r="O2278">
        <v>49.02</v>
      </c>
      <c r="P2278">
        <v>-5</v>
      </c>
      <c r="Q2278">
        <v>2</v>
      </c>
      <c r="R2278">
        <v>94</v>
      </c>
      <c r="S2278">
        <v>49</v>
      </c>
    </row>
    <row r="2279" spans="1:19" hidden="1" x14ac:dyDescent="0.25">
      <c r="A2279">
        <v>22201162</v>
      </c>
      <c r="B2279" t="s">
        <v>18</v>
      </c>
      <c r="C2279" t="s">
        <v>87</v>
      </c>
      <c r="D2279">
        <v>44</v>
      </c>
      <c r="E2279">
        <v>36</v>
      </c>
      <c r="F2279">
        <v>8</v>
      </c>
      <c r="G2279">
        <v>2</v>
      </c>
      <c r="H2279" s="1">
        <v>4.0509259259259257E-3</v>
      </c>
      <c r="I2279">
        <v>2022</v>
      </c>
      <c r="J2279" t="s">
        <v>83</v>
      </c>
      <c r="K2279" s="2" t="str">
        <f>HYPERLINK("https://www.nba.com/stats/events?CFID=&amp;CFPARAMS=&amp;GameEventID=263&amp;GameID=0022201162&amp;Season=2022-23&amp;flag=1&amp;title=Leonard%20Layup%20(8%20PTS)%20(R.%20Westbrook%205%20AST)", "Layup (8 PTS) (R. Westbrook 5 AST)")</f>
        <v>Layup (8 PTS) (R. Westbrook 5 AST)</v>
      </c>
      <c r="L2279" s="2" t="str">
        <f>HYPERLINK("https://www.nba.com/game/...-vs-...-0022201162/play-by-play?watchFullGame=true", "LAC vs NOP - Q2 05:50.00")</f>
        <v>LAC vs NOP - Q2 05:50.00</v>
      </c>
      <c r="M2279">
        <v>1.96</v>
      </c>
      <c r="N2279">
        <v>94.56</v>
      </c>
      <c r="O2279">
        <v>46.08</v>
      </c>
      <c r="P2279">
        <v>-20</v>
      </c>
      <c r="Q2279">
        <v>-1</v>
      </c>
      <c r="R2279">
        <v>94</v>
      </c>
      <c r="S2279">
        <v>46</v>
      </c>
    </row>
    <row r="2280" spans="1:19" hidden="1" x14ac:dyDescent="0.25">
      <c r="A2280">
        <v>22300526</v>
      </c>
      <c r="B2280" t="s">
        <v>18</v>
      </c>
      <c r="C2280" t="s">
        <v>88</v>
      </c>
      <c r="D2280">
        <v>121</v>
      </c>
      <c r="E2280">
        <v>115</v>
      </c>
      <c r="F2280">
        <v>6</v>
      </c>
      <c r="G2280">
        <v>4</v>
      </c>
      <c r="H2280" s="1">
        <v>7.5231481481481482E-4</v>
      </c>
      <c r="I2280">
        <v>2023</v>
      </c>
      <c r="J2280" t="s">
        <v>83</v>
      </c>
      <c r="K2280" s="2" t="str">
        <f>HYPERLINK("https://www.nba.com/stats/events?CFID=&amp;CFPARAMS=&amp;GameEventID=595&amp;GameID=0022300526&amp;Season=2023-24&amp;flag=1&amp;title=Leonard%20driving%20DUNK%20(29%20PTS)", "Driving DUNK (29 PTS)")</f>
        <v>Driving DUNK (29 PTS)</v>
      </c>
      <c r="L2280" s="2" t="str">
        <f>HYPERLINK("https://www.nba.com/game/...-vs-...-0022300526/play-by-play?watchFullGame=true", "LAC vs TOR - Q4 01:05.00")</f>
        <v>LAC vs TOR - Q4 01:05.00</v>
      </c>
      <c r="M2280">
        <v>0.52</v>
      </c>
      <c r="N2280">
        <v>94.79</v>
      </c>
      <c r="O2280">
        <v>49.26</v>
      </c>
      <c r="P2280">
        <v>-4</v>
      </c>
      <c r="Q2280">
        <v>-4</v>
      </c>
      <c r="R2280">
        <v>94</v>
      </c>
      <c r="S2280">
        <v>49</v>
      </c>
    </row>
    <row r="2281" spans="1:19" hidden="1" x14ac:dyDescent="0.25">
      <c r="A2281">
        <v>22300037</v>
      </c>
      <c r="B2281" t="s">
        <v>18</v>
      </c>
      <c r="C2281" t="s">
        <v>88</v>
      </c>
      <c r="D2281">
        <v>57</v>
      </c>
      <c r="E2281">
        <v>53</v>
      </c>
      <c r="F2281">
        <v>4</v>
      </c>
      <c r="G2281">
        <v>3</v>
      </c>
      <c r="H2281" s="1">
        <v>6.3657407407407404E-3</v>
      </c>
      <c r="I2281">
        <v>2023</v>
      </c>
      <c r="J2281" t="s">
        <v>83</v>
      </c>
      <c r="K2281" s="2" t="str">
        <f>HYPERLINK("https://www.nba.com/stats/events?CFID=&amp;CFPARAMS=&amp;GameEventID=385&amp;GameID=0022300037&amp;Season=2023-24&amp;flag=1&amp;title=Leonard%20running%20DUNK%20(18%20PTS)%20(T.%20Mann%202%20AST)", "Running DUNK (18 PTS) (T. Mann 2 AST)")</f>
        <v>Running DUNK (18 PTS) (T. Mann 2 AST)</v>
      </c>
      <c r="L2281" s="2" t="str">
        <f>HYPERLINK("https://www.nba.com/game/...-vs-...-0022300037/play-by-play?watchFullGame=true", "LAC vs HOU - Q3 09:10.00")</f>
        <v>LAC vs HOU - Q3 09:10.00</v>
      </c>
      <c r="M2281">
        <v>0.39</v>
      </c>
      <c r="N2281">
        <v>94.53</v>
      </c>
      <c r="O2281">
        <v>49.26</v>
      </c>
      <c r="P2281">
        <v>-4</v>
      </c>
      <c r="Q2281">
        <v>-1</v>
      </c>
      <c r="R2281">
        <v>94</v>
      </c>
      <c r="S2281">
        <v>49</v>
      </c>
    </row>
    <row r="2282" spans="1:19" hidden="1" x14ac:dyDescent="0.25">
      <c r="A2282">
        <v>22300486</v>
      </c>
      <c r="B2282" t="s">
        <v>18</v>
      </c>
      <c r="C2282" t="s">
        <v>87</v>
      </c>
      <c r="D2282">
        <v>30</v>
      </c>
      <c r="E2282">
        <v>29</v>
      </c>
      <c r="F2282">
        <v>1</v>
      </c>
      <c r="G2282">
        <v>2</v>
      </c>
      <c r="H2282" s="1">
        <v>7.5462962962962966E-3</v>
      </c>
      <c r="I2282">
        <v>2023</v>
      </c>
      <c r="J2282" t="s">
        <v>83</v>
      </c>
      <c r="K2282" s="2" t="str">
        <f>HYPERLINK("https://www.nba.com/stats/events?CFID=&amp;CFPARAMS=&amp;GameEventID=160&amp;GameID=0022300486&amp;Season=2023-24&amp;flag=1&amp;title=Leonard%20Layup%20(4%20PTS)%20(R.%20Westbrook%203%20AST)", "Layup (4 PTS) (R. Westbrook 3 AST)")</f>
        <v>Layup (4 PTS) (R. Westbrook 3 AST)</v>
      </c>
      <c r="L2282" s="2" t="str">
        <f>HYPERLINK("https://www.nba.com/game/...-vs-...-0022300486/play-by-play?watchFullGame=true", "LAC vs NOP - Q2 10:52.00")</f>
        <v>LAC vs NOP - Q2 10:52.00</v>
      </c>
      <c r="M2282">
        <v>1.72</v>
      </c>
      <c r="N2282">
        <v>94.43</v>
      </c>
      <c r="O2282">
        <v>46.57</v>
      </c>
      <c r="P2282">
        <v>-17</v>
      </c>
      <c r="Q2282">
        <v>46</v>
      </c>
      <c r="R2282">
        <v>94</v>
      </c>
      <c r="S2282">
        <v>46</v>
      </c>
    </row>
    <row r="2283" spans="1:19" hidden="1" x14ac:dyDescent="0.25">
      <c r="A2283">
        <v>21900653</v>
      </c>
      <c r="B2283" t="s">
        <v>18</v>
      </c>
      <c r="C2283" t="s">
        <v>92</v>
      </c>
      <c r="D2283">
        <v>62</v>
      </c>
      <c r="E2283">
        <v>49</v>
      </c>
      <c r="F2283">
        <v>13</v>
      </c>
      <c r="G2283">
        <v>3</v>
      </c>
      <c r="H2283" s="1">
        <v>8.2407407407407412E-3</v>
      </c>
      <c r="I2283">
        <v>2019</v>
      </c>
      <c r="J2283" t="s">
        <v>83</v>
      </c>
      <c r="K2283" s="2" t="str">
        <f>HYPERLINK("https://www.nba.com/stats/events?CFID=&amp;CFPARAMS=&amp;GameEventID=386&amp;GameID=0021900653&amp;Season=2019-20&amp;flag=1&amp;title=Leonard%20dunk%20(16%20PTS)%20(L.%20Williams%202%20AST)", "Dunk (16 PTS) (L. Williams 2 AST)")</f>
        <v>Dunk (16 PTS) (L. Williams 2 AST)</v>
      </c>
      <c r="L2283" s="2" t="str">
        <f>HYPERLINK("https://www.nba.com/game/...-vs-...-0021900653/play-by-play?watchFullGame=true", "LAC vs DAL - Q3 11:52.00")</f>
        <v>LAC vs DAL - Q3 11:52.00</v>
      </c>
      <c r="M2283">
        <v>0.85</v>
      </c>
      <c r="N2283">
        <v>94.17</v>
      </c>
      <c r="O2283">
        <v>49.33</v>
      </c>
      <c r="P2283">
        <v>-3</v>
      </c>
      <c r="Q2283">
        <v>2</v>
      </c>
      <c r="R2283">
        <v>94</v>
      </c>
      <c r="S2283">
        <v>49</v>
      </c>
    </row>
    <row r="2284" spans="1:19" hidden="1" x14ac:dyDescent="0.25">
      <c r="A2284">
        <v>21900436</v>
      </c>
      <c r="B2284" t="s">
        <v>18</v>
      </c>
      <c r="C2284" t="s">
        <v>92</v>
      </c>
      <c r="D2284">
        <v>78</v>
      </c>
      <c r="E2284">
        <v>61</v>
      </c>
      <c r="F2284">
        <v>17</v>
      </c>
      <c r="G2284">
        <v>3</v>
      </c>
      <c r="H2284" s="1">
        <v>7.4305555555555557E-3</v>
      </c>
      <c r="I2284">
        <v>2019</v>
      </c>
      <c r="J2284" t="s">
        <v>83</v>
      </c>
      <c r="K2284" s="2" t="str">
        <f>HYPERLINK("https://www.nba.com/stats/events?CFID=&amp;CFPARAMS=&amp;GameEventID=342&amp;GameID=0021900436&amp;Season=2019-20&amp;flag=1&amp;title=Leonard%20dunk%20(20%20PTS)", "Dunk (20 PTS)")</f>
        <v>Dunk (20 PTS)</v>
      </c>
      <c r="L2284" s="2" t="str">
        <f>HYPERLINK("https://www.nba.com/game/...-vs-...-0021900436/play-by-play?watchFullGame=true", "LAC vs SAS - Q3 10:42.00")</f>
        <v>LAC vs SAS - Q3 10:42.00</v>
      </c>
      <c r="M2284">
        <v>0.53</v>
      </c>
      <c r="N2284">
        <v>94.56</v>
      </c>
      <c r="O2284">
        <v>49.33</v>
      </c>
      <c r="P2284">
        <v>-3</v>
      </c>
      <c r="Q2284">
        <v>-1</v>
      </c>
      <c r="R2284">
        <v>94</v>
      </c>
      <c r="S2284">
        <v>49</v>
      </c>
    </row>
    <row r="2285" spans="1:19" hidden="1" x14ac:dyDescent="0.25">
      <c r="A2285">
        <v>22300964</v>
      </c>
      <c r="B2285" t="s">
        <v>18</v>
      </c>
      <c r="C2285" t="s">
        <v>87</v>
      </c>
      <c r="D2285">
        <v>11</v>
      </c>
      <c r="E2285">
        <v>10</v>
      </c>
      <c r="F2285">
        <v>1</v>
      </c>
      <c r="G2285">
        <v>1</v>
      </c>
      <c r="H2285" s="1">
        <v>3.1365740740740742E-3</v>
      </c>
      <c r="I2285">
        <v>2023</v>
      </c>
      <c r="J2285" t="s">
        <v>83</v>
      </c>
      <c r="K2285" s="2" t="str">
        <f>HYPERLINK("https://www.nba.com/stats/events?CFID=&amp;CFPARAMS=&amp;GameEventID=86&amp;GameID=0022300964&amp;Season=2023-24&amp;flag=1&amp;title=Leonard%20driving%20Layup%20(7%20PTS)%20(A.%20Coffey%201%20AST)", "Driving Layup (7 PTS) (A. Coffey 1 AST)")</f>
        <v>Driving Layup (7 PTS) (A. Coffey 1 AST)</v>
      </c>
      <c r="L2285" s="2" t="str">
        <f>HYPERLINK("https://www.nba.com/game/...-vs-...-0022300964/play-by-play?watchFullGame=true", "LAC vs NOP - Q1 04:31.00")</f>
        <v>LAC vs NOP - Q1 04:31.00</v>
      </c>
      <c r="M2285">
        <v>1.6</v>
      </c>
      <c r="N2285">
        <v>94.56</v>
      </c>
      <c r="O2285">
        <v>53.19</v>
      </c>
      <c r="P2285">
        <v>16</v>
      </c>
      <c r="Q2285">
        <v>-1</v>
      </c>
      <c r="R2285">
        <v>94</v>
      </c>
      <c r="S2285">
        <v>53</v>
      </c>
    </row>
    <row r="2286" spans="1:19" hidden="1" x14ac:dyDescent="0.25">
      <c r="A2286">
        <v>22000675</v>
      </c>
      <c r="B2286" t="s">
        <v>18</v>
      </c>
      <c r="C2286" t="s">
        <v>88</v>
      </c>
      <c r="D2286">
        <v>74</v>
      </c>
      <c r="E2286">
        <v>59</v>
      </c>
      <c r="F2286">
        <v>15</v>
      </c>
      <c r="G2286">
        <v>3</v>
      </c>
      <c r="H2286" s="1">
        <v>6.6319444444444446E-3</v>
      </c>
      <c r="I2286">
        <v>2020</v>
      </c>
      <c r="J2286" t="s">
        <v>83</v>
      </c>
      <c r="K2286" s="2" t="str">
        <f>HYPERLINK("https://www.nba.com/stats/events?CFID=&amp;CFPARAMS=&amp;GameEventID=361&amp;GameID=0022000675&amp;Season=2020-21&amp;flag=1&amp;title=Leonard%20driving%20DUNK%20(18%20PTS)", "Driving DUNK (18 PTS)")</f>
        <v>Driving DUNK (18 PTS)</v>
      </c>
      <c r="L2286" s="2" t="str">
        <f>HYPERLINK("https://www.nba.com/game/...-vs-...-0022000675/play-by-play?watchFullGame=true", "LAC vs SAS - Q3 09:33.00")</f>
        <v>LAC vs SAS - Q3 09:33.00</v>
      </c>
      <c r="M2286">
        <v>0.48</v>
      </c>
      <c r="N2286">
        <v>94.04</v>
      </c>
      <c r="O2286">
        <v>49.33</v>
      </c>
      <c r="P2286">
        <v>-3</v>
      </c>
      <c r="Q2286">
        <v>4</v>
      </c>
      <c r="R2286">
        <v>94</v>
      </c>
      <c r="S2286">
        <v>49</v>
      </c>
    </row>
    <row r="2287" spans="1:19" hidden="1" x14ac:dyDescent="0.25">
      <c r="A2287">
        <v>22300807</v>
      </c>
      <c r="B2287" t="s">
        <v>18</v>
      </c>
      <c r="C2287" t="s">
        <v>88</v>
      </c>
      <c r="D2287">
        <v>94</v>
      </c>
      <c r="E2287">
        <v>93</v>
      </c>
      <c r="F2287">
        <v>1</v>
      </c>
      <c r="G2287">
        <v>4</v>
      </c>
      <c r="H2287" s="1">
        <v>1.0995370370370371E-3</v>
      </c>
      <c r="I2287">
        <v>2023</v>
      </c>
      <c r="J2287" t="s">
        <v>83</v>
      </c>
      <c r="K2287" s="2" t="str">
        <f>HYPERLINK("https://www.nba.com/stats/events?CFID=&amp;CFPARAMS=&amp;GameEventID=620&amp;GameID=0022300807&amp;Season=2023-24&amp;flag=1&amp;title=Leonard%20running%20DUNK%20(22%20PTS)", "Running DUNK (22 PTS)")</f>
        <v>Running DUNK (22 PTS)</v>
      </c>
      <c r="L2287" s="2" t="str">
        <f>HYPERLINK("https://www.nba.com/game/...-vs-...-0022300807/play-by-play?watchFullGame=true", "LAC vs MEM - Q4 01:35.00")</f>
        <v>LAC vs MEM - Q4 01:35.00</v>
      </c>
      <c r="M2287">
        <v>0.43</v>
      </c>
      <c r="N2287">
        <v>94.04</v>
      </c>
      <c r="O2287">
        <v>49.51</v>
      </c>
      <c r="P2287">
        <v>-2</v>
      </c>
      <c r="Q2287">
        <v>4</v>
      </c>
      <c r="R2287">
        <v>94</v>
      </c>
      <c r="S2287">
        <v>49</v>
      </c>
    </row>
    <row r="2288" spans="1:19" hidden="1" x14ac:dyDescent="0.25">
      <c r="A2288">
        <v>22200668</v>
      </c>
      <c r="B2288" t="s">
        <v>18</v>
      </c>
      <c r="C2288" t="s">
        <v>88</v>
      </c>
      <c r="D2288">
        <v>52</v>
      </c>
      <c r="E2288">
        <v>60</v>
      </c>
      <c r="F2288">
        <v>8</v>
      </c>
      <c r="G2288">
        <v>2</v>
      </c>
      <c r="H2288" s="1">
        <v>1.076388888888889E-4</v>
      </c>
      <c r="I2288">
        <v>2022</v>
      </c>
      <c r="J2288" t="s">
        <v>83</v>
      </c>
      <c r="K2288" s="2" t="str">
        <f>HYPERLINK("https://www.nba.com/stats/events?CFID=&amp;CFPARAMS=&amp;GameEventID=310&amp;GameID=0022200668&amp;Season=2022-23&amp;flag=1&amp;title=Leonard%20running%20DUNK%20(13%20PTS)", "Running DUNK (13 PTS)")</f>
        <v>Running DUNK (13 PTS)</v>
      </c>
      <c r="L2288" s="2" t="str">
        <f>HYPERLINK("https://www.nba.com/game/...-vs-...-0022200668/play-by-play?watchFullGame=true", "LAC vs PHI - Q2 00:09.30")</f>
        <v>LAC vs PHI - Q2 00:09.30</v>
      </c>
      <c r="M2288">
        <v>0.28999999999999998</v>
      </c>
      <c r="N2288">
        <v>94.27</v>
      </c>
      <c r="O2288">
        <v>49.51</v>
      </c>
      <c r="P2288">
        <v>-2</v>
      </c>
      <c r="Q2288">
        <v>1</v>
      </c>
      <c r="R2288">
        <v>94</v>
      </c>
      <c r="S2288">
        <v>49</v>
      </c>
    </row>
    <row r="2289" spans="1:19" hidden="1" x14ac:dyDescent="0.25">
      <c r="A2289">
        <v>21901258</v>
      </c>
      <c r="B2289" t="s">
        <v>18</v>
      </c>
      <c r="C2289" t="s">
        <v>90</v>
      </c>
      <c r="D2289">
        <v>107</v>
      </c>
      <c r="E2289">
        <v>111</v>
      </c>
      <c r="F2289">
        <v>4</v>
      </c>
      <c r="G2289">
        <v>4</v>
      </c>
      <c r="H2289" s="1">
        <v>2.1180555555555558E-3</v>
      </c>
      <c r="I2289">
        <v>2019</v>
      </c>
      <c r="J2289" t="s">
        <v>83</v>
      </c>
      <c r="K2289" s="2" t="str">
        <f>HYPERLINK("https://www.nba.com/stats/events?CFID=&amp;CFPARAMS=&amp;GameEventID=565&amp;GameID=0021901258&amp;Season=2019-20&amp;flag=1&amp;title=Leonard%20layup%20(21%20PTS)%20(P.%20George%205%20AST)", "Layup (21 PTS) (P. George 5 AST)")</f>
        <v>Layup (21 PTS) (P. George 5 AST)</v>
      </c>
      <c r="L2289" s="2" t="str">
        <f>HYPERLINK("https://www.nba.com/game/...-vs-...-0021901258/play-by-play?watchFullGame=true", "LAC vs PHX - Q4 03:03.00")</f>
        <v>LAC vs PHX - Q4 03:03.00</v>
      </c>
      <c r="M2289">
        <v>1.4</v>
      </c>
      <c r="N2289">
        <v>94.04</v>
      </c>
      <c r="O2289">
        <v>47.86</v>
      </c>
      <c r="P2289">
        <v>-11</v>
      </c>
      <c r="Q2289">
        <v>4</v>
      </c>
      <c r="R2289">
        <v>94</v>
      </c>
      <c r="S2289">
        <v>47</v>
      </c>
    </row>
    <row r="2290" spans="1:19" hidden="1" x14ac:dyDescent="0.25">
      <c r="A2290">
        <v>22200687</v>
      </c>
      <c r="B2290" t="s">
        <v>18</v>
      </c>
      <c r="C2290" t="s">
        <v>88</v>
      </c>
      <c r="D2290">
        <v>51</v>
      </c>
      <c r="E2290">
        <v>54</v>
      </c>
      <c r="F2290">
        <v>3</v>
      </c>
      <c r="G2290">
        <v>2</v>
      </c>
      <c r="H2290" s="1">
        <v>4.2592592592592595E-3</v>
      </c>
      <c r="I2290">
        <v>2022</v>
      </c>
      <c r="J2290" t="s">
        <v>83</v>
      </c>
      <c r="K2290" s="2" t="str">
        <f>HYPERLINK("https://www.nba.com/stats/events?CFID=&amp;CFPARAMS=&amp;GameEventID=203&amp;GameID=0022200687&amp;Season=2022-23&amp;flag=1&amp;title=Leonard%20driving%20DUNK%20(11%20PTS)", "Driving DUNK (11 PTS)")</f>
        <v>Driving DUNK (11 PTS)</v>
      </c>
      <c r="L2290" s="2" t="str">
        <f>HYPERLINK("https://www.nba.com/game/...-vs-...-0022200687/play-by-play?watchFullGame=true", "LAC vs SAS - Q2 06:08.00")</f>
        <v>LAC vs SAS - Q2 06:08.00</v>
      </c>
      <c r="M2290">
        <v>0.18</v>
      </c>
      <c r="N2290">
        <v>94.56</v>
      </c>
      <c r="O2290">
        <v>49.75</v>
      </c>
      <c r="P2290">
        <v>-1</v>
      </c>
      <c r="Q2290">
        <v>-1</v>
      </c>
      <c r="R2290">
        <v>94</v>
      </c>
      <c r="S2290">
        <v>49</v>
      </c>
    </row>
    <row r="2291" spans="1:19" hidden="1" x14ac:dyDescent="0.25">
      <c r="A2291">
        <v>21900436</v>
      </c>
      <c r="B2291" t="s">
        <v>18</v>
      </c>
      <c r="C2291" t="s">
        <v>90</v>
      </c>
      <c r="D2291">
        <v>85</v>
      </c>
      <c r="E2291">
        <v>68</v>
      </c>
      <c r="F2291">
        <v>17</v>
      </c>
      <c r="G2291">
        <v>3</v>
      </c>
      <c r="H2291" s="1">
        <v>5.162037037037037E-3</v>
      </c>
      <c r="I2291">
        <v>2019</v>
      </c>
      <c r="J2291" t="s">
        <v>83</v>
      </c>
      <c r="K2291" s="2" t="str">
        <f>HYPERLINK("https://www.nba.com/stats/events?CFID=&amp;CFPARAMS=&amp;GameEventID=386&amp;GameID=0021900436&amp;Season=2019-20&amp;flag=1&amp;title=Leonard%20layup%20(22%20PTS)%20(P.%20Beverley%206%20AST)", "Layup (22 PTS) (P. Beverley 6 AST)")</f>
        <v>Layup (22 PTS) (P. Beverley 6 AST)</v>
      </c>
      <c r="L2291" s="2" t="str">
        <f>HYPERLINK("https://www.nba.com/game/...-vs-...-0021900436/play-by-play?watchFullGame=true", "LAC vs SAS - Q3 07:26.00")</f>
        <v>LAC vs SAS - Q3 07:26.00</v>
      </c>
      <c r="M2291">
        <v>1.27</v>
      </c>
      <c r="N2291">
        <v>94.04</v>
      </c>
      <c r="O2291">
        <v>51.78</v>
      </c>
      <c r="P2291">
        <v>9</v>
      </c>
      <c r="Q2291">
        <v>4</v>
      </c>
      <c r="R2291">
        <v>94</v>
      </c>
      <c r="S2291">
        <v>51</v>
      </c>
    </row>
    <row r="2292" spans="1:19" hidden="1" x14ac:dyDescent="0.25">
      <c r="A2292">
        <v>22001047</v>
      </c>
      <c r="B2292" t="s">
        <v>18</v>
      </c>
      <c r="C2292" t="s">
        <v>87</v>
      </c>
      <c r="D2292">
        <v>75</v>
      </c>
      <c r="E2292">
        <v>71</v>
      </c>
      <c r="F2292">
        <v>4</v>
      </c>
      <c r="G2292">
        <v>3</v>
      </c>
      <c r="H2292" s="1">
        <v>1.5972222222222223E-3</v>
      </c>
      <c r="I2292">
        <v>2020</v>
      </c>
      <c r="J2292" t="s">
        <v>83</v>
      </c>
      <c r="K2292" s="2" t="str">
        <f>HYPERLINK("https://www.nba.com/stats/events?CFID=&amp;CFPARAMS=&amp;GameEventID=406&amp;GameID=0022001047&amp;Season=2020-21&amp;flag=1&amp;title=Leonard%20cutting%20Layup%20(15%20PTS)%20(R.%20Rondo%202%20AST)", "Cutting Layup (15 PTS) (R. Rondo 2 AST)")</f>
        <v>Cutting Layup (15 PTS) (R. Rondo 2 AST)</v>
      </c>
      <c r="L2292" s="2" t="str">
        <f>HYPERLINK("https://www.nba.com/game/...-vs-...-0022001047/play-by-play?watchFullGame=true", "LAC vs CHA - Q3 02:18.00")</f>
        <v>LAC vs CHA - Q3 02:18.00</v>
      </c>
      <c r="M2292">
        <v>1.26</v>
      </c>
      <c r="N2292">
        <v>94.43</v>
      </c>
      <c r="O2292">
        <v>52.52</v>
      </c>
      <c r="P2292">
        <v>13</v>
      </c>
      <c r="Q2292">
        <v>52</v>
      </c>
      <c r="R2292">
        <v>94</v>
      </c>
      <c r="S2292">
        <v>52</v>
      </c>
    </row>
    <row r="2293" spans="1:19" hidden="1" x14ac:dyDescent="0.25">
      <c r="A2293">
        <v>41900156</v>
      </c>
      <c r="B2293" t="s">
        <v>18</v>
      </c>
      <c r="C2293" t="s">
        <v>90</v>
      </c>
      <c r="D2293">
        <v>71</v>
      </c>
      <c r="E2293">
        <v>54</v>
      </c>
      <c r="F2293">
        <v>17</v>
      </c>
      <c r="G2293">
        <v>3</v>
      </c>
      <c r="H2293" s="1">
        <v>5.0578703703703706E-3</v>
      </c>
      <c r="I2293" t="s">
        <v>86</v>
      </c>
      <c r="J2293" t="s">
        <v>83</v>
      </c>
      <c r="K2293" s="2" t="str">
        <f>HYPERLINK("https://www.nba.com/stats/events?CFID=&amp;CFPARAMS=&amp;GameEventID=379&amp;GameID=0041900156&amp;Season=2019-20&amp;flag=1&amp;title=Leonard%20layup%20(18%20PTS)", "Layup (18 PTS)")</f>
        <v>Layup (18 PTS)</v>
      </c>
      <c r="L2293" s="2" t="str">
        <f>HYPERLINK("https://www.nba.com/game/...-vs-...-0041900156/play-by-play?watchFullGame=true", "LAC vs DAL - Q3 07:17.00")</f>
        <v>LAC vs DAL - Q3 07:17.00</v>
      </c>
      <c r="M2293">
        <v>1.1499999999999999</v>
      </c>
      <c r="N2293">
        <v>94.83</v>
      </c>
      <c r="O2293">
        <v>52.27</v>
      </c>
      <c r="P2293">
        <v>11</v>
      </c>
      <c r="Q2293">
        <v>-4</v>
      </c>
      <c r="R2293">
        <v>94</v>
      </c>
      <c r="S2293">
        <v>52</v>
      </c>
    </row>
    <row r="2294" spans="1:19" hidden="1" x14ac:dyDescent="0.25">
      <c r="A2294">
        <v>41900231</v>
      </c>
      <c r="B2294" t="s">
        <v>18</v>
      </c>
      <c r="C2294" t="s">
        <v>90</v>
      </c>
      <c r="D2294">
        <v>31</v>
      </c>
      <c r="E2294">
        <v>29</v>
      </c>
      <c r="F2294">
        <v>2</v>
      </c>
      <c r="G2294">
        <v>1</v>
      </c>
      <c r="H2294" s="1">
        <v>4.6643518518518513E-4</v>
      </c>
      <c r="I2294" t="s">
        <v>85</v>
      </c>
      <c r="J2294" t="s">
        <v>83</v>
      </c>
      <c r="K2294" s="2" t="str">
        <f>HYPERLINK("https://www.nba.com/stats/events?CFID=&amp;CFPARAMS=&amp;GameEventID=124&amp;GameID=0041900231&amp;Season=2019-20&amp;flag=1&amp;title=Leonard%20layup%20(10%20PTS)%20(L.%20Williams%201%20AST)", "Layup (10 PTS) (L. Williams 1 AST)")</f>
        <v>Layup (10 PTS) (L. Williams 1 AST)</v>
      </c>
      <c r="L2294" s="2" t="str">
        <f>HYPERLINK("https://www.nba.com/game/...-vs-...-0041900231/play-by-play?watchFullGame=true", "LAC vs DEN - Q1 00:40.30")</f>
        <v>LAC vs DEN - Q1 00:40.30</v>
      </c>
      <c r="M2294">
        <v>0.84</v>
      </c>
      <c r="N2294">
        <v>94.3</v>
      </c>
      <c r="O2294">
        <v>51.05</v>
      </c>
      <c r="P2294">
        <v>5</v>
      </c>
      <c r="Q2294">
        <v>1</v>
      </c>
      <c r="R2294">
        <v>94</v>
      </c>
      <c r="S2294">
        <v>51</v>
      </c>
    </row>
    <row r="2295" spans="1:19" hidden="1" x14ac:dyDescent="0.25">
      <c r="A2295">
        <v>21900359</v>
      </c>
      <c r="B2295" t="s">
        <v>18</v>
      </c>
      <c r="C2295" t="s">
        <v>84</v>
      </c>
      <c r="D2295">
        <v>102</v>
      </c>
      <c r="E2295">
        <v>82</v>
      </c>
      <c r="F2295">
        <v>20</v>
      </c>
      <c r="G2295">
        <v>4</v>
      </c>
      <c r="H2295" s="1">
        <v>3.7962962962962963E-3</v>
      </c>
      <c r="I2295">
        <v>2019</v>
      </c>
      <c r="J2295" t="s">
        <v>83</v>
      </c>
      <c r="K2295" s="2" t="str">
        <f>HYPERLINK("https://www.nba.com/stats/events?CFID=&amp;CFPARAMS=&amp;GameEventID=651&amp;GameID=0021900359&amp;Season=2019-20&amp;flag=1&amp;title=Leonard%20jumpshot%20(20%20PTS)%20(L.%20Williams%208%20AST)", "Jumpshot (20 PTS) (L. Williams 8 AST)")</f>
        <v>Jumpshot (20 PTS) (L. Williams 8 AST)</v>
      </c>
      <c r="L2295" s="2" t="str">
        <f>HYPERLINK("https://www.nba.com/game/...-vs-...-0021900359/play-by-play?watchFullGame=true", "LAC vs TOR - Q4 05:28.00")</f>
        <v>LAC vs TOR - Q4 05:28.00</v>
      </c>
      <c r="M2295">
        <v>0.8</v>
      </c>
      <c r="N2295">
        <v>94.17</v>
      </c>
      <c r="O2295">
        <v>50.31</v>
      </c>
      <c r="P2295">
        <v>2</v>
      </c>
      <c r="Q2295">
        <v>2</v>
      </c>
      <c r="R2295">
        <v>94</v>
      </c>
      <c r="S2295">
        <v>50</v>
      </c>
    </row>
    <row r="2296" spans="1:19" hidden="1" x14ac:dyDescent="0.25">
      <c r="A2296">
        <v>42000173</v>
      </c>
      <c r="B2296" t="s">
        <v>18</v>
      </c>
      <c r="C2296" t="s">
        <v>87</v>
      </c>
      <c r="D2296">
        <v>55</v>
      </c>
      <c r="E2296">
        <v>52</v>
      </c>
      <c r="F2296">
        <v>3</v>
      </c>
      <c r="G2296">
        <v>2</v>
      </c>
      <c r="H2296" s="1">
        <v>2.8124999999999999E-3</v>
      </c>
      <c r="I2296" t="s">
        <v>91</v>
      </c>
      <c r="J2296" t="s">
        <v>83</v>
      </c>
      <c r="K2296" s="2" t="str">
        <f>HYPERLINK("https://www.nba.com/stats/events?CFID=&amp;CFPARAMS=&amp;GameEventID=243&amp;GameID=0042000173&amp;Season=2020-21&amp;flag=1&amp;title=Leonard%20driving%20Layup%20(18%20PTS)%20(T.%20Mann%202%20AST)", "Driving Layup (18 PTS) (T. Mann 2 AST)")</f>
        <v>Driving Layup (18 PTS) (T. Mann 2 AST)</v>
      </c>
      <c r="L2296" s="2" t="str">
        <f>HYPERLINK("https://www.nba.com/game/...-vs-...-0042000173/play-by-play?watchFullGame=true", "LAC vs DAL - Q2 04:03.00")</f>
        <v>LAC vs DAL - Q2 04:03.00</v>
      </c>
      <c r="M2296">
        <v>0.63</v>
      </c>
      <c r="N2296">
        <v>94.04</v>
      </c>
      <c r="O2296">
        <v>51.05</v>
      </c>
      <c r="P2296">
        <v>94</v>
      </c>
      <c r="Q2296">
        <v>51</v>
      </c>
      <c r="R2296">
        <v>94</v>
      </c>
      <c r="S2296">
        <v>51</v>
      </c>
    </row>
    <row r="2297" spans="1:19" hidden="1" x14ac:dyDescent="0.25">
      <c r="A2297">
        <v>42000174</v>
      </c>
      <c r="B2297" t="s">
        <v>18</v>
      </c>
      <c r="C2297" t="s">
        <v>87</v>
      </c>
      <c r="D2297">
        <v>21</v>
      </c>
      <c r="E2297">
        <v>16</v>
      </c>
      <c r="F2297">
        <v>5</v>
      </c>
      <c r="G2297">
        <v>1</v>
      </c>
      <c r="H2297" s="1">
        <v>2.6157407407407405E-3</v>
      </c>
      <c r="I2297" t="s">
        <v>91</v>
      </c>
      <c r="J2297" t="s">
        <v>83</v>
      </c>
      <c r="K2297" s="2" t="str">
        <f>HYPERLINK("https://www.nba.com/stats/events?CFID=&amp;CFPARAMS=&amp;GameEventID=119&amp;GameID=0042000174&amp;Season=2020-21&amp;flag=1&amp;title=Leonard%20running%20Layup%20(8%20PTS)", "Running Layup (8 PTS)")</f>
        <v>Running Layup (8 PTS)</v>
      </c>
      <c r="L2297" s="2" t="str">
        <f>HYPERLINK("https://www.nba.com/game/...-vs-...-0042000174/play-by-play?watchFullGame=true", "LAC vs DAL - Q1 03:46.00")</f>
        <v>LAC vs DAL - Q1 03:46.00</v>
      </c>
      <c r="M2297">
        <v>0.62</v>
      </c>
      <c r="N2297">
        <v>94.17</v>
      </c>
      <c r="O2297">
        <v>48.84</v>
      </c>
      <c r="P2297">
        <v>94</v>
      </c>
      <c r="Q2297">
        <v>48</v>
      </c>
      <c r="R2297">
        <v>94</v>
      </c>
      <c r="S2297">
        <v>48</v>
      </c>
    </row>
    <row r="2298" spans="1:19" hidden="1" x14ac:dyDescent="0.25">
      <c r="A2298">
        <v>42000173</v>
      </c>
      <c r="B2298" t="s">
        <v>18</v>
      </c>
      <c r="C2298" t="s">
        <v>87</v>
      </c>
      <c r="D2298">
        <v>15</v>
      </c>
      <c r="E2298">
        <v>30</v>
      </c>
      <c r="F2298">
        <v>15</v>
      </c>
      <c r="G2298">
        <v>1</v>
      </c>
      <c r="H2298" s="1">
        <v>2.7083333333333334E-3</v>
      </c>
      <c r="I2298" t="s">
        <v>91</v>
      </c>
      <c r="J2298" t="s">
        <v>83</v>
      </c>
      <c r="K2298" s="2" t="str">
        <f>HYPERLINK("https://www.nba.com/stats/events?CFID=&amp;CFPARAMS=&amp;GameEventID=92&amp;GameID=0042000173&amp;Season=2020-21&amp;flag=1&amp;title=Leonard%20driving%20reverse%20Layup%20(4%20PTS)", "Driving reverse Layup (4 PTS)")</f>
        <v>Driving reverse Layup (4 PTS)</v>
      </c>
      <c r="L2298" s="2" t="str">
        <f>HYPERLINK("https://www.nba.com/game/...-vs-...-0042000173/play-by-play?watchFullGame=true", "LAC vs DAL - Q1 03:54.00")</f>
        <v>LAC vs DAL - Q1 03:54.00</v>
      </c>
      <c r="M2298">
        <v>0.62</v>
      </c>
      <c r="N2298">
        <v>94.17</v>
      </c>
      <c r="O2298">
        <v>48.84</v>
      </c>
      <c r="P2298">
        <v>94</v>
      </c>
      <c r="Q2298">
        <v>48</v>
      </c>
      <c r="R2298">
        <v>94</v>
      </c>
      <c r="S2298">
        <v>48</v>
      </c>
    </row>
    <row r="2299" spans="1:19" hidden="1" x14ac:dyDescent="0.25">
      <c r="A2299">
        <v>22201069</v>
      </c>
      <c r="B2299" t="s">
        <v>18</v>
      </c>
      <c r="C2299" t="s">
        <v>87</v>
      </c>
      <c r="D2299">
        <v>20</v>
      </c>
      <c r="E2299">
        <v>15</v>
      </c>
      <c r="F2299">
        <v>5</v>
      </c>
      <c r="G2299">
        <v>1</v>
      </c>
      <c r="H2299" s="1">
        <v>3.7962962962962963E-3</v>
      </c>
      <c r="I2299">
        <v>2022</v>
      </c>
      <c r="J2299" t="s">
        <v>83</v>
      </c>
      <c r="K2299" s="2" t="str">
        <f>HYPERLINK("https://www.nba.com/stats/events?CFID=&amp;CFPARAMS=&amp;GameEventID=71&amp;GameID=0022201069&amp;Season=2022-23&amp;flag=1&amp;title=Leonard%20driving%20Layup%20(6%20PTS)", "Driving Layup (6 PTS)")</f>
        <v>Driving Layup (6 PTS)</v>
      </c>
      <c r="L2299" s="2" t="str">
        <f>HYPERLINK("https://www.nba.com/game/...-vs-...-0022201069/play-by-play?watchFullGame=true", "LAC vs POR - Q1 05:28.00")</f>
        <v>LAC vs POR - Q1 05:28.00</v>
      </c>
      <c r="M2299">
        <v>0.62</v>
      </c>
      <c r="N2299">
        <v>94.3</v>
      </c>
      <c r="O2299">
        <v>51.23</v>
      </c>
      <c r="P2299">
        <v>6</v>
      </c>
      <c r="Q2299">
        <v>1</v>
      </c>
      <c r="R2299">
        <v>94</v>
      </c>
      <c r="S2299">
        <v>51</v>
      </c>
    </row>
    <row r="2300" spans="1:19" hidden="1" x14ac:dyDescent="0.25">
      <c r="A2300">
        <v>22300280</v>
      </c>
      <c r="B2300" t="s">
        <v>18</v>
      </c>
      <c r="C2300" t="s">
        <v>87</v>
      </c>
      <c r="D2300">
        <v>110</v>
      </c>
      <c r="E2300">
        <v>112</v>
      </c>
      <c r="F2300">
        <v>2</v>
      </c>
      <c r="G2300">
        <v>4</v>
      </c>
      <c r="H2300" s="1">
        <v>4.1087962962962964E-4</v>
      </c>
      <c r="I2300">
        <v>2023</v>
      </c>
      <c r="J2300" t="s">
        <v>83</v>
      </c>
      <c r="K2300" s="2" t="str">
        <f>HYPERLINK("https://www.nba.com/stats/events?CFID=&amp;CFPARAMS=&amp;GameEventID=646&amp;GameID=0022300280&amp;Season=2023-24&amp;flag=1&amp;title=Leonard%20reverse%20Layup%20(20%20PTS)%20(P.%20George%206%20AST)", "Reverse Layup (20 PTS) (P. George 6 AST)")</f>
        <v>Reverse Layup (20 PTS) (P. George 6 AST)</v>
      </c>
      <c r="L2300" s="2" t="str">
        <f>HYPERLINK("https://www.nba.com/game/...-vs-...-0022300280/play-by-play?watchFullGame=true", "LAC vs GSW - Q4 00:35.50")</f>
        <v>LAC vs GSW - Q4 00:35.50</v>
      </c>
      <c r="M2300">
        <v>0.61</v>
      </c>
      <c r="N2300">
        <v>94.92</v>
      </c>
      <c r="O2300">
        <v>50.74</v>
      </c>
      <c r="P2300">
        <v>4</v>
      </c>
      <c r="Q2300">
        <v>-5</v>
      </c>
      <c r="R2300">
        <v>94</v>
      </c>
      <c r="S2300">
        <v>50</v>
      </c>
    </row>
    <row r="2301" spans="1:19" hidden="1" x14ac:dyDescent="0.25">
      <c r="A2301">
        <v>41900234</v>
      </c>
      <c r="B2301" t="s">
        <v>18</v>
      </c>
      <c r="C2301" t="s">
        <v>90</v>
      </c>
      <c r="D2301">
        <v>88</v>
      </c>
      <c r="E2301">
        <v>69</v>
      </c>
      <c r="F2301">
        <v>19</v>
      </c>
      <c r="G2301">
        <v>4</v>
      </c>
      <c r="H2301" s="1">
        <v>3.9814814814814817E-3</v>
      </c>
      <c r="I2301" t="s">
        <v>85</v>
      </c>
      <c r="J2301" t="s">
        <v>83</v>
      </c>
      <c r="K2301" s="2" t="str">
        <f>HYPERLINK("https://www.nba.com/stats/events?CFID=&amp;CFPARAMS=&amp;GameEventID=589&amp;GameID=0041900234&amp;Season=2019-20&amp;flag=1&amp;title=Leonard%20layup%20(28%20PTS)", "Layup (28 PTS)")</f>
        <v>Layup (28 PTS)</v>
      </c>
      <c r="L2301" s="2" t="str">
        <f>HYPERLINK("https://www.nba.com/game/...-vs-...-0041900234/play-by-play?watchFullGame=true", "LAC vs DEN - Q4 05:44.00")</f>
        <v>LAC vs DEN - Q4 05:44.00</v>
      </c>
      <c r="M2301">
        <v>0.56999999999999995</v>
      </c>
      <c r="N2301">
        <v>94.56</v>
      </c>
      <c r="O2301">
        <v>50.8</v>
      </c>
      <c r="P2301">
        <v>4</v>
      </c>
      <c r="Q2301">
        <v>-1</v>
      </c>
      <c r="R2301">
        <v>94</v>
      </c>
      <c r="S2301">
        <v>50</v>
      </c>
    </row>
    <row r="2302" spans="1:19" hidden="1" x14ac:dyDescent="0.25">
      <c r="A2302">
        <v>42000174</v>
      </c>
      <c r="B2302" t="s">
        <v>18</v>
      </c>
      <c r="C2302" t="s">
        <v>87</v>
      </c>
      <c r="D2302">
        <v>9</v>
      </c>
      <c r="E2302">
        <v>6</v>
      </c>
      <c r="F2302">
        <v>3</v>
      </c>
      <c r="G2302">
        <v>1</v>
      </c>
      <c r="H2302" s="1">
        <v>5.9837962962962961E-3</v>
      </c>
      <c r="I2302" t="s">
        <v>91</v>
      </c>
      <c r="J2302" t="s">
        <v>83</v>
      </c>
      <c r="K2302" s="2" t="str">
        <f>HYPERLINK("https://www.nba.com/stats/events?CFID=&amp;CFPARAMS=&amp;GameEventID=36&amp;GameID=0042000174&amp;Season=2020-21&amp;flag=1&amp;title=Leonard%20driving%20Layup%20(4%20PTS)%20(M.%20Morris%20Sr.%201%20AST)", "Driving Layup (4 PTS) (M. Morris Sr. 1 AST)")</f>
        <v>Driving Layup (4 PTS) (M. Morris Sr. 1 AST)</v>
      </c>
      <c r="L2302" s="2" t="str">
        <f>HYPERLINK("https://www.nba.com/game/...-vs-...-0042000174/play-by-play?watchFullGame=true", "LAC vs DAL - Q1 08:37.00")</f>
        <v>LAC vs DAL - Q1 08:37.00</v>
      </c>
      <c r="M2302">
        <v>0.53</v>
      </c>
      <c r="N2302">
        <v>94.04</v>
      </c>
      <c r="O2302">
        <v>50.8</v>
      </c>
      <c r="P2302">
        <v>94</v>
      </c>
      <c r="Q2302">
        <v>50</v>
      </c>
      <c r="R2302">
        <v>94</v>
      </c>
      <c r="S2302">
        <v>50</v>
      </c>
    </row>
    <row r="2303" spans="1:19" hidden="1" x14ac:dyDescent="0.25">
      <c r="A2303">
        <v>22200795</v>
      </c>
      <c r="B2303" t="s">
        <v>18</v>
      </c>
      <c r="C2303" t="s">
        <v>87</v>
      </c>
      <c r="D2303">
        <v>20</v>
      </c>
      <c r="E2303">
        <v>16</v>
      </c>
      <c r="F2303">
        <v>4</v>
      </c>
      <c r="G2303">
        <v>1</v>
      </c>
      <c r="H2303" s="1">
        <v>4.43287037037037E-3</v>
      </c>
      <c r="I2303">
        <v>2022</v>
      </c>
      <c r="J2303" t="s">
        <v>83</v>
      </c>
      <c r="K2303" s="2" t="str">
        <f>HYPERLINK("https://www.nba.com/stats/events?CFID=&amp;CFPARAMS=&amp;GameEventID=52&amp;GameID=0022200795&amp;Season=2022-23&amp;flag=1&amp;title=Leonard%20putback%20Layup%20(4%20PTS)", "Putback Layup (4 PTS)")</f>
        <v>Putback Layup (4 PTS)</v>
      </c>
      <c r="L2303" s="2" t="str">
        <f>HYPERLINK("https://www.nba.com/game/...-vs-...-0022200795/play-by-play?watchFullGame=true", "LAC vs NYK - Q1 06:23.00")</f>
        <v>LAC vs NYK - Q1 06:23.00</v>
      </c>
      <c r="M2303">
        <v>0.51</v>
      </c>
      <c r="N2303">
        <v>94.04</v>
      </c>
      <c r="O2303">
        <v>49.26</v>
      </c>
      <c r="P2303">
        <v>-4</v>
      </c>
      <c r="Q2303">
        <v>4</v>
      </c>
      <c r="R2303">
        <v>94</v>
      </c>
      <c r="S2303">
        <v>49</v>
      </c>
    </row>
    <row r="2304" spans="1:19" hidden="1" x14ac:dyDescent="0.25">
      <c r="A2304">
        <v>22300526</v>
      </c>
      <c r="B2304" t="s">
        <v>18</v>
      </c>
      <c r="C2304" t="s">
        <v>87</v>
      </c>
      <c r="D2304">
        <v>76</v>
      </c>
      <c r="E2304">
        <v>75</v>
      </c>
      <c r="F2304">
        <v>1</v>
      </c>
      <c r="G2304">
        <v>3</v>
      </c>
      <c r="H2304" s="1">
        <v>4.43287037037037E-3</v>
      </c>
      <c r="I2304">
        <v>2023</v>
      </c>
      <c r="J2304" t="s">
        <v>83</v>
      </c>
      <c r="K2304" s="2" t="str">
        <f>HYPERLINK("https://www.nba.com/stats/events?CFID=&amp;CFPARAMS=&amp;GameEventID=357&amp;GameID=0022300526&amp;Season=2023-24&amp;flag=1&amp;title=Leonard%20alley-oop%20Layup%20(18%20PTS)%20(J.%20Harden%208%20AST)", "Alley-oop Layup (18 PTS) (J. Harden 8 AST)")</f>
        <v>Alley-oop Layup (18 PTS) (J. Harden 8 AST)</v>
      </c>
      <c r="L2304" s="2" t="str">
        <f>HYPERLINK("https://www.nba.com/game/...-vs-...-0022300526/play-by-play?watchFullGame=true", "LAC vs TOR - Q3 06:23.00")</f>
        <v>LAC vs TOR - Q3 06:23.00</v>
      </c>
      <c r="M2304">
        <v>0.5</v>
      </c>
      <c r="N2304">
        <v>94.53</v>
      </c>
      <c r="O2304">
        <v>50.98</v>
      </c>
      <c r="P2304">
        <v>5</v>
      </c>
      <c r="Q2304">
        <v>-1</v>
      </c>
      <c r="R2304">
        <v>94</v>
      </c>
      <c r="S2304">
        <v>50</v>
      </c>
    </row>
    <row r="2305" spans="1:19" hidden="1" x14ac:dyDescent="0.25">
      <c r="A2305">
        <v>22301052</v>
      </c>
      <c r="B2305" t="s">
        <v>18</v>
      </c>
      <c r="C2305" t="s">
        <v>87</v>
      </c>
      <c r="D2305">
        <v>33</v>
      </c>
      <c r="E2305">
        <v>42</v>
      </c>
      <c r="F2305">
        <v>9</v>
      </c>
      <c r="G2305">
        <v>2</v>
      </c>
      <c r="H2305" s="1">
        <v>4.0972222222222226E-3</v>
      </c>
      <c r="I2305">
        <v>2023</v>
      </c>
      <c r="J2305" t="s">
        <v>83</v>
      </c>
      <c r="K2305" s="2" t="str">
        <f>HYPERLINK("https://www.nba.com/stats/events?CFID=&amp;CFPARAMS=&amp;GameEventID=238&amp;GameID=0022301052&amp;Season=2023-24&amp;flag=1&amp;title=Leonard%20cutting%20Layup%20(2%20PTS)%20(J.%20Harden%204%20AST)", "Cutting Layup (2 PTS) (J. Harden 4 AST)")</f>
        <v>Cutting Layup (2 PTS) (J. Harden 4 AST)</v>
      </c>
      <c r="L2305" s="2" t="str">
        <f>HYPERLINK("https://www.nba.com/game/...-vs-...-0022301052/play-by-play?watchFullGame=true", "LAC vs PHI - Q2 05:54.00")</f>
        <v>LAC vs PHI - Q2 05:54.00</v>
      </c>
      <c r="M2305">
        <v>0.49</v>
      </c>
      <c r="N2305">
        <v>94.4</v>
      </c>
      <c r="O2305">
        <v>49.02</v>
      </c>
      <c r="P2305">
        <v>-5</v>
      </c>
      <c r="Q2305">
        <v>49</v>
      </c>
      <c r="R2305">
        <v>94</v>
      </c>
      <c r="S2305">
        <v>49</v>
      </c>
    </row>
    <row r="2306" spans="1:19" hidden="1" x14ac:dyDescent="0.25">
      <c r="A2306">
        <v>22300658</v>
      </c>
      <c r="B2306" t="s">
        <v>18</v>
      </c>
      <c r="C2306" t="s">
        <v>87</v>
      </c>
      <c r="D2306">
        <v>47</v>
      </c>
      <c r="E2306">
        <v>42</v>
      </c>
      <c r="F2306">
        <v>5</v>
      </c>
      <c r="G2306">
        <v>2</v>
      </c>
      <c r="H2306" s="1">
        <v>3.0555555555555557E-3</v>
      </c>
      <c r="I2306">
        <v>2023</v>
      </c>
      <c r="J2306" t="s">
        <v>83</v>
      </c>
      <c r="K2306" s="2" t="str">
        <f>HYPERLINK("https://www.nba.com/stats/events?CFID=&amp;CFPARAMS=&amp;GameEventID=261&amp;GameID=0022300658&amp;Season=2023-24&amp;flag=1&amp;title=Leonard%20cutting%20Layup%20(10%20PTS)%20(J.%20Harden%205%20AST)", "Cutting Layup (10 PTS) (J. Harden 5 AST)")</f>
        <v>Cutting Layup (10 PTS) (J. Harden 5 AST)</v>
      </c>
      <c r="L2306" s="2" t="str">
        <f>HYPERLINK("https://www.nba.com/game/...-vs-...-0022300658/play-by-play?watchFullGame=true", "LAC vs CLE - Q2 04:24.00")</f>
        <v>LAC vs CLE - Q2 04:24.00</v>
      </c>
      <c r="M2306">
        <v>0.43</v>
      </c>
      <c r="N2306">
        <v>94.04</v>
      </c>
      <c r="O2306">
        <v>49.51</v>
      </c>
      <c r="P2306">
        <v>-2</v>
      </c>
      <c r="Q2306">
        <v>4</v>
      </c>
      <c r="R2306">
        <v>94</v>
      </c>
      <c r="S2306">
        <v>49</v>
      </c>
    </row>
    <row r="2307" spans="1:19" hidden="1" x14ac:dyDescent="0.25">
      <c r="A2307">
        <v>22300770</v>
      </c>
      <c r="B2307" t="s">
        <v>18</v>
      </c>
      <c r="C2307" t="s">
        <v>87</v>
      </c>
      <c r="D2307">
        <v>55</v>
      </c>
      <c r="E2307">
        <v>57</v>
      </c>
      <c r="F2307">
        <v>2</v>
      </c>
      <c r="G2307">
        <v>3</v>
      </c>
      <c r="H2307" s="1">
        <v>6.9791666666666665E-3</v>
      </c>
      <c r="I2307">
        <v>2023</v>
      </c>
      <c r="J2307" t="s">
        <v>83</v>
      </c>
      <c r="K2307" s="2" t="str">
        <f>HYPERLINK("https://www.nba.com/stats/events?CFID=&amp;CFPARAMS=&amp;GameEventID=334&amp;GameID=0022300770&amp;Season=2023-24&amp;flag=1&amp;title=Leonard%20driving%20Layup%20(13%20PTS)%20(J.%20Harden%204%20AST)", "Driving Layup (13 PTS) (J. Harden 4 AST)")</f>
        <v>Driving Layup (13 PTS) (J. Harden 4 AST)</v>
      </c>
      <c r="L2307" s="2" t="str">
        <f>HYPERLINK("https://www.nba.com/game/...-vs-...-0022300770/play-by-play?watchFullGame=true", "LAC vs MIN - Q3 10:03.00")</f>
        <v>LAC vs MIN - Q3 10:03.00</v>
      </c>
      <c r="M2307">
        <v>0.4</v>
      </c>
      <c r="N2307">
        <v>94.27</v>
      </c>
      <c r="O2307">
        <v>50.74</v>
      </c>
      <c r="P2307">
        <v>4</v>
      </c>
      <c r="Q2307">
        <v>1</v>
      </c>
      <c r="R2307">
        <v>94</v>
      </c>
      <c r="S2307">
        <v>50</v>
      </c>
    </row>
    <row r="2308" spans="1:19" hidden="1" x14ac:dyDescent="0.25">
      <c r="A2308">
        <v>22300280</v>
      </c>
      <c r="B2308" t="s">
        <v>18</v>
      </c>
      <c r="C2308" t="s">
        <v>87</v>
      </c>
      <c r="D2308">
        <v>99</v>
      </c>
      <c r="E2308">
        <v>102</v>
      </c>
      <c r="F2308">
        <v>3</v>
      </c>
      <c r="G2308">
        <v>4</v>
      </c>
      <c r="H2308" s="1">
        <v>3.4837962962962965E-3</v>
      </c>
      <c r="I2308">
        <v>2023</v>
      </c>
      <c r="J2308" t="s">
        <v>83</v>
      </c>
      <c r="K2308" s="2" t="str">
        <f>HYPERLINK("https://www.nba.com/stats/events?CFID=&amp;CFPARAMS=&amp;GameEventID=576&amp;GameID=0022300280&amp;Season=2023-24&amp;flag=1&amp;title=Leonard%20alley-oop%20Layup%20(14%20PTS)%20(J.%20Harden%208%20AST)", "Alley-oop Layup (14 PTS) (J. Harden 8 AST)")</f>
        <v>Alley-oop Layup (14 PTS) (J. Harden 8 AST)</v>
      </c>
      <c r="L2308" s="2" t="str">
        <f>HYPERLINK("https://www.nba.com/game/...-vs-...-0022300280/play-by-play?watchFullGame=true", "LAC vs GSW - Q4 05:01.00")</f>
        <v>LAC vs GSW - Q4 05:01.00</v>
      </c>
      <c r="M2308">
        <v>0.38</v>
      </c>
      <c r="N2308">
        <v>94.79</v>
      </c>
      <c r="O2308">
        <v>50.25</v>
      </c>
      <c r="P2308">
        <v>1</v>
      </c>
      <c r="Q2308">
        <v>-4</v>
      </c>
      <c r="R2308">
        <v>94</v>
      </c>
      <c r="S2308">
        <v>50</v>
      </c>
    </row>
    <row r="2309" spans="1:19" hidden="1" x14ac:dyDescent="0.25">
      <c r="A2309">
        <v>22000328</v>
      </c>
      <c r="B2309" t="s">
        <v>18</v>
      </c>
      <c r="C2309" t="s">
        <v>87</v>
      </c>
      <c r="D2309">
        <v>61</v>
      </c>
      <c r="E2309">
        <v>49</v>
      </c>
      <c r="F2309">
        <v>12</v>
      </c>
      <c r="G2309">
        <v>3</v>
      </c>
      <c r="H2309" s="1">
        <v>6.5509259259259262E-3</v>
      </c>
      <c r="I2309">
        <v>2020</v>
      </c>
      <c r="J2309" t="s">
        <v>83</v>
      </c>
      <c r="K2309" s="2" t="str">
        <f>HYPERLINK("https://www.nba.com/stats/events?CFID=&amp;CFPARAMS=&amp;GameEventID=314&amp;GameID=0022000328&amp;Season=2020-21&amp;flag=1&amp;title=Leonard%20driving%20Layup%20(18%20PTS)", "Driving Layup (18 PTS)")</f>
        <v>Driving Layup (18 PTS)</v>
      </c>
      <c r="L2309" s="2" t="str">
        <f>HYPERLINK("https://www.nba.com/game/...-vs-...-0022000328/play-by-play?watchFullGame=true", "LAC vs CLE - Q3 09:26.00")</f>
        <v>LAC vs CLE - Q3 09:26.00</v>
      </c>
      <c r="M2309">
        <v>0.28000000000000003</v>
      </c>
      <c r="N2309">
        <v>94.17</v>
      </c>
      <c r="O2309">
        <v>50.31</v>
      </c>
      <c r="P2309">
        <v>2</v>
      </c>
      <c r="Q2309">
        <v>2</v>
      </c>
      <c r="R2309">
        <v>94</v>
      </c>
      <c r="S2309">
        <v>50</v>
      </c>
    </row>
    <row r="2310" spans="1:19" hidden="1" x14ac:dyDescent="0.25">
      <c r="A2310">
        <v>21900035</v>
      </c>
      <c r="B2310" t="s">
        <v>18</v>
      </c>
      <c r="C2310" t="s">
        <v>92</v>
      </c>
      <c r="D2310">
        <v>90</v>
      </c>
      <c r="E2310">
        <v>93</v>
      </c>
      <c r="F2310">
        <v>3</v>
      </c>
      <c r="G2310">
        <v>4</v>
      </c>
      <c r="H2310" s="1">
        <v>7.2453703703703708E-3</v>
      </c>
      <c r="I2310">
        <v>2019</v>
      </c>
      <c r="J2310" t="s">
        <v>83</v>
      </c>
      <c r="K2310" s="2" t="str">
        <f>HYPERLINK("https://www.nba.com/stats/events?CFID=&amp;CFPARAMS=&amp;GameEventID=581&amp;GameID=0021900035&amp;Season=2019-20&amp;flag=1&amp;title=[LAC]%20Leonard%20dunk:%20Made%20(17%20PTS)", "[LAC] Leonard dunk: Made (17 PTS)")</f>
        <v>[LAC] Leonard dunk: Made (17 PTS)</v>
      </c>
      <c r="L2310" s="2" t="str">
        <f>HYPERLINK("https://www.nba.com/game/...-vs-...-0021900035/play-by-play?watchFullGame=true", "LAC vs PHX - Q4 10:26.00")</f>
        <v>LAC vs PHX - Q4 10:26.00</v>
      </c>
      <c r="M2310">
        <v>0.91</v>
      </c>
      <c r="N2310">
        <v>94.04</v>
      </c>
      <c r="O2310">
        <v>50.31</v>
      </c>
      <c r="P2310">
        <v>2</v>
      </c>
      <c r="Q2310">
        <v>4</v>
      </c>
      <c r="R2310">
        <v>94</v>
      </c>
      <c r="S2310">
        <v>50</v>
      </c>
    </row>
    <row r="2311" spans="1:19" hidden="1" x14ac:dyDescent="0.25">
      <c r="A2311">
        <v>22000142</v>
      </c>
      <c r="B2311" t="s">
        <v>18</v>
      </c>
      <c r="C2311" t="s">
        <v>88</v>
      </c>
      <c r="D2311">
        <v>56</v>
      </c>
      <c r="E2311">
        <v>61</v>
      </c>
      <c r="F2311">
        <v>5</v>
      </c>
      <c r="G2311">
        <v>3</v>
      </c>
      <c r="H2311" s="1">
        <v>7.8009259259259256E-3</v>
      </c>
      <c r="I2311">
        <v>2020</v>
      </c>
      <c r="J2311" t="s">
        <v>83</v>
      </c>
      <c r="K2311" s="2" t="str">
        <f>HYPERLINK("https://www.nba.com/stats/events?CFID=&amp;CFPARAMS=&amp;GameEventID=340&amp;GameID=0022000142&amp;Season=2020-21&amp;flag=1&amp;title=Leonard%20running%20DUNK%20(14%20PTS)", "Running DUNK (14 PTS)")</f>
        <v>Running DUNK (14 PTS)</v>
      </c>
      <c r="L2311" s="2" t="str">
        <f>HYPERLINK("https://www.nba.com/game/...-vs-...-0022000142/play-by-play?watchFullGame=true", "LAC vs CHI - Q3 11:14.00")</f>
        <v>LAC vs CHI - Q3 11:14.00</v>
      </c>
      <c r="M2311">
        <v>0.38</v>
      </c>
      <c r="N2311">
        <v>94.04</v>
      </c>
      <c r="O2311">
        <v>50.31</v>
      </c>
      <c r="P2311">
        <v>2</v>
      </c>
      <c r="Q2311">
        <v>4</v>
      </c>
      <c r="R2311">
        <v>94</v>
      </c>
      <c r="S2311">
        <v>50</v>
      </c>
    </row>
    <row r="2312" spans="1:19" hidden="1" x14ac:dyDescent="0.25">
      <c r="A2312">
        <v>22000509</v>
      </c>
      <c r="B2312" t="s">
        <v>18</v>
      </c>
      <c r="C2312" t="s">
        <v>88</v>
      </c>
      <c r="D2312">
        <v>11</v>
      </c>
      <c r="E2312">
        <v>11</v>
      </c>
      <c r="F2312">
        <v>0</v>
      </c>
      <c r="G2312">
        <v>1</v>
      </c>
      <c r="H2312" s="1">
        <v>4.9305555555555552E-3</v>
      </c>
      <c r="I2312">
        <v>2020</v>
      </c>
      <c r="J2312" t="s">
        <v>83</v>
      </c>
      <c r="K2312" s="2" t="str">
        <f>HYPERLINK("https://www.nba.com/stats/events?CFID=&amp;CFPARAMS=&amp;GameEventID=55&amp;GameID=0022000509&amp;Season=2020-21&amp;flag=1&amp;title=Leonard%20cutting%20DUNK%20(2%20PTS)%20(Ibaka%202%20AST)", "Cutting DUNK (2 PTS) (S. Ibaka 2 AST)")</f>
        <v>Cutting DUNK (2 PTS) (S. Ibaka 2 AST)</v>
      </c>
      <c r="L2312" s="2" t="str">
        <f>HYPERLINK("https://www.nba.com/game/...-vs-...-0022000509/play-by-play?watchFullGame=true", "LAC vs MEM - Q1 07:06.00")</f>
        <v>LAC vs MEM - Q1 07:06.00</v>
      </c>
      <c r="M2312">
        <v>0.28000000000000003</v>
      </c>
      <c r="N2312">
        <v>94.17</v>
      </c>
      <c r="O2312">
        <v>50.31</v>
      </c>
      <c r="P2312">
        <v>2</v>
      </c>
      <c r="Q2312">
        <v>2</v>
      </c>
      <c r="R2312">
        <v>94</v>
      </c>
      <c r="S2312">
        <v>50</v>
      </c>
    </row>
    <row r="2313" spans="1:19" hidden="1" x14ac:dyDescent="0.25">
      <c r="A2313">
        <v>22000324</v>
      </c>
      <c r="B2313" t="s">
        <v>18</v>
      </c>
      <c r="C2313" t="s">
        <v>88</v>
      </c>
      <c r="D2313">
        <v>99</v>
      </c>
      <c r="E2313">
        <v>97</v>
      </c>
      <c r="F2313">
        <v>2</v>
      </c>
      <c r="G2313">
        <v>4</v>
      </c>
      <c r="H2313" s="1">
        <v>5.1273148148148146E-3</v>
      </c>
      <c r="I2313">
        <v>2020</v>
      </c>
      <c r="J2313" t="s">
        <v>83</v>
      </c>
      <c r="K2313" s="2" t="str">
        <f>HYPERLINK("https://www.nba.com/stats/events?CFID=&amp;CFPARAMS=&amp;GameEventID=505&amp;GameID=0022000324&amp;Season=2020-21&amp;flag=1&amp;title=Leonard%20running%20DUNK%20(27%20PTS)", "Running DUNK (27 PTS)")</f>
        <v>Running DUNK (27 PTS)</v>
      </c>
      <c r="L2313" s="2" t="str">
        <f>HYPERLINK("https://www.nba.com/game/...-vs-...-0022000324/play-by-play?watchFullGame=true", "LAC vs BKN - Q4 07:23.00")</f>
        <v>LAC vs BKN - Q4 07:23.00</v>
      </c>
      <c r="M2313">
        <v>0.28000000000000003</v>
      </c>
      <c r="N2313">
        <v>94.17</v>
      </c>
      <c r="O2313">
        <v>50.31</v>
      </c>
      <c r="P2313">
        <v>2</v>
      </c>
      <c r="Q2313">
        <v>2</v>
      </c>
      <c r="R2313">
        <v>94</v>
      </c>
      <c r="S2313">
        <v>50</v>
      </c>
    </row>
    <row r="2314" spans="1:19" hidden="1" x14ac:dyDescent="0.25">
      <c r="A2314">
        <v>21900626</v>
      </c>
      <c r="B2314" t="s">
        <v>18</v>
      </c>
      <c r="C2314" t="s">
        <v>92</v>
      </c>
      <c r="D2314">
        <v>86</v>
      </c>
      <c r="E2314">
        <v>96</v>
      </c>
      <c r="F2314">
        <v>10</v>
      </c>
      <c r="G2314">
        <v>3</v>
      </c>
      <c r="H2314" s="1">
        <v>3.9004629629629628E-3</v>
      </c>
      <c r="I2314">
        <v>2019</v>
      </c>
      <c r="J2314" t="s">
        <v>83</v>
      </c>
      <c r="K2314" s="2" t="str">
        <f>HYPERLINK("https://www.nba.com/stats/events?CFID=&amp;CFPARAMS=&amp;GameEventID=465&amp;GameID=0021900626&amp;Season=2019-20&amp;flag=1&amp;title=Leonard%20dunk%20(31%20PTS)%20(I.%20Zubac%202%20AST)", "Dunk (31 PTS) (I. Zubac 2 AST)")</f>
        <v>Dunk (31 PTS) (I. Zubac 2 AST)</v>
      </c>
      <c r="L2314" s="2" t="str">
        <f>HYPERLINK("https://www.nba.com/game/...-vs-...-0021900626/play-by-play?watchFullGame=true", "LAC vs NOP - Q3 05:37.00")</f>
        <v>LAC vs NOP - Q3 05:37.00</v>
      </c>
      <c r="M2314">
        <v>0.23</v>
      </c>
      <c r="N2314">
        <v>94.83</v>
      </c>
      <c r="O2314">
        <v>50.31</v>
      </c>
      <c r="P2314">
        <v>2</v>
      </c>
      <c r="Q2314">
        <v>-4</v>
      </c>
      <c r="R2314">
        <v>94</v>
      </c>
      <c r="S2314">
        <v>50</v>
      </c>
    </row>
    <row r="2315" spans="1:19" hidden="1" x14ac:dyDescent="0.25">
      <c r="A2315">
        <v>21900589</v>
      </c>
      <c r="B2315" t="s">
        <v>18</v>
      </c>
      <c r="C2315" t="s">
        <v>92</v>
      </c>
      <c r="D2315">
        <v>92</v>
      </c>
      <c r="E2315">
        <v>105</v>
      </c>
      <c r="F2315">
        <v>13</v>
      </c>
      <c r="G2315">
        <v>4</v>
      </c>
      <c r="H2315" s="1">
        <v>3.7384259259259259E-3</v>
      </c>
      <c r="I2315">
        <v>2019</v>
      </c>
      <c r="J2315" t="s">
        <v>83</v>
      </c>
      <c r="K2315" s="2" t="str">
        <f>HYPERLINK("https://www.nba.com/stats/events?CFID=&amp;CFPARAMS=&amp;GameEventID=590&amp;GameID=0021900589&amp;Season=2019-20&amp;flag=1&amp;title=Leonard%20dunk%20(25%20PTS)%20(L.%20Shamet%201%20AST)", "Dunk (25 PTS) (L. Shamet 1 AST)")</f>
        <v>Dunk (25 PTS) (L. Shamet 1 AST)</v>
      </c>
      <c r="L2315" s="2" t="str">
        <f>HYPERLINK("https://www.nba.com/game/...-vs-...-0021900589/play-by-play?watchFullGame=true", "LAC vs DEN - Q4 05:23.00")</f>
        <v>LAC vs DEN - Q4 05:23.00</v>
      </c>
      <c r="M2315">
        <v>0.83</v>
      </c>
      <c r="N2315">
        <v>94.17</v>
      </c>
      <c r="O2315">
        <v>50.56</v>
      </c>
      <c r="P2315">
        <v>3</v>
      </c>
      <c r="Q2315">
        <v>2</v>
      </c>
      <c r="R2315">
        <v>94</v>
      </c>
      <c r="S2315">
        <v>50</v>
      </c>
    </row>
    <row r="2316" spans="1:19" hidden="1" x14ac:dyDescent="0.25">
      <c r="A2316">
        <v>22000720</v>
      </c>
      <c r="B2316" t="s">
        <v>18</v>
      </c>
      <c r="C2316" t="s">
        <v>88</v>
      </c>
      <c r="D2316">
        <v>53</v>
      </c>
      <c r="E2316">
        <v>39</v>
      </c>
      <c r="F2316">
        <v>14</v>
      </c>
      <c r="G2316">
        <v>3</v>
      </c>
      <c r="H2316" s="1">
        <v>7.4074074074074077E-3</v>
      </c>
      <c r="I2316">
        <v>2020</v>
      </c>
      <c r="J2316" t="s">
        <v>83</v>
      </c>
      <c r="K2316" s="2" t="str">
        <f>HYPERLINK("https://www.nba.com/stats/events?CFID=&amp;CFPARAMS=&amp;GameEventID=302&amp;GameID=0022000720&amp;Season=2020-21&amp;flag=1&amp;title=Leonard%20driving%20DUNK%20(16%20PTS)", "Driving DUNK (16 PTS)")</f>
        <v>Driving DUNK (16 PTS)</v>
      </c>
      <c r="L2316" s="2" t="str">
        <f>HYPERLINK("https://www.nba.com/game/...-vs-...-0022000720/play-by-play?watchFullGame=true", "LAC vs ORL - Q3 10:40.00")</f>
        <v>LAC vs ORL - Q3 10:40.00</v>
      </c>
      <c r="M2316">
        <v>0.36</v>
      </c>
      <c r="N2316">
        <v>94.17</v>
      </c>
      <c r="O2316">
        <v>50.56</v>
      </c>
      <c r="P2316">
        <v>3</v>
      </c>
      <c r="Q2316">
        <v>2</v>
      </c>
      <c r="R2316">
        <v>94</v>
      </c>
      <c r="S2316">
        <v>50</v>
      </c>
    </row>
    <row r="2317" spans="1:19" hidden="1" x14ac:dyDescent="0.25">
      <c r="A2317">
        <v>22000239</v>
      </c>
      <c r="B2317" t="s">
        <v>18</v>
      </c>
      <c r="C2317" t="s">
        <v>88</v>
      </c>
      <c r="D2317">
        <v>31</v>
      </c>
      <c r="E2317">
        <v>14</v>
      </c>
      <c r="F2317">
        <v>17</v>
      </c>
      <c r="G2317">
        <v>1</v>
      </c>
      <c r="H2317" s="1">
        <v>7.7546296296296293E-4</v>
      </c>
      <c r="I2317">
        <v>2020</v>
      </c>
      <c r="J2317" t="s">
        <v>83</v>
      </c>
      <c r="K2317" s="2" t="str">
        <f>HYPERLINK("https://www.nba.com/stats/events?CFID=&amp;CFPARAMS=&amp;GameEventID=141&amp;GameID=0022000239&amp;Season=2020-21&amp;flag=1&amp;title=Leonard%20running%20DUNK%20(11%20PTS)%20(L.%20Williams%202%20AST)", "Running DUNK (11 PTS) (L. Williams 2 AST)")</f>
        <v>Running DUNK (11 PTS) (L. Williams 2 AST)</v>
      </c>
      <c r="L2317" s="2" t="str">
        <f>HYPERLINK("https://www.nba.com/game/...-vs-...-0022000239/play-by-play?watchFullGame=true", "LAC vs OKC - Q1 01:07.00")</f>
        <v>LAC vs OKC - Q1 01:07.00</v>
      </c>
      <c r="M2317">
        <v>0.53</v>
      </c>
      <c r="N2317">
        <v>94.04</v>
      </c>
      <c r="O2317">
        <v>50.8</v>
      </c>
      <c r="P2317">
        <v>4</v>
      </c>
      <c r="Q2317">
        <v>4</v>
      </c>
      <c r="R2317">
        <v>94</v>
      </c>
      <c r="S2317">
        <v>50</v>
      </c>
    </row>
    <row r="2318" spans="1:19" hidden="1" x14ac:dyDescent="0.25">
      <c r="A2318">
        <v>22300235</v>
      </c>
      <c r="B2318" t="s">
        <v>18</v>
      </c>
      <c r="C2318" t="s">
        <v>88</v>
      </c>
      <c r="D2318">
        <v>8</v>
      </c>
      <c r="E2318">
        <v>5</v>
      </c>
      <c r="F2318">
        <v>3</v>
      </c>
      <c r="G2318">
        <v>1</v>
      </c>
      <c r="H2318" s="1">
        <v>5.2777777777777779E-3</v>
      </c>
      <c r="I2318">
        <v>2023</v>
      </c>
      <c r="J2318" t="s">
        <v>83</v>
      </c>
      <c r="K2318" s="2" t="str">
        <f>HYPERLINK("https://www.nba.com/stats/events?CFID=&amp;CFPARAMS=&amp;GameEventID=46&amp;GameID=0022300235&amp;Season=2023-24&amp;flag=1&amp;title=Leonard%20running%20DUNK%20(2%20PTS)%20(P.%20George%201%20AST)", "Running DUNK (2 PTS) (P. George 1 AST)")</f>
        <v>Running DUNK (2 PTS) (P. George 1 AST)</v>
      </c>
      <c r="L2318" s="2" t="str">
        <f>HYPERLINK("https://www.nba.com/game/...-vs-...-0022300235/play-by-play?watchFullGame=true", "LAC vs SAS - Q1 07:36.00")</f>
        <v>LAC vs SAS - Q1 07:36.00</v>
      </c>
      <c r="M2318">
        <v>0.6</v>
      </c>
      <c r="N2318">
        <v>94.04</v>
      </c>
      <c r="O2318">
        <v>50.98</v>
      </c>
      <c r="P2318">
        <v>5</v>
      </c>
      <c r="Q2318">
        <v>4</v>
      </c>
      <c r="R2318">
        <v>94</v>
      </c>
      <c r="S2318">
        <v>50</v>
      </c>
    </row>
    <row r="2319" spans="1:19" hidden="1" x14ac:dyDescent="0.25">
      <c r="A2319">
        <v>22000105</v>
      </c>
      <c r="B2319" t="s">
        <v>18</v>
      </c>
      <c r="C2319" t="s">
        <v>88</v>
      </c>
      <c r="D2319">
        <v>67</v>
      </c>
      <c r="E2319">
        <v>76</v>
      </c>
      <c r="F2319">
        <v>9</v>
      </c>
      <c r="G2319">
        <v>3</v>
      </c>
      <c r="H2319" s="1">
        <v>3.6226851851851854E-3</v>
      </c>
      <c r="I2319">
        <v>2020</v>
      </c>
      <c r="J2319" t="s">
        <v>83</v>
      </c>
      <c r="K2319" s="2" t="str">
        <f>HYPERLINK("https://www.nba.com/stats/events?CFID=&amp;CFPARAMS=&amp;GameEventID=393&amp;GameID=0022000105&amp;Season=2020-21&amp;flag=1&amp;title=Leonard%20driving%20DUNK%20(26%20PTS)", "Driving DUNK (26 PTS)")</f>
        <v>Driving DUNK (26 PTS)</v>
      </c>
      <c r="L2319" s="2" t="str">
        <f>HYPERLINK("https://www.nba.com/game/...-vs-...-0022000105/play-by-play?watchFullGame=true", "LAC vs SAS - Q3 05:13.00")</f>
        <v>LAC vs SAS - Q3 05:13.00</v>
      </c>
      <c r="M2319">
        <v>0.57999999999999996</v>
      </c>
      <c r="N2319">
        <v>94.69</v>
      </c>
      <c r="O2319">
        <v>51.05</v>
      </c>
      <c r="P2319">
        <v>5</v>
      </c>
      <c r="Q2319">
        <v>-3</v>
      </c>
      <c r="R2319">
        <v>94</v>
      </c>
      <c r="S2319">
        <v>51</v>
      </c>
    </row>
    <row r="2320" spans="1:19" hidden="1" x14ac:dyDescent="0.25">
      <c r="A2320">
        <v>22300807</v>
      </c>
      <c r="B2320" t="s">
        <v>18</v>
      </c>
      <c r="C2320" t="s">
        <v>88</v>
      </c>
      <c r="D2320">
        <v>69</v>
      </c>
      <c r="E2320">
        <v>69</v>
      </c>
      <c r="F2320">
        <v>0</v>
      </c>
      <c r="G2320">
        <v>3</v>
      </c>
      <c r="H2320" s="1">
        <v>2.7430555555555554E-3</v>
      </c>
      <c r="I2320">
        <v>2023</v>
      </c>
      <c r="J2320" t="s">
        <v>83</v>
      </c>
      <c r="K2320" s="2" t="str">
        <f>HYPERLINK("https://www.nba.com/stats/events?CFID=&amp;CFPARAMS=&amp;GameEventID=437&amp;GameID=0022300807&amp;Season=2023-24&amp;flag=1&amp;title=Leonard%20driving%20DUNK%20(15%20PTS)%20(P.%20George%203%20AST)", "Driving DUNK (15 PTS) (P. George 3 AST)")</f>
        <v>Driving DUNK (15 PTS) (P. George 3 AST)</v>
      </c>
      <c r="L2320" s="2" t="str">
        <f>HYPERLINK("https://www.nba.com/game/...-vs-...-0022300807/play-by-play?watchFullGame=true", "LAC vs MEM - Q3 03:57.00")</f>
        <v>LAC vs MEM - Q3 03:57.00</v>
      </c>
      <c r="M2320">
        <v>0.55000000000000004</v>
      </c>
      <c r="N2320">
        <v>94.69</v>
      </c>
      <c r="O2320">
        <v>50.98</v>
      </c>
      <c r="P2320">
        <v>5</v>
      </c>
      <c r="Q2320">
        <v>-3</v>
      </c>
      <c r="R2320">
        <v>94</v>
      </c>
      <c r="S2320">
        <v>50</v>
      </c>
    </row>
    <row r="2321" spans="1:19" hidden="1" x14ac:dyDescent="0.25">
      <c r="A2321">
        <v>21900436</v>
      </c>
      <c r="B2321" t="s">
        <v>18</v>
      </c>
      <c r="C2321" t="s">
        <v>92</v>
      </c>
      <c r="D2321">
        <v>100</v>
      </c>
      <c r="E2321">
        <v>75</v>
      </c>
      <c r="F2321">
        <v>25</v>
      </c>
      <c r="G2321">
        <v>3</v>
      </c>
      <c r="H2321" s="1">
        <v>2.8587962962962963E-3</v>
      </c>
      <c r="I2321">
        <v>2019</v>
      </c>
      <c r="J2321" t="s">
        <v>83</v>
      </c>
      <c r="K2321" s="2" t="str">
        <f>HYPERLINK("https://www.nba.com/stats/events?CFID=&amp;CFPARAMS=&amp;GameEventID=437&amp;GameID=0021900436&amp;Season=2019-20&amp;flag=1&amp;title=Leonard%20dunk%20(26%20PTS)%20(L.%20Williams%202%20AST)", "Dunk (26 PTS) (L. Williams 2 AST)")</f>
        <v>Dunk (26 PTS) (L. Williams 2 AST)</v>
      </c>
      <c r="L2321" s="2" t="str">
        <f>HYPERLINK("https://www.nba.com/game/...-vs-...-0021900436/play-by-play?watchFullGame=true", "LAC vs SAS - Q3 04:07.00")</f>
        <v>LAC vs SAS - Q3 04:07.00</v>
      </c>
      <c r="M2321">
        <v>0.93</v>
      </c>
      <c r="N2321">
        <v>94.3</v>
      </c>
      <c r="O2321">
        <v>51.29</v>
      </c>
      <c r="P2321">
        <v>6</v>
      </c>
      <c r="Q2321">
        <v>1</v>
      </c>
      <c r="R2321">
        <v>94</v>
      </c>
      <c r="S2321">
        <v>51</v>
      </c>
    </row>
    <row r="2322" spans="1:19" hidden="1" x14ac:dyDescent="0.25">
      <c r="A2322">
        <v>41900156</v>
      </c>
      <c r="B2322" t="s">
        <v>18</v>
      </c>
      <c r="C2322" t="s">
        <v>92</v>
      </c>
      <c r="D2322">
        <v>64</v>
      </c>
      <c r="E2322">
        <v>51</v>
      </c>
      <c r="F2322">
        <v>13</v>
      </c>
      <c r="G2322">
        <v>3</v>
      </c>
      <c r="H2322" s="1">
        <v>7.3148148148148148E-3</v>
      </c>
      <c r="I2322" t="s">
        <v>86</v>
      </c>
      <c r="J2322" t="s">
        <v>83</v>
      </c>
      <c r="K2322" s="2" t="str">
        <f>HYPERLINK("https://www.nba.com/stats/events?CFID=&amp;CFPARAMS=&amp;GameEventID=335&amp;GameID=0041900156&amp;Season=2019-20&amp;flag=1&amp;title=Leonard%20dunk%20(16%20PTS)%20(L.%20Shamet%203%20AST)", "Dunk (16 PTS) (L. Shamet 3 AST)")</f>
        <v>Dunk (16 PTS) (L. Shamet 3 AST)</v>
      </c>
      <c r="L2322" s="2" t="str">
        <f>HYPERLINK("https://www.nba.com/game/...-vs-...-0041900156/play-by-play?watchFullGame=true", "LAC vs DAL - Q3 10:32.00")</f>
        <v>LAC vs DAL - Q3 10:32.00</v>
      </c>
      <c r="M2322">
        <v>1.1000000000000001</v>
      </c>
      <c r="N2322">
        <v>94.17</v>
      </c>
      <c r="O2322">
        <v>51.54</v>
      </c>
      <c r="P2322">
        <v>8</v>
      </c>
      <c r="Q2322">
        <v>2</v>
      </c>
      <c r="R2322">
        <v>94</v>
      </c>
      <c r="S2322">
        <v>51</v>
      </c>
    </row>
    <row r="2323" spans="1:19" hidden="1" x14ac:dyDescent="0.25">
      <c r="A2323">
        <v>22300708</v>
      </c>
      <c r="B2323" t="s">
        <v>18</v>
      </c>
      <c r="C2323" t="s">
        <v>88</v>
      </c>
      <c r="D2323">
        <v>59</v>
      </c>
      <c r="E2323">
        <v>51</v>
      </c>
      <c r="F2323">
        <v>8</v>
      </c>
      <c r="G2323">
        <v>3</v>
      </c>
      <c r="H2323" s="1">
        <v>4.6643518518518518E-3</v>
      </c>
      <c r="I2323">
        <v>2023</v>
      </c>
      <c r="J2323" t="s">
        <v>83</v>
      </c>
      <c r="K2323" s="2" t="str">
        <f>HYPERLINK("https://www.nba.com/stats/events?CFID=&amp;CFPARAMS=&amp;GameEventID=319&amp;GameID=0022300708&amp;Season=2023-24&amp;flag=1&amp;title=Leonard%20running%20DUNK%20(15%20PTS)%20(J.%20Harden%206%20AST)", "Running DUNK (15 PTS) (J. Harden 6 AST)")</f>
        <v>Running DUNK (15 PTS) (J. Harden 6 AST)</v>
      </c>
      <c r="L2323" s="2" t="str">
        <f>HYPERLINK("https://www.nba.com/game/...-vs-...-0022300708/play-by-play?watchFullGame=true", "LAC vs MIA - Q3 06:43.00")</f>
        <v>LAC vs MIA - Q3 06:43.00</v>
      </c>
      <c r="M2323">
        <v>0.87</v>
      </c>
      <c r="N2323">
        <v>94.3</v>
      </c>
      <c r="O2323">
        <v>51.72</v>
      </c>
      <c r="P2323">
        <v>9</v>
      </c>
      <c r="Q2323">
        <v>1</v>
      </c>
      <c r="R2323">
        <v>94</v>
      </c>
      <c r="S2323">
        <v>51</v>
      </c>
    </row>
    <row r="2324" spans="1:19" hidden="1" x14ac:dyDescent="0.25">
      <c r="A2324">
        <v>41900237</v>
      </c>
      <c r="B2324" t="s">
        <v>18</v>
      </c>
      <c r="C2324" t="s">
        <v>92</v>
      </c>
      <c r="D2324">
        <v>43</v>
      </c>
      <c r="E2324">
        <v>34</v>
      </c>
      <c r="F2324">
        <v>9</v>
      </c>
      <c r="G2324">
        <v>2</v>
      </c>
      <c r="H2324" s="1">
        <v>4.363425925925926E-3</v>
      </c>
      <c r="I2324" t="s">
        <v>85</v>
      </c>
      <c r="J2324" t="s">
        <v>83</v>
      </c>
      <c r="K2324" s="2" t="str">
        <f>HYPERLINK("https://www.nba.com/stats/events?CFID=&amp;CFPARAMS=&amp;GameEventID=234&amp;GameID=0041900237&amp;Season=2019-20&amp;flag=1&amp;title=Leonard%20dunk%20(7%20PTS)", "Dunk (7 PTS)")</f>
        <v>Dunk (7 PTS)</v>
      </c>
      <c r="L2324" s="2" t="str">
        <f>HYPERLINK("https://www.nba.com/game/...-vs-...-0041900237/play-by-play?watchFullGame=true", "LAC vs DEN - Q2 06:17.00")</f>
        <v>LAC vs DEN - Q2 06:17.00</v>
      </c>
      <c r="M2324">
        <v>1.33</v>
      </c>
      <c r="N2324">
        <v>94.56</v>
      </c>
      <c r="O2324">
        <v>52.52</v>
      </c>
      <c r="P2324">
        <v>13</v>
      </c>
      <c r="Q2324">
        <v>-1</v>
      </c>
      <c r="R2324">
        <v>94</v>
      </c>
      <c r="S2324">
        <v>52</v>
      </c>
    </row>
    <row r="2325" spans="1:19" hidden="1" x14ac:dyDescent="0.25">
      <c r="A2325">
        <v>41900235</v>
      </c>
      <c r="B2325" t="s">
        <v>18</v>
      </c>
      <c r="C2325" t="s">
        <v>92</v>
      </c>
      <c r="D2325">
        <v>50</v>
      </c>
      <c r="E2325">
        <v>38</v>
      </c>
      <c r="F2325">
        <v>12</v>
      </c>
      <c r="G2325">
        <v>2</v>
      </c>
      <c r="H2325" s="1">
        <v>2.7662037037037039E-3</v>
      </c>
      <c r="I2325" t="s">
        <v>85</v>
      </c>
      <c r="J2325" t="s">
        <v>83</v>
      </c>
      <c r="K2325" s="2" t="str">
        <f>HYPERLINK("https://www.nba.com/stats/events?CFID=&amp;CFPARAMS=&amp;GameEventID=248&amp;GameID=0041900235&amp;Season=2019-20&amp;flag=1&amp;title=Leonard%20dunk%20(14%20PTS)", "Dunk (14 PTS)")</f>
        <v>Dunk (14 PTS)</v>
      </c>
      <c r="L2325" s="2" t="str">
        <f>HYPERLINK("https://www.nba.com/game/...-vs-...-0041900235/play-by-play?watchFullGame=true", "LAC vs DEN - Q2 03:59.00")</f>
        <v>LAC vs DEN - Q2 03:59.00</v>
      </c>
      <c r="M2325">
        <v>2.19</v>
      </c>
      <c r="N2325">
        <v>94.43</v>
      </c>
      <c r="O2325">
        <v>54.24</v>
      </c>
      <c r="P2325">
        <v>21</v>
      </c>
      <c r="Q2325">
        <v>54</v>
      </c>
      <c r="R2325">
        <v>94</v>
      </c>
      <c r="S2325">
        <v>54</v>
      </c>
    </row>
    <row r="2326" spans="1:19" hidden="1" x14ac:dyDescent="0.25">
      <c r="A2326">
        <v>22000717</v>
      </c>
      <c r="B2326" t="s">
        <v>18</v>
      </c>
      <c r="C2326" t="s">
        <v>88</v>
      </c>
      <c r="D2326">
        <v>93</v>
      </c>
      <c r="E2326">
        <v>81</v>
      </c>
      <c r="F2326">
        <v>12</v>
      </c>
      <c r="G2326">
        <v>3</v>
      </c>
      <c r="H2326" s="1">
        <v>7.7546296296296293E-4</v>
      </c>
      <c r="I2326">
        <v>2020</v>
      </c>
      <c r="J2326" t="s">
        <v>83</v>
      </c>
      <c r="K2326" s="2" t="str">
        <f>HYPERLINK("https://www.nba.com/stats/events?CFID=&amp;CFPARAMS=&amp;GameEventID=427&amp;GameID=0022000717&amp;Season=2020-21&amp;flag=1&amp;title=Leonard%20tip%20DUNK%20(20%20PTS)", "Tip DUNK (20 PTS)")</f>
        <v>Tip DUNK (20 PTS)</v>
      </c>
      <c r="L2326" s="2" t="str">
        <f>HYPERLINK("https://www.nba.com/game/...-vs-...-0022000717/play-by-play?watchFullGame=true", "LAC vs MIL - Q3 01:07.00")</f>
        <v>LAC vs MIL - Q3 01:07.00</v>
      </c>
      <c r="M2326" t="s">
        <v>21</v>
      </c>
      <c r="N2326">
        <v>94.41</v>
      </c>
      <c r="O2326">
        <v>50</v>
      </c>
      <c r="P2326">
        <v>94</v>
      </c>
      <c r="Q2326">
        <v>50</v>
      </c>
      <c r="R2326">
        <v>94</v>
      </c>
      <c r="S2326">
        <v>50</v>
      </c>
    </row>
    <row r="2327" spans="1:19" hidden="1" x14ac:dyDescent="0.25">
      <c r="A2327">
        <v>42000176</v>
      </c>
      <c r="B2327" t="s">
        <v>18</v>
      </c>
      <c r="C2327" t="s">
        <v>88</v>
      </c>
      <c r="D2327">
        <v>42</v>
      </c>
      <c r="E2327">
        <v>41</v>
      </c>
      <c r="F2327">
        <v>1</v>
      </c>
      <c r="G2327">
        <v>2</v>
      </c>
      <c r="H2327" s="1">
        <v>2.2222222222222222E-3</v>
      </c>
      <c r="I2327" t="s">
        <v>91</v>
      </c>
      <c r="J2327" t="s">
        <v>83</v>
      </c>
      <c r="K2327" s="2" t="str">
        <f>HYPERLINK("https://www.nba.com/stats/events?CFID=&amp;CFPARAMS=&amp;GameEventID=272&amp;GameID=0042000176&amp;Season=2020-21&amp;flag=1&amp;title=Leonard%20tip%20DUNK%20(12%20PTS)", "Tip DUNK (12 PTS)")</f>
        <v>Tip DUNK (12 PTS)</v>
      </c>
      <c r="L2327" s="2" t="str">
        <f>HYPERLINK("https://www.nba.com/game/...-vs-...-0042000176/play-by-play?watchFullGame=true", "LAC vs DAL - Q2 03:12.00")</f>
        <v>LAC vs DAL - Q2 03:12.00</v>
      </c>
      <c r="M2327" t="s">
        <v>21</v>
      </c>
      <c r="N2327">
        <v>94.41</v>
      </c>
      <c r="O2327">
        <v>50</v>
      </c>
      <c r="P2327">
        <v>94</v>
      </c>
      <c r="Q2327">
        <v>50</v>
      </c>
      <c r="R2327">
        <v>94</v>
      </c>
      <c r="S2327">
        <v>50</v>
      </c>
    </row>
    <row r="2328" spans="1:19" hidden="1" x14ac:dyDescent="0.25">
      <c r="A2328">
        <v>22000717</v>
      </c>
      <c r="B2328" t="s">
        <v>18</v>
      </c>
      <c r="C2328" t="s">
        <v>88</v>
      </c>
      <c r="D2328">
        <v>70</v>
      </c>
      <c r="E2328">
        <v>64</v>
      </c>
      <c r="F2328">
        <v>6</v>
      </c>
      <c r="G2328">
        <v>3</v>
      </c>
      <c r="H2328" s="1">
        <v>5.2777777777777779E-3</v>
      </c>
      <c r="I2328">
        <v>2020</v>
      </c>
      <c r="J2328" t="s">
        <v>83</v>
      </c>
      <c r="K2328" s="2" t="str">
        <f>HYPERLINK("https://www.nba.com/stats/events?CFID=&amp;CFPARAMS=&amp;GameEventID=348&amp;GameID=0022000717&amp;Season=2020-21&amp;flag=1&amp;title=Leonard%20tip%20DUNK%20(18%20PTS)", "Tip DUNK (18 PTS)")</f>
        <v>Tip DUNK (18 PTS)</v>
      </c>
      <c r="L2328" s="2" t="str">
        <f>HYPERLINK("https://www.nba.com/game/...-vs-...-0022000717/play-by-play?watchFullGame=true", "LAC vs MIL - Q3 07:36.00")</f>
        <v>LAC vs MIL - Q3 07:36.00</v>
      </c>
      <c r="M2328" t="s">
        <v>21</v>
      </c>
      <c r="N2328">
        <v>94.41</v>
      </c>
      <c r="O2328">
        <v>50</v>
      </c>
      <c r="P2328">
        <v>94</v>
      </c>
      <c r="Q2328">
        <v>50</v>
      </c>
      <c r="R2328">
        <v>94</v>
      </c>
      <c r="S2328">
        <v>50</v>
      </c>
    </row>
    <row r="2329" spans="1:19" hidden="1" x14ac:dyDescent="0.25">
      <c r="A2329">
        <v>42000173</v>
      </c>
      <c r="B2329" t="s">
        <v>18</v>
      </c>
      <c r="C2329" t="s">
        <v>88</v>
      </c>
      <c r="D2329">
        <v>51</v>
      </c>
      <c r="E2329">
        <v>50</v>
      </c>
      <c r="F2329">
        <v>1</v>
      </c>
      <c r="G2329">
        <v>2</v>
      </c>
      <c r="H2329" s="1">
        <v>3.460648148148148E-3</v>
      </c>
      <c r="I2329" t="s">
        <v>91</v>
      </c>
      <c r="J2329" t="s">
        <v>83</v>
      </c>
      <c r="K2329" s="2" t="str">
        <f>HYPERLINK("https://www.nba.com/stats/events?CFID=&amp;CFPARAMS=&amp;GameEventID=228&amp;GameID=0042000173&amp;Season=2020-21&amp;flag=1&amp;title=Leonard%20cutting%20DUNK%20(16%20PTS)%20(P.%20George%202%20AST)", "Cutting DUNK (16 PTS) (P. George 2 AST)")</f>
        <v>Cutting DUNK (16 PTS) (P. George 2 AST)</v>
      </c>
      <c r="L2329" s="2" t="str">
        <f>HYPERLINK("https://www.nba.com/game/...-vs-...-0042000173/play-by-play?watchFullGame=true", "LAC vs DAL - Q2 04:59.00")</f>
        <v>LAC vs DAL - Q2 04:59.00</v>
      </c>
      <c r="M2329">
        <v>0.85</v>
      </c>
      <c r="N2329">
        <v>94.17</v>
      </c>
      <c r="O2329">
        <v>48.35</v>
      </c>
      <c r="P2329">
        <v>94</v>
      </c>
      <c r="Q2329">
        <v>48</v>
      </c>
      <c r="R2329">
        <v>94</v>
      </c>
      <c r="S2329">
        <v>48</v>
      </c>
    </row>
    <row r="2330" spans="1:19" hidden="1" x14ac:dyDescent="0.25">
      <c r="A2330">
        <v>22300600</v>
      </c>
      <c r="B2330" t="s">
        <v>18</v>
      </c>
      <c r="C2330" t="s">
        <v>88</v>
      </c>
      <c r="D2330">
        <v>108</v>
      </c>
      <c r="E2330">
        <v>114</v>
      </c>
      <c r="F2330">
        <v>6</v>
      </c>
      <c r="G2330">
        <v>4</v>
      </c>
      <c r="H2330" s="1">
        <v>3.2291666666666666E-3</v>
      </c>
      <c r="I2330">
        <v>2023</v>
      </c>
      <c r="J2330" t="s">
        <v>83</v>
      </c>
      <c r="K2330" s="2" t="str">
        <f>HYPERLINK("https://www.nba.com/stats/events?CFID=&amp;CFPARAMS=&amp;GameEventID=582&amp;GameID=0022300600&amp;Season=2023-24&amp;flag=1&amp;title=Leonard%20running%20DUNK%20(9%20PTS)%20(J.%20Harden%2010%20AST)", "Running DUNK (9 PTS) (J. Harden 10 AST)")</f>
        <v>Running DUNK (9 PTS) (J. Harden 10 AST)</v>
      </c>
      <c r="L2330" s="2" t="str">
        <f>HYPERLINK("https://www.nba.com/game/...-vs-...-0022300600/play-by-play?watchFullGame=true", "LAC vs BKN - Q4 04:39.00")</f>
        <v>LAC vs BKN - Q4 04:39.00</v>
      </c>
      <c r="M2330">
        <v>0.48</v>
      </c>
      <c r="N2330">
        <v>94.92</v>
      </c>
      <c r="O2330">
        <v>50</v>
      </c>
      <c r="P2330">
        <v>94</v>
      </c>
      <c r="Q2330">
        <v>-5</v>
      </c>
      <c r="R2330">
        <v>94</v>
      </c>
      <c r="S2330">
        <v>50</v>
      </c>
    </row>
    <row r="2331" spans="1:19" hidden="1" x14ac:dyDescent="0.25">
      <c r="A2331">
        <v>42000174</v>
      </c>
      <c r="B2331" t="s">
        <v>18</v>
      </c>
      <c r="C2331" t="s">
        <v>88</v>
      </c>
      <c r="D2331">
        <v>57</v>
      </c>
      <c r="E2331">
        <v>40</v>
      </c>
      <c r="F2331">
        <v>17</v>
      </c>
      <c r="G2331">
        <v>2</v>
      </c>
      <c r="H2331" s="1">
        <v>1.3888888888888889E-3</v>
      </c>
      <c r="I2331" t="s">
        <v>91</v>
      </c>
      <c r="J2331" t="s">
        <v>83</v>
      </c>
      <c r="K2331" s="2" t="str">
        <f>HYPERLINK("https://www.nba.com/stats/events?CFID=&amp;CFPARAMS=&amp;GameEventID=307&amp;GameID=0042000174&amp;Season=2020-21&amp;flag=1&amp;title=Leonard%20driving%20DUNK%20(17%20PTS)%20(R.%20Rondo%204%20AST)", "Driving DUNK (17 PTS) (R. Rondo 4 AST)")</f>
        <v>Driving DUNK (17 PTS) (R. Rondo 4 AST)</v>
      </c>
      <c r="L2331" s="2" t="str">
        <f>HYPERLINK("https://www.nba.com/game/...-vs-...-0042000174/play-by-play?watchFullGame=true", "LAC vs DAL - Q2 02:00.00")</f>
        <v>LAC vs DAL - Q2 02:00.00</v>
      </c>
      <c r="M2331">
        <v>0.35</v>
      </c>
      <c r="N2331">
        <v>94.3</v>
      </c>
      <c r="O2331">
        <v>49.33</v>
      </c>
      <c r="P2331">
        <v>94</v>
      </c>
      <c r="Q2331">
        <v>49</v>
      </c>
      <c r="R2331">
        <v>94</v>
      </c>
      <c r="S2331">
        <v>49</v>
      </c>
    </row>
    <row r="2332" spans="1:19" hidden="1" x14ac:dyDescent="0.25">
      <c r="A2332">
        <v>22300526</v>
      </c>
      <c r="B2332" t="s">
        <v>18</v>
      </c>
      <c r="C2332" t="s">
        <v>88</v>
      </c>
      <c r="D2332">
        <v>87</v>
      </c>
      <c r="E2332">
        <v>90</v>
      </c>
      <c r="F2332">
        <v>3</v>
      </c>
      <c r="G2332">
        <v>3</v>
      </c>
      <c r="H2332" s="1">
        <v>9.1435185185185185E-4</v>
      </c>
      <c r="I2332">
        <v>2023</v>
      </c>
      <c r="J2332" t="s">
        <v>83</v>
      </c>
      <c r="K2332" s="2" t="str">
        <f>HYPERLINK("https://www.nba.com/stats/events?CFID=&amp;CFPARAMS=&amp;GameEventID=434&amp;GameID=0022300526&amp;Season=2023-24&amp;flag=1&amp;title=Leonard%20running%20DUNK%20(23%20PTS)%20(R.%20Westbrook%202%20AST)", "Running DUNK (23 PTS) (R. Westbrook 2 AST)")</f>
        <v>Running DUNK (23 PTS) (R. Westbrook 2 AST)</v>
      </c>
      <c r="L2332" s="2" t="str">
        <f>HYPERLINK("https://www.nba.com/game/...-vs-...-0022300526/play-by-play?watchFullGame=true", "LAC vs TOR - Q3 01:19.00")</f>
        <v>LAC vs TOR - Q3 01:19.00</v>
      </c>
      <c r="M2332">
        <v>0.23</v>
      </c>
      <c r="N2332">
        <v>94.66</v>
      </c>
      <c r="O2332">
        <v>50</v>
      </c>
      <c r="P2332">
        <v>94</v>
      </c>
      <c r="Q2332">
        <v>-2</v>
      </c>
      <c r="R2332">
        <v>94</v>
      </c>
      <c r="S2332">
        <v>50</v>
      </c>
    </row>
    <row r="2333" spans="1:19" hidden="1" x14ac:dyDescent="0.25">
      <c r="A2333">
        <v>21901258</v>
      </c>
      <c r="B2333" t="s">
        <v>18</v>
      </c>
      <c r="C2333" t="s">
        <v>90</v>
      </c>
      <c r="D2333">
        <v>109</v>
      </c>
      <c r="E2333">
        <v>111</v>
      </c>
      <c r="F2333">
        <v>2</v>
      </c>
      <c r="G2333">
        <v>4</v>
      </c>
      <c r="H2333" s="1">
        <v>1.7592592592592592E-3</v>
      </c>
      <c r="I2333">
        <v>2019</v>
      </c>
      <c r="J2333" t="s">
        <v>83</v>
      </c>
      <c r="K2333" s="2" t="str">
        <f>HYPERLINK("https://www.nba.com/stats/events?CFID=&amp;CFPARAMS=&amp;GameEventID=571&amp;GameID=0021901258&amp;Season=2019-20&amp;flag=1&amp;title=Leonard%20layup%20(23%20PTS)", "Layup (23 PTS)")</f>
        <v>Layup (23 PTS)</v>
      </c>
      <c r="L2333" s="2" t="str">
        <f>HYPERLINK("https://www.nba.com/game/...-vs-...-0021901258/play-by-play?watchFullGame=true", "LAC vs PHX - Q4 02:32.00")</f>
        <v>LAC vs PHX - Q4 02:32.00</v>
      </c>
      <c r="M2333" t="s">
        <v>21</v>
      </c>
      <c r="N2333">
        <v>95</v>
      </c>
      <c r="O2333">
        <v>50</v>
      </c>
      <c r="P2333">
        <v>95</v>
      </c>
      <c r="Q2333">
        <v>-6</v>
      </c>
      <c r="R2333">
        <v>95</v>
      </c>
      <c r="S2333">
        <v>50</v>
      </c>
    </row>
    <row r="2334" spans="1:19" hidden="1" x14ac:dyDescent="0.25">
      <c r="A2334">
        <v>21900276</v>
      </c>
      <c r="B2334" t="s">
        <v>18</v>
      </c>
      <c r="C2334" t="s">
        <v>90</v>
      </c>
      <c r="D2334">
        <v>76</v>
      </c>
      <c r="E2334">
        <v>89</v>
      </c>
      <c r="F2334">
        <v>13</v>
      </c>
      <c r="G2334">
        <v>4</v>
      </c>
      <c r="H2334" s="1">
        <v>5.9143518518518521E-3</v>
      </c>
      <c r="I2334">
        <v>2019</v>
      </c>
      <c r="J2334" t="s">
        <v>83</v>
      </c>
      <c r="K2334" s="2" t="str">
        <f>HYPERLINK("https://www.nba.com/stats/events?CFID=&amp;CFPARAMS=&amp;GameEventID=552&amp;GameID=0021900276&amp;Season=2019-20&amp;flag=1&amp;title=Leonard%20layup%20(17%20PTS)", "Layup (17 PTS)")</f>
        <v>Layup (17 PTS)</v>
      </c>
      <c r="L2334" s="2" t="str">
        <f>HYPERLINK("https://www.nba.com/game/...-vs-...-0021900276/play-by-play?watchFullGame=true", "LAC vs SAS - Q4 08:31.00")</f>
        <v>LAC vs SAS - Q4 08:31.00</v>
      </c>
      <c r="M2334" t="s">
        <v>21</v>
      </c>
      <c r="N2334">
        <v>95</v>
      </c>
      <c r="O2334">
        <v>50</v>
      </c>
      <c r="P2334">
        <v>95</v>
      </c>
      <c r="Q2334">
        <v>-6</v>
      </c>
      <c r="R2334">
        <v>95</v>
      </c>
      <c r="S2334">
        <v>50</v>
      </c>
    </row>
    <row r="2335" spans="1:19" hidden="1" x14ac:dyDescent="0.25">
      <c r="A2335">
        <v>21900068</v>
      </c>
      <c r="B2335" t="s">
        <v>18</v>
      </c>
      <c r="C2335" t="s">
        <v>90</v>
      </c>
      <c r="D2335">
        <v>57</v>
      </c>
      <c r="E2335">
        <v>54</v>
      </c>
      <c r="F2335">
        <v>3</v>
      </c>
      <c r="G2335">
        <v>3</v>
      </c>
      <c r="H2335" s="1">
        <v>6.0879629629629626E-3</v>
      </c>
      <c r="I2335">
        <v>2019</v>
      </c>
      <c r="J2335" t="s">
        <v>83</v>
      </c>
      <c r="K2335" s="2" t="str">
        <f>HYPERLINK("https://www.nba.com/stats/events?CFID=&amp;CFPARAMS=&amp;GameEventID=368&amp;GameID=0021900068&amp;Season=2019-20&amp;flag=1&amp;title=[LAC]%20Leonard%20layup:%20Made%20(18%20PTS)", "[LAC] Leonard layup: Made (18 PTS)")</f>
        <v>[LAC] Leonard layup: Made (18 PTS)</v>
      </c>
      <c r="L2335" s="2" t="str">
        <f>HYPERLINK("https://www.nba.com/game/...-vs-...-0021900068/play-by-play?watchFullGame=true", "LAC vs SAS - Q3 08:46.00")</f>
        <v>LAC vs SAS - Q3 08:46.00</v>
      </c>
      <c r="M2335" t="s">
        <v>21</v>
      </c>
      <c r="N2335">
        <v>95</v>
      </c>
      <c r="O2335">
        <v>50</v>
      </c>
      <c r="P2335">
        <v>95</v>
      </c>
      <c r="Q2335">
        <v>-6</v>
      </c>
      <c r="R2335">
        <v>95</v>
      </c>
      <c r="S2335">
        <v>50</v>
      </c>
    </row>
    <row r="2336" spans="1:19" hidden="1" x14ac:dyDescent="0.25">
      <c r="A2336">
        <v>41900151</v>
      </c>
      <c r="B2336" t="s">
        <v>18</v>
      </c>
      <c r="C2336" t="s">
        <v>84</v>
      </c>
      <c r="D2336">
        <v>52</v>
      </c>
      <c r="E2336">
        <v>54</v>
      </c>
      <c r="F2336">
        <v>2</v>
      </c>
      <c r="G2336">
        <v>2</v>
      </c>
      <c r="H2336" s="1">
        <v>2.9976851851851853E-3</v>
      </c>
      <c r="I2336" t="s">
        <v>86</v>
      </c>
      <c r="J2336" t="s">
        <v>83</v>
      </c>
      <c r="K2336" s="2" t="str">
        <f>HYPERLINK("https://www.nba.com/stats/events?CFID=&amp;CFPARAMS=&amp;GameEventID=288&amp;GameID=0041900151&amp;Season=2019-20&amp;flag=1&amp;title=Leonard%2020'%20jumpshot%20(15%20PTS)", "20' jumpshot (15 PTS)")</f>
        <v>20' jumpshot (15 PTS)</v>
      </c>
      <c r="L2336" s="2" t="str">
        <f>HYPERLINK("https://www.nba.com/game/...-vs-...-0041900151/play-by-play?watchFullGame=true", "LAC vs DAL - Q2 04:19.00")</f>
        <v>LAC vs DAL - Q2 04:19.00</v>
      </c>
      <c r="M2336">
        <v>19.57</v>
      </c>
      <c r="N2336">
        <v>95.22</v>
      </c>
      <c r="O2336">
        <v>10.85</v>
      </c>
      <c r="P2336">
        <v>-196</v>
      </c>
      <c r="Q2336">
        <v>-8</v>
      </c>
      <c r="R2336">
        <v>95</v>
      </c>
      <c r="S2336">
        <v>10</v>
      </c>
    </row>
    <row r="2337" spans="1:19" hidden="1" x14ac:dyDescent="0.25">
      <c r="A2337">
        <v>21900002</v>
      </c>
      <c r="B2337" t="s">
        <v>18</v>
      </c>
      <c r="C2337" t="s">
        <v>19</v>
      </c>
      <c r="D2337">
        <v>54</v>
      </c>
      <c r="E2337">
        <v>51</v>
      </c>
      <c r="F2337">
        <v>3</v>
      </c>
      <c r="G2337">
        <v>2</v>
      </c>
      <c r="H2337" s="1">
        <v>1.3194444444444445E-3</v>
      </c>
      <c r="I2337">
        <v>2019</v>
      </c>
      <c r="J2337" t="s">
        <v>83</v>
      </c>
      <c r="K2337" s="2" t="str">
        <f>HYPERLINK("https://www.nba.com/stats/events?CFID=&amp;CFPARAMS=&amp;GameEventID=314&amp;GameID=0021900002&amp;Season=2019-20&amp;flag=1&amp;title=Leonard%2018'%20fadeaway%20Jump%20Shot%20(20%20PTS)", "18' fadeaway Jump Shot (20 PTS)")</f>
        <v>18' fadeaway Jump Shot (20 PTS)</v>
      </c>
      <c r="L2337" s="2" t="str">
        <f>HYPERLINK("https://www.nba.com/game/...-vs-...-0021900002/play-by-play?watchFullGame=true", "LAC vs LAL - Q2 01:54.00")</f>
        <v>LAC vs LAL - Q2 01:54.00</v>
      </c>
      <c r="M2337">
        <v>17.760000000000002</v>
      </c>
      <c r="N2337">
        <v>95.98</v>
      </c>
      <c r="O2337">
        <v>85.47</v>
      </c>
      <c r="P2337">
        <v>177</v>
      </c>
      <c r="Q2337">
        <v>-15</v>
      </c>
      <c r="R2337">
        <v>95</v>
      </c>
      <c r="S2337">
        <v>85</v>
      </c>
    </row>
    <row r="2338" spans="1:19" hidden="1" x14ac:dyDescent="0.25">
      <c r="A2338">
        <v>22200766</v>
      </c>
      <c r="B2338" t="s">
        <v>26</v>
      </c>
      <c r="C2338" t="s">
        <v>19</v>
      </c>
      <c r="D2338">
        <v>94</v>
      </c>
      <c r="E2338">
        <v>88</v>
      </c>
      <c r="F2338">
        <v>6</v>
      </c>
      <c r="G2338">
        <v>4</v>
      </c>
      <c r="H2338" s="1">
        <v>5.7291666666666663E-3</v>
      </c>
      <c r="I2338">
        <v>2022</v>
      </c>
      <c r="J2338" t="s">
        <v>83</v>
      </c>
      <c r="K2338" s="2" t="str">
        <f>HYPERLINK("https://www.nba.com/stats/events?CFID=&amp;CFPARAMS=&amp;GameEventID=527&amp;GameID=0022200766&amp;Season=2022-23&amp;flag=1&amp;title=Leonard%203PT%20running%20(24%20PTS)%20(N.%20Powell%204%20AST)", "3PT running (24 PTS) (N. Powell 4 AST)")</f>
        <v>3PT running (24 PTS) (N. Powell 4 AST)</v>
      </c>
      <c r="L2338" s="2" t="str">
        <f>HYPERLINK("https://www.nba.com/game/...-vs-...-0022200766/play-by-play?watchFullGame=true", "LAC vs CHI - Q4 08:15.00")</f>
        <v>LAC vs CHI - Q4 08:15.00</v>
      </c>
      <c r="M2338">
        <v>23.92</v>
      </c>
      <c r="N2338">
        <v>95.35</v>
      </c>
      <c r="O2338">
        <v>97.79</v>
      </c>
      <c r="P2338">
        <v>239</v>
      </c>
      <c r="Q2338">
        <v>-9</v>
      </c>
      <c r="R2338">
        <v>95</v>
      </c>
      <c r="S2338">
        <v>97</v>
      </c>
    </row>
    <row r="2339" spans="1:19" hidden="1" x14ac:dyDescent="0.25">
      <c r="A2339">
        <v>22200735</v>
      </c>
      <c r="B2339" t="s">
        <v>18</v>
      </c>
      <c r="C2339" t="s">
        <v>19</v>
      </c>
      <c r="D2339">
        <v>60</v>
      </c>
      <c r="E2339">
        <v>42</v>
      </c>
      <c r="F2339">
        <v>18</v>
      </c>
      <c r="G2339">
        <v>2</v>
      </c>
      <c r="H2339" s="1">
        <v>3.6574074074074074E-3</v>
      </c>
      <c r="I2339">
        <v>2022</v>
      </c>
      <c r="J2339" t="s">
        <v>83</v>
      </c>
      <c r="K2339" s="2" t="str">
        <f>HYPERLINK("https://www.nba.com/stats/events?CFID=&amp;CFPARAMS=&amp;GameEventID=251&amp;GameID=0022200735&amp;Season=2022-23&amp;flag=1&amp;title=Leonard%2014'%20pullup%20Jump%20Shot%20(14%20PTS)", "14' pullup Jump Shot (14 PTS)")</f>
        <v>14' pullup Jump Shot (14 PTS)</v>
      </c>
      <c r="L2339" s="2" t="str">
        <f>HYPERLINK("https://www.nba.com/game/...-vs-...-0022200735/play-by-play?watchFullGame=true", "LAC vs SAS - Q2 05:16.00")</f>
        <v>LAC vs SAS - Q2 05:16.00</v>
      </c>
      <c r="M2339">
        <v>14.25</v>
      </c>
      <c r="N2339">
        <v>95.45</v>
      </c>
      <c r="O2339">
        <v>78.430000000000007</v>
      </c>
      <c r="P2339">
        <v>142</v>
      </c>
      <c r="Q2339">
        <v>-10</v>
      </c>
      <c r="R2339">
        <v>95</v>
      </c>
      <c r="S2339">
        <v>78</v>
      </c>
    </row>
    <row r="2340" spans="1:19" hidden="1" x14ac:dyDescent="0.25">
      <c r="A2340">
        <v>22300257</v>
      </c>
      <c r="B2340" t="s">
        <v>18</v>
      </c>
      <c r="C2340" t="s">
        <v>19</v>
      </c>
      <c r="D2340">
        <v>49</v>
      </c>
      <c r="E2340">
        <v>51</v>
      </c>
      <c r="F2340">
        <v>2</v>
      </c>
      <c r="G2340">
        <v>2</v>
      </c>
      <c r="H2340" s="1">
        <v>1.8518518518518519E-3</v>
      </c>
      <c r="I2340">
        <v>2023</v>
      </c>
      <c r="J2340" t="s">
        <v>83</v>
      </c>
      <c r="K2340" s="2" t="str">
        <f>HYPERLINK("https://www.nba.com/stats/events?CFID=&amp;CFPARAMS=&amp;GameEventID=292&amp;GameID=0022300257&amp;Season=2023-24&amp;flag=1&amp;title=Leonard%2013'%20pullup%20Jump%20Shot%20(14%20PTS)", "13' pullup Jump Shot (14 PTS)")</f>
        <v>13' pullup Jump Shot (14 PTS)</v>
      </c>
      <c r="L2340" s="2" t="str">
        <f>HYPERLINK("https://www.nba.com/game/...-vs-...-0022300257/play-by-play?watchFullGame=true", "LAC vs DEN - Q2 02:40.00")</f>
        <v>LAC vs DEN - Q2 02:40.00</v>
      </c>
      <c r="M2340">
        <v>13.63</v>
      </c>
      <c r="N2340">
        <v>95.32</v>
      </c>
      <c r="O2340">
        <v>22.79</v>
      </c>
      <c r="P2340">
        <v>-136</v>
      </c>
      <c r="Q2340">
        <v>-8</v>
      </c>
      <c r="R2340">
        <v>95</v>
      </c>
      <c r="S2340">
        <v>22</v>
      </c>
    </row>
    <row r="2341" spans="1:19" hidden="1" x14ac:dyDescent="0.25">
      <c r="A2341">
        <v>22300956</v>
      </c>
      <c r="B2341" t="s">
        <v>18</v>
      </c>
      <c r="C2341" t="s">
        <v>19</v>
      </c>
      <c r="D2341">
        <v>120</v>
      </c>
      <c r="E2341">
        <v>102</v>
      </c>
      <c r="F2341">
        <v>18</v>
      </c>
      <c r="G2341">
        <v>4</v>
      </c>
      <c r="H2341" s="1">
        <v>2.2800925925925927E-3</v>
      </c>
      <c r="I2341">
        <v>2023</v>
      </c>
      <c r="J2341" t="s">
        <v>83</v>
      </c>
      <c r="K2341" s="2" t="str">
        <f>HYPERLINK("https://www.nba.com/stats/events?CFID=&amp;CFPARAMS=&amp;GameEventID=525&amp;GameID=0022300956&amp;Season=2023-24&amp;flag=1&amp;title=Leonard%2013'%20step%20back%20Jump%20Shot%20(27%20PTS)", "13' step back Jump Shot (27 PTS)")</f>
        <v>13' step back Jump Shot (27 PTS)</v>
      </c>
      <c r="L2341" s="2" t="str">
        <f>HYPERLINK("https://www.nba.com/game/...-vs-...-0022300956/play-by-play?watchFullGame=true", "LAC vs CHI - Q4 03:17.00")</f>
        <v>LAC vs CHI - Q4 03:17.00</v>
      </c>
      <c r="M2341">
        <v>13.62</v>
      </c>
      <c r="N2341">
        <v>95.22</v>
      </c>
      <c r="O2341">
        <v>77.209999999999994</v>
      </c>
      <c r="P2341">
        <v>136</v>
      </c>
      <c r="Q2341">
        <v>-8</v>
      </c>
      <c r="R2341">
        <v>95</v>
      </c>
      <c r="S2341">
        <v>77</v>
      </c>
    </row>
    <row r="2342" spans="1:19" hidden="1" x14ac:dyDescent="0.25">
      <c r="A2342">
        <v>22000625</v>
      </c>
      <c r="B2342" t="s">
        <v>18</v>
      </c>
      <c r="C2342" t="s">
        <v>19</v>
      </c>
      <c r="D2342">
        <v>20</v>
      </c>
      <c r="E2342">
        <v>16</v>
      </c>
      <c r="F2342">
        <v>4</v>
      </c>
      <c r="G2342">
        <v>1</v>
      </c>
      <c r="H2342" s="1">
        <v>2.8587962962962963E-3</v>
      </c>
      <c r="I2342">
        <v>2020</v>
      </c>
      <c r="J2342" t="s">
        <v>83</v>
      </c>
      <c r="K2342" s="2" t="str">
        <f>HYPERLINK("https://www.nba.com/stats/events?CFID=&amp;CFPARAMS=&amp;GameEventID=80&amp;GameID=0022000625&amp;Season=2020-21&amp;flag=1&amp;title=Leonard%2013'%20Jump%20Shot%20(2%20PTS)%20(N.%20Batum%201%20AST)", "13' Jump Shot (2 PTS) (N. Batum 1 AST)")</f>
        <v>13' Jump Shot (2 PTS) (N. Batum 1 AST)</v>
      </c>
      <c r="L2342" s="2" t="str">
        <f>HYPERLINK("https://www.nba.com/game/...-vs-...-0022000625/play-by-play?watchFullGame=true", "LAC vs DAL - Q1 04:07.00")</f>
        <v>LAC vs DAL - Q1 04:07.00</v>
      </c>
      <c r="M2342">
        <v>13.29</v>
      </c>
      <c r="N2342">
        <v>95.22</v>
      </c>
      <c r="O2342">
        <v>76.540000000000006</v>
      </c>
      <c r="P2342">
        <v>133</v>
      </c>
      <c r="Q2342">
        <v>-8</v>
      </c>
      <c r="R2342">
        <v>95</v>
      </c>
      <c r="S2342">
        <v>76</v>
      </c>
    </row>
    <row r="2343" spans="1:19" hidden="1" x14ac:dyDescent="0.25">
      <c r="A2343">
        <v>22000605</v>
      </c>
      <c r="B2343" t="s">
        <v>18</v>
      </c>
      <c r="C2343" t="s">
        <v>19</v>
      </c>
      <c r="D2343">
        <v>43</v>
      </c>
      <c r="E2343">
        <v>40</v>
      </c>
      <c r="F2343">
        <v>3</v>
      </c>
      <c r="G2343">
        <v>2</v>
      </c>
      <c r="H2343" s="1">
        <v>3.3333333333333335E-3</v>
      </c>
      <c r="I2343">
        <v>2020</v>
      </c>
      <c r="J2343" t="s">
        <v>83</v>
      </c>
      <c r="K2343" s="2" t="str">
        <f>HYPERLINK("https://www.nba.com/stats/events?CFID=&amp;CFPARAMS=&amp;GameEventID=206&amp;GameID=0022000605&amp;Season=2020-21&amp;flag=1&amp;title=Leonard%2011'%20turnaround%20fadeaway%20Jump%20Shot%20(8%20PTS)", "11' turnaround fadeaway Jump Shot (8 PTS)")</f>
        <v>11' turnaround fadeaway Jump Shot (8 PTS)</v>
      </c>
      <c r="L2343" s="2" t="str">
        <f>HYPERLINK("https://www.nba.com/game/...-vs-...-0022000605/play-by-play?watchFullGame=true", "LAC vs DAL - Q2 04:48.00")</f>
        <v>LAC vs DAL - Q2 04:48.00</v>
      </c>
      <c r="M2343">
        <v>11.51</v>
      </c>
      <c r="N2343">
        <v>95.88</v>
      </c>
      <c r="O2343">
        <v>72.86</v>
      </c>
      <c r="P2343">
        <v>114</v>
      </c>
      <c r="Q2343">
        <v>-14</v>
      </c>
      <c r="R2343">
        <v>95</v>
      </c>
      <c r="S2343">
        <v>72</v>
      </c>
    </row>
    <row r="2344" spans="1:19" hidden="1" x14ac:dyDescent="0.25">
      <c r="A2344">
        <v>22400671</v>
      </c>
      <c r="B2344" t="s">
        <v>18</v>
      </c>
      <c r="C2344" t="s">
        <v>19</v>
      </c>
      <c r="D2344">
        <v>9</v>
      </c>
      <c r="E2344">
        <v>9</v>
      </c>
      <c r="F2344">
        <v>0</v>
      </c>
      <c r="G2344">
        <v>1</v>
      </c>
      <c r="H2344" s="1">
        <v>5.5439814814814813E-3</v>
      </c>
      <c r="I2344">
        <v>2024</v>
      </c>
      <c r="J2344" t="s">
        <v>83</v>
      </c>
      <c r="K2344" s="2" t="str">
        <f>HYPERLINK("https://www.nba.com/stats/events?CFID=&amp;CFPARAMS=&amp;GameEventID=49&amp;GameID=0022400671&amp;Season=2024-25&amp;flag=1&amp;title=Leonard%2010'%20fadeaway%20Jump%20Shot%20(2%20PTS)", "10' fadeaway Jump Shot (2 PTS)")</f>
        <v>10' fadeaway Jump Shot (2 PTS)</v>
      </c>
      <c r="L2344" s="2" t="str">
        <f>HYPERLINK("https://www.nba.com/game/...-vs-...-0022400671/play-by-play?watchFullGame=true", "LAC vs SAS - Q1 07:59.00")</f>
        <v>LAC vs SAS - Q1 07:59.00</v>
      </c>
      <c r="M2344">
        <v>10.95</v>
      </c>
      <c r="N2344">
        <v>95.35</v>
      </c>
      <c r="O2344">
        <v>71.81</v>
      </c>
      <c r="P2344">
        <v>109</v>
      </c>
      <c r="Q2344">
        <v>-9</v>
      </c>
      <c r="R2344">
        <v>95</v>
      </c>
      <c r="S2344">
        <v>71</v>
      </c>
    </row>
    <row r="2345" spans="1:19" hidden="1" x14ac:dyDescent="0.25">
      <c r="A2345">
        <v>21900212</v>
      </c>
      <c r="B2345" t="s">
        <v>18</v>
      </c>
      <c r="C2345" t="s">
        <v>84</v>
      </c>
      <c r="D2345">
        <v>71</v>
      </c>
      <c r="E2345">
        <v>75</v>
      </c>
      <c r="F2345">
        <v>4</v>
      </c>
      <c r="G2345">
        <v>4</v>
      </c>
      <c r="H2345" s="1">
        <v>7.743055555555556E-3</v>
      </c>
      <c r="I2345">
        <v>2019</v>
      </c>
      <c r="J2345" t="s">
        <v>83</v>
      </c>
      <c r="K2345" s="2" t="str">
        <f>HYPERLINK("https://www.nba.com/stats/events?CFID=&amp;CFPARAMS=&amp;GameEventID=514&amp;GameID=0021900212&amp;Season=2019-20&amp;flag=1&amp;title=Leonard%20jumpshot%20(15%20PTS)", "Jumpshot (15 PTS)")</f>
        <v>Jumpshot (15 PTS)</v>
      </c>
      <c r="L2345" s="2" t="str">
        <f>HYPERLINK("https://www.nba.com/game/...-vs-...-0021900212/play-by-play?watchFullGame=true", "LAC vs BOS - Q4 11:09.00")</f>
        <v>LAC vs BOS - Q4 11:09.00</v>
      </c>
      <c r="M2345">
        <v>3.52</v>
      </c>
      <c r="N2345">
        <v>95.06</v>
      </c>
      <c r="O2345">
        <v>57.04</v>
      </c>
      <c r="P2345">
        <v>35</v>
      </c>
      <c r="Q2345">
        <v>-6</v>
      </c>
      <c r="R2345">
        <v>95</v>
      </c>
      <c r="S2345">
        <v>57</v>
      </c>
    </row>
    <row r="2346" spans="1:19" hidden="1" x14ac:dyDescent="0.25">
      <c r="A2346">
        <v>41900237</v>
      </c>
      <c r="B2346" t="s">
        <v>18</v>
      </c>
      <c r="C2346" t="s">
        <v>90</v>
      </c>
      <c r="D2346">
        <v>4</v>
      </c>
      <c r="E2346">
        <v>6</v>
      </c>
      <c r="F2346">
        <v>2</v>
      </c>
      <c r="G2346">
        <v>1</v>
      </c>
      <c r="H2346" s="1">
        <v>6.3657407407407404E-3</v>
      </c>
      <c r="I2346" t="s">
        <v>85</v>
      </c>
      <c r="J2346" t="s">
        <v>83</v>
      </c>
      <c r="K2346" s="2" t="str">
        <f>HYPERLINK("https://www.nba.com/stats/events?CFID=&amp;CFPARAMS=&amp;GameEventID=33&amp;GameID=0041900237&amp;Season=2019-20&amp;flag=1&amp;title=Leonard%20layup%20(2%20PTS)%20(P.%20Beverley%201%20AST)", "Layup (2 PTS) (P. Beverley 1 AST)")</f>
        <v>Layup (2 PTS) (P. Beverley 1 AST)</v>
      </c>
      <c r="L2346" s="2" t="str">
        <f>HYPERLINK("https://www.nba.com/game/...-vs-...-0041900237/play-by-play?watchFullGame=true", "LAC vs DEN - Q1 09:10.00")</f>
        <v>LAC vs DEN - Q1 09:10.00</v>
      </c>
      <c r="M2346">
        <v>1.26</v>
      </c>
      <c r="N2346">
        <v>95.09</v>
      </c>
      <c r="O2346">
        <v>52.52</v>
      </c>
      <c r="P2346">
        <v>13</v>
      </c>
      <c r="Q2346">
        <v>-6</v>
      </c>
      <c r="R2346">
        <v>95</v>
      </c>
      <c r="S2346">
        <v>52</v>
      </c>
    </row>
    <row r="2347" spans="1:19" hidden="1" x14ac:dyDescent="0.25">
      <c r="A2347">
        <v>21900035</v>
      </c>
      <c r="B2347" t="s">
        <v>18</v>
      </c>
      <c r="C2347" t="s">
        <v>92</v>
      </c>
      <c r="D2347">
        <v>64</v>
      </c>
      <c r="E2347">
        <v>62</v>
      </c>
      <c r="F2347">
        <v>2</v>
      </c>
      <c r="G2347">
        <v>3</v>
      </c>
      <c r="H2347" s="1">
        <v>6.053240740740741E-3</v>
      </c>
      <c r="I2347">
        <v>2019</v>
      </c>
      <c r="J2347" t="s">
        <v>83</v>
      </c>
      <c r="K2347" s="2" t="str">
        <f>HYPERLINK("https://www.nba.com/stats/events?CFID=&amp;CFPARAMS=&amp;GameEventID=428&amp;GameID=0021900035&amp;Season=2019-20&amp;flag=1&amp;title=[LAC]%20Leonard%20dunk:%20Made%20(12%20PTS)", "[LAC] Leonard dunk: Made (12 PTS)")</f>
        <v>[LAC] Leonard dunk: Made (12 PTS)</v>
      </c>
      <c r="L2347" s="2" t="str">
        <f>HYPERLINK("https://www.nba.com/game/...-vs-...-0021900035/play-by-play?watchFullGame=true", "LAC vs PHX - Q3 08:43.00")</f>
        <v>LAC vs PHX - Q3 08:43.00</v>
      </c>
      <c r="M2347">
        <v>0.52</v>
      </c>
      <c r="N2347">
        <v>95.35</v>
      </c>
      <c r="O2347">
        <v>50.8</v>
      </c>
      <c r="P2347">
        <v>4</v>
      </c>
      <c r="Q2347">
        <v>-9</v>
      </c>
      <c r="R2347">
        <v>95</v>
      </c>
      <c r="S2347">
        <v>50</v>
      </c>
    </row>
    <row r="2348" spans="1:19" hidden="1" x14ac:dyDescent="0.25">
      <c r="A2348">
        <v>22300052</v>
      </c>
      <c r="B2348" t="s">
        <v>18</v>
      </c>
      <c r="C2348" t="s">
        <v>88</v>
      </c>
      <c r="D2348">
        <v>71</v>
      </c>
      <c r="E2348">
        <v>67</v>
      </c>
      <c r="F2348">
        <v>4</v>
      </c>
      <c r="G2348">
        <v>3</v>
      </c>
      <c r="H2348" s="1">
        <v>5.138888888888889E-3</v>
      </c>
      <c r="I2348">
        <v>2023</v>
      </c>
      <c r="J2348" t="s">
        <v>83</v>
      </c>
      <c r="K2348" s="2" t="str">
        <f>HYPERLINK("https://www.nba.com/stats/events?CFID=&amp;CFPARAMS=&amp;GameEventID=387&amp;GameID=0022300052&amp;Season=2023-24&amp;flag=1&amp;title=Leonard%20running%20DUNK%20(14%20PTS)%20(J.%20Harden%207%20AST)", "Running DUNK (14 PTS) (J. Harden 7 AST)")</f>
        <v>Running DUNK (14 PTS) (J. Harden 7 AST)</v>
      </c>
      <c r="L2348" s="2" t="str">
        <f>HYPERLINK("https://www.nba.com/game/...-vs-...-0022300052/play-by-play?watchFullGame=true", "LAC vs NOP - Q3 07:24.00")</f>
        <v>LAC vs NOP - Q3 07:24.00</v>
      </c>
      <c r="M2348">
        <v>1.47</v>
      </c>
      <c r="N2348">
        <v>95.58</v>
      </c>
      <c r="O2348">
        <v>51.96</v>
      </c>
      <c r="P2348">
        <v>10</v>
      </c>
      <c r="Q2348">
        <v>-11</v>
      </c>
      <c r="R2348">
        <v>95</v>
      </c>
      <c r="S2348">
        <v>51</v>
      </c>
    </row>
    <row r="2349" spans="1:19" hidden="1" x14ac:dyDescent="0.25">
      <c r="A2349">
        <v>22300827</v>
      </c>
      <c r="B2349" t="s">
        <v>18</v>
      </c>
      <c r="C2349" t="s">
        <v>88</v>
      </c>
      <c r="D2349">
        <v>20</v>
      </c>
      <c r="E2349">
        <v>22</v>
      </c>
      <c r="F2349">
        <v>2</v>
      </c>
      <c r="G2349">
        <v>1</v>
      </c>
      <c r="H2349" s="1">
        <v>2.5231481481481481E-3</v>
      </c>
      <c r="I2349">
        <v>2023</v>
      </c>
      <c r="J2349" t="s">
        <v>83</v>
      </c>
      <c r="K2349" s="2" t="str">
        <f>HYPERLINK("https://www.nba.com/stats/events?CFID=&amp;CFPARAMS=&amp;GameEventID=105&amp;GameID=0022300827&amp;Season=2023-24&amp;flag=1&amp;title=Leonard%20running%20DUNK%20(4%20PTS)", "Running DUNK (4 PTS)")</f>
        <v>Running DUNK (4 PTS)</v>
      </c>
      <c r="L2349" s="2" t="str">
        <f>HYPERLINK("https://www.nba.com/game/...-vs-...-0022300827/play-by-play?watchFullGame=true", "LAC vs SAC - Q1 03:38.00")</f>
        <v>LAC vs SAC - Q1 03:38.00</v>
      </c>
      <c r="M2349">
        <v>0.85</v>
      </c>
      <c r="N2349">
        <v>95.32</v>
      </c>
      <c r="O2349">
        <v>50</v>
      </c>
      <c r="P2349">
        <v>95</v>
      </c>
      <c r="Q2349">
        <v>-8</v>
      </c>
      <c r="R2349">
        <v>95</v>
      </c>
      <c r="S2349">
        <v>50</v>
      </c>
    </row>
    <row r="2350" spans="1:19" x14ac:dyDescent="0.25">
      <c r="A2350">
        <v>22200509</v>
      </c>
      <c r="B2350" t="s">
        <v>26</v>
      </c>
      <c r="C2350" t="s">
        <v>19</v>
      </c>
      <c r="D2350">
        <v>27</v>
      </c>
      <c r="E2350">
        <v>25</v>
      </c>
      <c r="F2350">
        <v>2</v>
      </c>
      <c r="G2350">
        <v>1</v>
      </c>
      <c r="H2350" s="1">
        <v>6.111111111111111E-4</v>
      </c>
      <c r="I2350">
        <v>2022</v>
      </c>
      <c r="J2350" t="s">
        <v>83</v>
      </c>
      <c r="K2350" s="2" t="str">
        <f>HYPERLINK("https://www.nba.com/stats/events?CFID=&amp;CFPARAMS=&amp;GameEventID=138&amp;GameID=0022200509&amp;Season=2022-23&amp;flag=1&amp;title=Leonard%2024'%203PT%20%20(5%20PTS)%20(M.%20Morris%20Sr.%201%20AST)", "24' 3PT  (5 PTS) (M. Morris Sr. 1 AST)")</f>
        <v>24' 3PT  (5 PTS) (M. Morris Sr. 1 AST)</v>
      </c>
      <c r="L2350" s="2" t="str">
        <f>HYPERLINK("https://www.nba.com/game/...-vs-...-0022200509/play-by-play?watchFullGame=true", "LAC vs TOR - Q1 00:52.80")</f>
        <v>LAC vs TOR - Q1 00:52.80</v>
      </c>
      <c r="M2350">
        <v>24.09</v>
      </c>
      <c r="N2350">
        <v>96.4</v>
      </c>
      <c r="O2350">
        <v>1.96</v>
      </c>
      <c r="P2350">
        <v>-240</v>
      </c>
      <c r="Q2350">
        <v>-19</v>
      </c>
      <c r="R2350">
        <v>96</v>
      </c>
      <c r="S2350">
        <v>1</v>
      </c>
    </row>
    <row r="2351" spans="1:19" hidden="1" x14ac:dyDescent="0.25">
      <c r="A2351">
        <v>22300304</v>
      </c>
      <c r="B2351" t="s">
        <v>18</v>
      </c>
      <c r="C2351" t="s">
        <v>19</v>
      </c>
      <c r="D2351">
        <v>31</v>
      </c>
      <c r="E2351">
        <v>22</v>
      </c>
      <c r="F2351">
        <v>9</v>
      </c>
      <c r="G2351">
        <v>1</v>
      </c>
      <c r="H2351" s="1">
        <v>1.9560185185185184E-3</v>
      </c>
      <c r="I2351">
        <v>2023</v>
      </c>
      <c r="J2351" t="s">
        <v>83</v>
      </c>
      <c r="K2351" s="2" t="str">
        <f>HYPERLINK("https://www.nba.com/stats/events?CFID=&amp;CFPARAMS=&amp;GameEventID=106&amp;GameID=0022300304&amp;Season=2023-24&amp;flag=1&amp;title=Leonard%2015'%20fadeaway%20Jump%20Shot%20(6%20PTS)%20(R.%20Westbrook%203%20AST)", "15' fadeaway Jump Shot (6 PTS) (R. Westbrook 3 AST)")</f>
        <v>15' fadeaway Jump Shot (6 PTS) (R. Westbrook 3 AST)</v>
      </c>
      <c r="L2351" s="2" t="str">
        <f>HYPERLINK("https://www.nba.com/game/...-vs-...-0022300304/play-by-play?watchFullGame=true", "LAC vs POR - Q1 02:49.00")</f>
        <v>LAC vs POR - Q1 02:49.00</v>
      </c>
      <c r="M2351">
        <v>15.17</v>
      </c>
      <c r="N2351">
        <v>96.24</v>
      </c>
      <c r="O2351">
        <v>80.150000000000006</v>
      </c>
      <c r="P2351">
        <v>151</v>
      </c>
      <c r="Q2351">
        <v>-17</v>
      </c>
      <c r="R2351">
        <v>96</v>
      </c>
      <c r="S2351">
        <v>80</v>
      </c>
    </row>
    <row r="2352" spans="1:19" hidden="1" x14ac:dyDescent="0.25">
      <c r="A2352">
        <v>22201041</v>
      </c>
      <c r="B2352" t="s">
        <v>18</v>
      </c>
      <c r="C2352" t="s">
        <v>19</v>
      </c>
      <c r="D2352">
        <v>63</v>
      </c>
      <c r="E2352">
        <v>61</v>
      </c>
      <c r="F2352">
        <v>2</v>
      </c>
      <c r="G2352">
        <v>3</v>
      </c>
      <c r="H2352" s="1">
        <v>7.8009259259259256E-3</v>
      </c>
      <c r="I2352">
        <v>2022</v>
      </c>
      <c r="J2352" t="s">
        <v>83</v>
      </c>
      <c r="K2352" s="2" t="str">
        <f>HYPERLINK("https://www.nba.com/stats/events?CFID=&amp;CFPARAMS=&amp;GameEventID=338&amp;GameID=0022201041&amp;Season=2022-23&amp;flag=1&amp;title=Leonard%2015'%20fadeaway%20Jump%20Shot%20(19%20PTS)", "15' fadeaway Jump Shot (19 PTS)")</f>
        <v>15' fadeaway Jump Shot (19 PTS)</v>
      </c>
      <c r="L2352" s="2" t="str">
        <f>HYPERLINK("https://www.nba.com/game/...-vs-...-0022201041/play-by-play?watchFullGame=true", "LAC vs GSW - Q3 11:14.00")</f>
        <v>LAC vs GSW - Q3 11:14.00</v>
      </c>
      <c r="M2352">
        <v>15.38</v>
      </c>
      <c r="N2352">
        <v>96.9</v>
      </c>
      <c r="O2352">
        <v>80.39</v>
      </c>
      <c r="P2352">
        <v>152</v>
      </c>
      <c r="Q2352">
        <v>-23</v>
      </c>
      <c r="R2352">
        <v>96</v>
      </c>
      <c r="S2352">
        <v>80</v>
      </c>
    </row>
    <row r="2353" spans="1:19" hidden="1" x14ac:dyDescent="0.25">
      <c r="A2353">
        <v>22000251</v>
      </c>
      <c r="B2353" t="s">
        <v>18</v>
      </c>
      <c r="C2353" t="s">
        <v>19</v>
      </c>
      <c r="D2353">
        <v>43</v>
      </c>
      <c r="E2353">
        <v>33</v>
      </c>
      <c r="F2353">
        <v>10</v>
      </c>
      <c r="G2353">
        <v>2</v>
      </c>
      <c r="H2353" s="1">
        <v>3.2986111111111111E-3</v>
      </c>
      <c r="I2353">
        <v>2020</v>
      </c>
      <c r="J2353" t="s">
        <v>83</v>
      </c>
      <c r="K2353" s="2" t="str">
        <f>HYPERLINK("https://www.nba.com/stats/events?CFID=&amp;CFPARAMS=&amp;GameEventID=252&amp;GameID=0022000251&amp;Season=2020-21&amp;flag=1&amp;title=Leonard%2011'%20pullup%20Jump%20Shot%20(16%20PTS)", "11' pullup Jump Shot (16 PTS)")</f>
        <v>11' pullup Jump Shot (16 PTS)</v>
      </c>
      <c r="L2353" s="2" t="str">
        <f>HYPERLINK("https://www.nba.com/game/...-vs-...-0022000251/play-by-play?watchFullGame=true", "LAC vs OKC - Q2 04:45.00")</f>
        <v>LAC vs OKC - Q2 04:45.00</v>
      </c>
      <c r="M2353">
        <v>11.06</v>
      </c>
      <c r="N2353">
        <v>96.14</v>
      </c>
      <c r="O2353">
        <v>71.88</v>
      </c>
      <c r="P2353">
        <v>109</v>
      </c>
      <c r="Q2353">
        <v>-16</v>
      </c>
      <c r="R2353">
        <v>96</v>
      </c>
      <c r="S2353">
        <v>71</v>
      </c>
    </row>
    <row r="2354" spans="1:19" hidden="1" x14ac:dyDescent="0.25">
      <c r="A2354">
        <v>22200223</v>
      </c>
      <c r="B2354" t="s">
        <v>18</v>
      </c>
      <c r="C2354" t="s">
        <v>19</v>
      </c>
      <c r="D2354">
        <v>9</v>
      </c>
      <c r="E2354">
        <v>6</v>
      </c>
      <c r="F2354">
        <v>3</v>
      </c>
      <c r="G2354">
        <v>1</v>
      </c>
      <c r="H2354" s="1">
        <v>5.0810185185185186E-3</v>
      </c>
      <c r="I2354">
        <v>2022</v>
      </c>
      <c r="J2354" t="s">
        <v>83</v>
      </c>
      <c r="K2354" s="2" t="str">
        <f>HYPERLINK("https://www.nba.com/stats/events?CFID=&amp;CFPARAMS=&amp;GameEventID=57&amp;GameID=0022200223&amp;Season=2022-23&amp;flag=1&amp;title=Leonard%2011'%20turnaround%20Jump%20Shot%20(2%20PTS)", "11' turnaround Jump Shot (2 PTS)")</f>
        <v>11' turnaround Jump Shot (2 PTS)</v>
      </c>
      <c r="L2354" s="2" t="str">
        <f>HYPERLINK("https://www.nba.com/game/...-vs-...-0022200223/play-by-play?watchFullGame=true", "LAC vs DET - Q1 07:19.00")</f>
        <v>LAC vs DET - Q1 07:19.00</v>
      </c>
      <c r="M2354">
        <v>11.78</v>
      </c>
      <c r="N2354">
        <v>97.55</v>
      </c>
      <c r="O2354">
        <v>72.790000000000006</v>
      </c>
      <c r="P2354">
        <v>114</v>
      </c>
      <c r="Q2354">
        <v>-29</v>
      </c>
      <c r="R2354">
        <v>97</v>
      </c>
      <c r="S2354">
        <v>72</v>
      </c>
    </row>
    <row r="2355" spans="1:19" hidden="1" x14ac:dyDescent="0.25">
      <c r="A2355">
        <v>22200639</v>
      </c>
      <c r="B2355" t="s">
        <v>18</v>
      </c>
      <c r="C2355" t="s">
        <v>19</v>
      </c>
      <c r="D2355">
        <v>19</v>
      </c>
      <c r="E2355">
        <v>16</v>
      </c>
      <c r="F2355">
        <v>3</v>
      </c>
      <c r="G2355">
        <v>1</v>
      </c>
      <c r="H2355" s="1">
        <v>4.6296296296296294E-3</v>
      </c>
      <c r="I2355">
        <v>2022</v>
      </c>
      <c r="J2355" t="s">
        <v>83</v>
      </c>
      <c r="K2355" s="2" t="str">
        <f>HYPERLINK("https://www.nba.com/stats/events?CFID=&amp;CFPARAMS=&amp;GameEventID=55&amp;GameID=0022200639&amp;Season=2022-23&amp;flag=1&amp;title=Leonard%208'%20pullup%20Jump%20Shot%20(8%20PTS)", "8' pullup Jump Shot (8 PTS)")</f>
        <v>8' pullup Jump Shot (8 PTS)</v>
      </c>
      <c r="L2355" s="2" t="str">
        <f>HYPERLINK("https://www.nba.com/game/...-vs-...-0022200639/play-by-play?watchFullGame=true", "LAC vs DEN - Q1 06:40.00")</f>
        <v>LAC vs DEN - Q1 06:40.00</v>
      </c>
      <c r="M2355">
        <v>8.42</v>
      </c>
      <c r="N2355">
        <v>97.68</v>
      </c>
      <c r="O2355">
        <v>65.69</v>
      </c>
      <c r="P2355">
        <v>78</v>
      </c>
      <c r="Q2355">
        <v>-31</v>
      </c>
      <c r="R2355">
        <v>97</v>
      </c>
      <c r="S2355">
        <v>65</v>
      </c>
    </row>
    <row r="2356" spans="1:19" hidden="1" x14ac:dyDescent="0.25">
      <c r="A2356">
        <v>21600114</v>
      </c>
      <c r="B2356" t="s">
        <v>26</v>
      </c>
      <c r="C2356" t="s">
        <v>19</v>
      </c>
      <c r="D2356">
        <v>60</v>
      </c>
      <c r="E2356">
        <v>60</v>
      </c>
      <c r="F2356">
        <v>0</v>
      </c>
      <c r="G2356">
        <v>2</v>
      </c>
      <c r="H2356" s="1">
        <v>7.9861111111111116E-5</v>
      </c>
      <c r="I2356">
        <v>2016</v>
      </c>
      <c r="J2356" t="s">
        <v>20</v>
      </c>
      <c r="K2356" s="2" t="str">
        <f>HYPERLINK("https://www.nba.com/stats/events?CFID=&amp;CFPARAMS=&amp;GameEventID=289&amp;GameID=0021600114&amp;Season=2016-17&amp;flag=1&amp;title=Leonard%2033'%203PT%20Jump%20Shot%20(19%20PTS)%20(Ginobili%202%20AST)", "Leonard 33' 3PT Jump Shot (19 PTS) (Ginobili 2 AST)")</f>
        <v>Leonard 33' 3PT Jump Shot (19 PTS) (Ginobili 2 AST)</v>
      </c>
      <c r="L2356" s="2" t="str">
        <f>HYPERLINK("https://www.nba.com/game/...-vs-...-0021600114/play-by-play?watchFullGame=true", "SAS vs HOU - Q2 00:06.90")</f>
        <v>SAS vs HOU - Q2 00:06.90</v>
      </c>
      <c r="M2356">
        <v>33</v>
      </c>
      <c r="N2356">
        <v>140</v>
      </c>
      <c r="O2356">
        <v>296</v>
      </c>
      <c r="P2356">
        <v>140</v>
      </c>
      <c r="Q2356">
        <v>296</v>
      </c>
      <c r="R2356" t="s">
        <v>21</v>
      </c>
      <c r="S2356" t="s">
        <v>21</v>
      </c>
    </row>
    <row r="2357" spans="1:19" hidden="1" x14ac:dyDescent="0.25">
      <c r="A2357">
        <v>21800470</v>
      </c>
      <c r="B2357" t="s">
        <v>26</v>
      </c>
      <c r="C2357" t="s">
        <v>19</v>
      </c>
      <c r="D2357">
        <v>59</v>
      </c>
      <c r="E2357">
        <v>47</v>
      </c>
      <c r="F2357">
        <v>12</v>
      </c>
      <c r="G2357">
        <v>2</v>
      </c>
      <c r="H2357" s="1">
        <v>1.1226851851851851E-3</v>
      </c>
      <c r="I2357">
        <v>2018</v>
      </c>
      <c r="J2357" t="s">
        <v>48</v>
      </c>
      <c r="K2357" s="2" t="str">
        <f>HYPERLINK("https://www.nba.com/stats/events?CFID=&amp;CFPARAMS=&amp;GameEventID=282&amp;GameID=0021800470&amp;Season=2018-19&amp;flag=1&amp;title=Leonard%2032'%203PT%20Jump%20Shot%20(15%20PTS)%20(Wright%202%20AST)", "Leonard 32' 3PT Jump Shot (15 PTS) (Wright 2 AST)")</f>
        <v>Leonard 32' 3PT Jump Shot (15 PTS) (Wright 2 AST)</v>
      </c>
      <c r="L2357" s="2" t="str">
        <f>HYPERLINK("https://www.nba.com/game/...-vs-...-0021800470/play-by-play?watchFullGame=true", "TOR vs CLE - Q2 01:37.00")</f>
        <v>TOR vs CLE - Q2 01:37.00</v>
      </c>
      <c r="M2357">
        <v>32</v>
      </c>
      <c r="N2357">
        <v>139</v>
      </c>
      <c r="O2357">
        <v>289</v>
      </c>
      <c r="P2357">
        <v>139</v>
      </c>
      <c r="Q2357">
        <v>289</v>
      </c>
      <c r="R2357" t="s">
        <v>21</v>
      </c>
      <c r="S2357" t="s">
        <v>21</v>
      </c>
    </row>
    <row r="2358" spans="1:19" hidden="1" x14ac:dyDescent="0.25">
      <c r="A2358">
        <v>21800316</v>
      </c>
      <c r="B2358" t="s">
        <v>26</v>
      </c>
      <c r="C2358" t="s">
        <v>39</v>
      </c>
      <c r="D2358">
        <v>65</v>
      </c>
      <c r="E2358">
        <v>54</v>
      </c>
      <c r="F2358">
        <v>11</v>
      </c>
      <c r="G2358">
        <v>2</v>
      </c>
      <c r="H2358" s="1">
        <v>9.2592592592592596E-4</v>
      </c>
      <c r="I2358">
        <v>2018</v>
      </c>
      <c r="J2358" t="s">
        <v>48</v>
      </c>
      <c r="K2358" s="2" t="str">
        <f>HYPERLINK("https://www.nba.com/stats/events?CFID=&amp;CFPARAMS=&amp;GameEventID=314&amp;GameID=0021800316&amp;Season=2018-19&amp;flag=1&amp;title=Leonard%2029'%203PT%20Step%20Back%20Jump%20Shot%20(20%20PTS)", "Leonard 29' 3PT Step Back Jump Shot (20 PTS)")</f>
        <v>Leonard 29' 3PT Step Back Jump Shot (20 PTS)</v>
      </c>
      <c r="L2358" s="2" t="str">
        <f>HYPERLINK("https://www.nba.com/game/...-vs-...-0021800316/play-by-play?watchFullGame=true", "TOR vs GSW - Q2 01:20.00")</f>
        <v>TOR vs GSW - Q2 01:20.00</v>
      </c>
      <c r="M2358">
        <v>29</v>
      </c>
      <c r="N2358">
        <v>-120</v>
      </c>
      <c r="O2358">
        <v>269</v>
      </c>
      <c r="P2358">
        <v>-120</v>
      </c>
      <c r="Q2358">
        <v>269</v>
      </c>
      <c r="R2358" t="s">
        <v>21</v>
      </c>
      <c r="S2358" t="s">
        <v>21</v>
      </c>
    </row>
    <row r="2359" spans="1:19" hidden="1" x14ac:dyDescent="0.25">
      <c r="A2359">
        <v>41800305</v>
      </c>
      <c r="B2359" t="s">
        <v>26</v>
      </c>
      <c r="C2359" t="s">
        <v>19</v>
      </c>
      <c r="D2359">
        <v>70</v>
      </c>
      <c r="E2359">
        <v>71</v>
      </c>
      <c r="F2359">
        <v>1</v>
      </c>
      <c r="G2359">
        <v>3</v>
      </c>
      <c r="H2359" s="1">
        <v>1.0648148148148149E-3</v>
      </c>
      <c r="I2359" t="s">
        <v>60</v>
      </c>
      <c r="J2359" t="s">
        <v>48</v>
      </c>
      <c r="K2359" s="2" t="str">
        <f>HYPERLINK("https://www.nba.com/stats/events?CFID=&amp;CFPARAMS=&amp;GameEventID=456&amp;GameID=0041800305&amp;Season=2018-19&amp;flag=1&amp;title=Leonard%2029'%203PT%20Jump%20Shot%20(18%20PTS)%20(Lowry%205%20AST)", "Leonard 29' 3PT Jump Shot (18 PTS) (Lowry 5 AST)")</f>
        <v>Leonard 29' 3PT Jump Shot (18 PTS) (Lowry 5 AST)</v>
      </c>
      <c r="L2359" s="2" t="str">
        <f>HYPERLINK("https://www.nba.com/game/...-vs-...-0041800305/play-by-play?watchFullGame=true", "TOR vs MIL - Q3 01:32.00")</f>
        <v>TOR vs MIL - Q3 01:32.00</v>
      </c>
      <c r="M2359">
        <v>29</v>
      </c>
      <c r="N2359">
        <v>-183</v>
      </c>
      <c r="O2359">
        <v>221</v>
      </c>
      <c r="P2359">
        <v>-183</v>
      </c>
      <c r="Q2359">
        <v>221</v>
      </c>
      <c r="R2359" t="s">
        <v>21</v>
      </c>
      <c r="S2359" t="s">
        <v>21</v>
      </c>
    </row>
    <row r="2360" spans="1:19" hidden="1" x14ac:dyDescent="0.25">
      <c r="A2360">
        <v>21600727</v>
      </c>
      <c r="B2360" t="s">
        <v>26</v>
      </c>
      <c r="C2360" t="s">
        <v>36</v>
      </c>
      <c r="D2360">
        <v>96</v>
      </c>
      <c r="E2360">
        <v>82</v>
      </c>
      <c r="F2360">
        <v>14</v>
      </c>
      <c r="G2360">
        <v>4</v>
      </c>
      <c r="H2360" s="1">
        <v>4.2476851851851851E-3</v>
      </c>
      <c r="I2360">
        <v>2016</v>
      </c>
      <c r="J2360" t="s">
        <v>20</v>
      </c>
      <c r="K2360" s="2" t="str">
        <f>HYPERLINK("https://www.nba.com/stats/events?CFID=&amp;CFPARAMS=&amp;GameEventID=578&amp;GameID=0021600727&amp;Season=2016-17&amp;flag=1&amp;title=Leonard%2029'%203PT%20Pullup%20Jump%20Shot%20(34%20PTS)", "Leonard 29' 3PT Pullup Jump Shot (34 PTS)")</f>
        <v>Leonard 29' 3PT Pullup Jump Shot (34 PTS)</v>
      </c>
      <c r="L2360" s="2" t="str">
        <f>HYPERLINK("https://www.nba.com/game/...-vs-...-0021600727/play-by-play?watchFullGame=true", "SAS vs OKC - Q4 06:07.00")</f>
        <v>SAS vs OKC - Q4 06:07.00</v>
      </c>
      <c r="M2360">
        <v>29</v>
      </c>
      <c r="N2360">
        <v>50</v>
      </c>
      <c r="O2360">
        <v>282</v>
      </c>
      <c r="P2360">
        <v>50</v>
      </c>
      <c r="Q2360">
        <v>282</v>
      </c>
      <c r="R2360" t="s">
        <v>21</v>
      </c>
      <c r="S2360" t="s">
        <v>21</v>
      </c>
    </row>
    <row r="2361" spans="1:19" hidden="1" x14ac:dyDescent="0.25">
      <c r="A2361">
        <v>21601085</v>
      </c>
      <c r="B2361" t="s">
        <v>26</v>
      </c>
      <c r="C2361" t="s">
        <v>29</v>
      </c>
      <c r="D2361">
        <v>42</v>
      </c>
      <c r="E2361">
        <v>26</v>
      </c>
      <c r="F2361">
        <v>16</v>
      </c>
      <c r="G2361">
        <v>2</v>
      </c>
      <c r="H2361" s="1">
        <v>5.3009259259259259E-3</v>
      </c>
      <c r="I2361">
        <v>2016</v>
      </c>
      <c r="J2361" t="s">
        <v>20</v>
      </c>
      <c r="K2361" s="2" t="str">
        <f>HYPERLINK("https://www.nba.com/stats/events?CFID=&amp;CFPARAMS=&amp;GameEventID=168&amp;GameID=0021601085&amp;Season=2016-17&amp;flag=1&amp;title=Leonard%2029'%203PT%20Jump%20Bank%20Shot%20(12%20PTS)%20(Anderson%202%20AST)", "Leonard 29' 3PT Jump Bank Shot (12 PTS) (Anderson 2 AST)")</f>
        <v>Leonard 29' 3PT Jump Bank Shot (12 PTS) (Anderson 2 AST)</v>
      </c>
      <c r="L2361" s="2" t="str">
        <f>HYPERLINK("https://www.nba.com/game/...-vs-...-0021601085/play-by-play?watchFullGame=true", "SAS vs NYK - Q2 07:38.00")</f>
        <v>SAS vs NYK - Q2 07:38.00</v>
      </c>
      <c r="M2361">
        <v>29</v>
      </c>
      <c r="N2361">
        <v>-2</v>
      </c>
      <c r="O2361">
        <v>287</v>
      </c>
      <c r="P2361">
        <v>-2</v>
      </c>
      <c r="Q2361">
        <v>287</v>
      </c>
      <c r="R2361" t="s">
        <v>21</v>
      </c>
      <c r="S2361" t="s">
        <v>21</v>
      </c>
    </row>
    <row r="2362" spans="1:19" hidden="1" x14ac:dyDescent="0.25">
      <c r="A2362">
        <v>41800406</v>
      </c>
      <c r="B2362" t="s">
        <v>26</v>
      </c>
      <c r="C2362" t="s">
        <v>19</v>
      </c>
      <c r="D2362">
        <v>67</v>
      </c>
      <c r="E2362">
        <v>64</v>
      </c>
      <c r="F2362">
        <v>3</v>
      </c>
      <c r="G2362">
        <v>3</v>
      </c>
      <c r="H2362" s="1">
        <v>6.3310185185185188E-3</v>
      </c>
      <c r="I2362" t="s">
        <v>60</v>
      </c>
      <c r="J2362" t="s">
        <v>48</v>
      </c>
      <c r="K2362" s="2" t="str">
        <f>HYPERLINK("https://www.nba.com/stats/events?CFID=&amp;CFPARAMS=&amp;GameEventID=349&amp;GameID=0041800406&amp;Season=2018-19&amp;flag=1&amp;title=Leonard%2029'%203PT%20Jump%20Shot%20(12%20PTS)%20(Gasol%203%20AST)", "Leonard 29' 3PT Jump Shot (12 PTS) (Gasol 3 AST)")</f>
        <v>Leonard 29' 3PT Jump Shot (12 PTS) (Gasol 3 AST)</v>
      </c>
      <c r="L2362" s="2" t="str">
        <f>HYPERLINK("https://www.nba.com/game/...-vs-...-0041800406/play-by-play?watchFullGame=true", "TOR vs GSW - Q3 09:07.00")</f>
        <v>TOR vs GSW - Q3 09:07.00</v>
      </c>
      <c r="M2362">
        <v>29</v>
      </c>
      <c r="N2362">
        <v>149</v>
      </c>
      <c r="O2362">
        <v>251</v>
      </c>
      <c r="P2362">
        <v>149</v>
      </c>
      <c r="Q2362">
        <v>251</v>
      </c>
      <c r="R2362" t="s">
        <v>21</v>
      </c>
      <c r="S2362" t="s">
        <v>21</v>
      </c>
    </row>
    <row r="2363" spans="1:19" hidden="1" x14ac:dyDescent="0.25">
      <c r="A2363">
        <v>41800403</v>
      </c>
      <c r="B2363" t="s">
        <v>26</v>
      </c>
      <c r="C2363" t="s">
        <v>19</v>
      </c>
      <c r="D2363">
        <v>69</v>
      </c>
      <c r="E2363">
        <v>59</v>
      </c>
      <c r="F2363">
        <v>10</v>
      </c>
      <c r="G2363">
        <v>3</v>
      </c>
      <c r="H2363" s="1">
        <v>6.076388888888889E-3</v>
      </c>
      <c r="I2363" t="s">
        <v>60</v>
      </c>
      <c r="J2363" t="s">
        <v>48</v>
      </c>
      <c r="K2363" s="2" t="str">
        <f>HYPERLINK("https://www.nba.com/stats/events?CFID=&amp;CFPARAMS=&amp;GameEventID=383&amp;GameID=0041800403&amp;Season=2018-19&amp;flag=1&amp;title=Leonard%2028'%203PT%20Jump%20Shot%20(14%20PTS)%20(Siakam%204%20AST)", "Leonard 28' 3PT Jump Shot (14 PTS) (Siakam 4 AST)")</f>
        <v>Leonard 28' 3PT Jump Shot (14 PTS) (Siakam 4 AST)</v>
      </c>
      <c r="L2363" s="2" t="str">
        <f>HYPERLINK("https://www.nba.com/game/...-vs-...-0041800403/play-by-play?watchFullGame=true", "TOR vs GSW - Q3 08:45.00")</f>
        <v>TOR vs GSW - Q3 08:45.00</v>
      </c>
      <c r="M2363">
        <v>28</v>
      </c>
      <c r="N2363">
        <v>161</v>
      </c>
      <c r="O2363">
        <v>225</v>
      </c>
      <c r="P2363">
        <v>161</v>
      </c>
      <c r="Q2363">
        <v>225</v>
      </c>
      <c r="R2363" t="s">
        <v>21</v>
      </c>
      <c r="S2363" t="s">
        <v>21</v>
      </c>
    </row>
    <row r="2364" spans="1:19" hidden="1" x14ac:dyDescent="0.25">
      <c r="A2364">
        <v>21301154</v>
      </c>
      <c r="B2364" t="s">
        <v>26</v>
      </c>
      <c r="C2364" t="s">
        <v>19</v>
      </c>
      <c r="D2364">
        <v>54</v>
      </c>
      <c r="E2364">
        <v>38</v>
      </c>
      <c r="F2364">
        <v>16</v>
      </c>
      <c r="G2364">
        <v>2</v>
      </c>
      <c r="H2364" s="1">
        <v>2.3148148148148148E-6</v>
      </c>
      <c r="I2364">
        <v>2013</v>
      </c>
      <c r="J2364" t="s">
        <v>20</v>
      </c>
      <c r="K2364" s="2" t="str">
        <f>HYPERLINK("https://www.nba.com/stats/events?CFID=&amp;CFPARAMS=&amp;GameEventID=239&amp;GameID=0021301154&amp;Season=2013-14&amp;flag=1&amp;title=Leonard%2027'%203PT%20Jump%20Shot%20(15%20PTS)%20(Diaw%201%20AST)", "Leonard 27' 3PT Jump Shot (15 PTS) (Diaw 1 AST)")</f>
        <v>Leonard 27' 3PT Jump Shot (15 PTS) (Diaw 1 AST)</v>
      </c>
      <c r="L2364" s="2" t="str">
        <f>HYPERLINK("https://www.nba.com/game/...-vs-...-0021301154/play-by-play?watchFullGame=true", "SAS vs MEM - Q2 00:00.20")</f>
        <v>SAS vs MEM - Q2 00:00.20</v>
      </c>
      <c r="M2364">
        <v>27</v>
      </c>
      <c r="N2364">
        <v>159</v>
      </c>
      <c r="O2364">
        <v>222</v>
      </c>
      <c r="P2364">
        <v>159</v>
      </c>
      <c r="Q2364">
        <v>222</v>
      </c>
      <c r="R2364" t="s">
        <v>21</v>
      </c>
      <c r="S2364" t="s">
        <v>21</v>
      </c>
    </row>
    <row r="2365" spans="1:19" hidden="1" x14ac:dyDescent="0.25">
      <c r="A2365">
        <v>21601033</v>
      </c>
      <c r="B2365" t="s">
        <v>26</v>
      </c>
      <c r="C2365" t="s">
        <v>19</v>
      </c>
      <c r="D2365">
        <v>41</v>
      </c>
      <c r="E2365">
        <v>42</v>
      </c>
      <c r="F2365">
        <v>1</v>
      </c>
      <c r="G2365">
        <v>2</v>
      </c>
      <c r="H2365" s="1">
        <v>3.7037037037037035E-4</v>
      </c>
      <c r="I2365">
        <v>2016</v>
      </c>
      <c r="J2365" t="s">
        <v>20</v>
      </c>
      <c r="K2365" s="2" t="str">
        <f>HYPERLINK("https://www.nba.com/stats/events?CFID=&amp;CFPARAMS=&amp;GameEventID=234&amp;GameID=0021601033&amp;Season=2016-17&amp;flag=1&amp;title=Leonard%2027'%203PT%20Jump%20Shot%20(9%20PTS)%20(Aldridge%202%20AST)", "Leonard 27' 3PT Jump Shot (9 PTS) (Aldridge 2 AST)")</f>
        <v>Leonard 27' 3PT Jump Shot (9 PTS) (Aldridge 2 AST)</v>
      </c>
      <c r="L2365" s="2" t="str">
        <f>HYPERLINK("https://www.nba.com/game/...-vs-...-0021601033/play-by-play?watchFullGame=true", "SAS vs MEM - Q2 00:32.00")</f>
        <v>SAS vs MEM - Q2 00:32.00</v>
      </c>
      <c r="M2365">
        <v>27</v>
      </c>
      <c r="N2365">
        <v>150</v>
      </c>
      <c r="O2365">
        <v>228</v>
      </c>
      <c r="P2365">
        <v>150</v>
      </c>
      <c r="Q2365">
        <v>228</v>
      </c>
      <c r="R2365" t="s">
        <v>21</v>
      </c>
      <c r="S2365" t="s">
        <v>21</v>
      </c>
    </row>
    <row r="2366" spans="1:19" hidden="1" x14ac:dyDescent="0.25">
      <c r="A2366">
        <v>21400108</v>
      </c>
      <c r="B2366" t="s">
        <v>26</v>
      </c>
      <c r="C2366" t="s">
        <v>36</v>
      </c>
      <c r="D2366">
        <v>113</v>
      </c>
      <c r="E2366">
        <v>98</v>
      </c>
      <c r="F2366">
        <v>15</v>
      </c>
      <c r="G2366">
        <v>4</v>
      </c>
      <c r="H2366" s="1">
        <v>6.180555555555555E-4</v>
      </c>
      <c r="I2366">
        <v>2014</v>
      </c>
      <c r="J2366" t="s">
        <v>20</v>
      </c>
      <c r="K2366" s="2" t="str">
        <f>HYPERLINK("https://www.nba.com/stats/events?CFID=&amp;CFPARAMS=&amp;GameEventID=473&amp;GameID=0021400108&amp;Season=2014-15&amp;flag=1&amp;title=Leonard%2027'%203PT%20Pullup%20Jump%20Shot%20(19%20PTS)%20(Ginobili%205%20AST)", "Leonard 27' 3PT Pullup Jump Shot (19 PTS) (Ginobili 5 AST)")</f>
        <v>Leonard 27' 3PT Pullup Jump Shot (19 PTS) (Ginobili 5 AST)</v>
      </c>
      <c r="L2366" s="2" t="str">
        <f>HYPERLINK("https://www.nba.com/game/...-vs-...-0021400108/play-by-play?watchFullGame=true", "SAS vs GSW - Q4 00:53.40")</f>
        <v>SAS vs GSW - Q4 00:53.40</v>
      </c>
      <c r="M2366">
        <v>27</v>
      </c>
      <c r="N2366">
        <v>-93</v>
      </c>
      <c r="O2366">
        <v>254</v>
      </c>
      <c r="P2366">
        <v>-93</v>
      </c>
      <c r="Q2366">
        <v>254</v>
      </c>
      <c r="R2366" t="s">
        <v>21</v>
      </c>
      <c r="S2366" t="s">
        <v>21</v>
      </c>
    </row>
    <row r="2367" spans="1:19" hidden="1" x14ac:dyDescent="0.25">
      <c r="A2367">
        <v>21800724</v>
      </c>
      <c r="B2367" t="s">
        <v>26</v>
      </c>
      <c r="C2367" t="s">
        <v>36</v>
      </c>
      <c r="D2367">
        <v>113</v>
      </c>
      <c r="E2367">
        <v>121</v>
      </c>
      <c r="F2367">
        <v>8</v>
      </c>
      <c r="G2367">
        <v>4</v>
      </c>
      <c r="H2367" s="1">
        <v>7.7546296296296293E-4</v>
      </c>
      <c r="I2367">
        <v>2018</v>
      </c>
      <c r="J2367" t="s">
        <v>48</v>
      </c>
      <c r="K2367" s="2" t="str">
        <f>HYPERLINK("https://www.nba.com/stats/events?CFID=&amp;CFPARAMS=&amp;GameEventID=650&amp;GameID=0021800724&amp;Season=2018-19&amp;flag=1&amp;title=Leonard%2027'%203PT%20Pullup%20Jump%20Shot%20(32%20PTS)", "Leonard 27' 3PT Pullup Jump Shot (32 PTS)")</f>
        <v>Leonard 27' 3PT Pullup Jump Shot (32 PTS)</v>
      </c>
      <c r="L2367" s="2" t="str">
        <f>HYPERLINK("https://www.nba.com/game/...-vs-...-0021800724/play-by-play?watchFullGame=true", "TOR vs HOU - Q4 01:07.00")</f>
        <v>TOR vs HOU - Q4 01:07.00</v>
      </c>
      <c r="M2367">
        <v>27</v>
      </c>
      <c r="N2367">
        <v>177</v>
      </c>
      <c r="O2367">
        <v>205</v>
      </c>
      <c r="P2367">
        <v>177</v>
      </c>
      <c r="Q2367">
        <v>205</v>
      </c>
      <c r="R2367" t="s">
        <v>21</v>
      </c>
      <c r="S2367" t="s">
        <v>21</v>
      </c>
    </row>
    <row r="2368" spans="1:19" hidden="1" x14ac:dyDescent="0.25">
      <c r="A2368">
        <v>41800111</v>
      </c>
      <c r="B2368" t="s">
        <v>26</v>
      </c>
      <c r="C2368" t="s">
        <v>39</v>
      </c>
      <c r="D2368">
        <v>99</v>
      </c>
      <c r="E2368">
        <v>99</v>
      </c>
      <c r="F2368">
        <v>0</v>
      </c>
      <c r="G2368">
        <v>4</v>
      </c>
      <c r="H2368" s="1">
        <v>1.0995370370370371E-3</v>
      </c>
      <c r="I2368" t="s">
        <v>60</v>
      </c>
      <c r="J2368" t="s">
        <v>48</v>
      </c>
      <c r="K2368" s="2" t="str">
        <f>HYPERLINK("https://www.nba.com/stats/events?CFID=&amp;CFPARAMS=&amp;GameEventID=595&amp;GameID=0041800111&amp;Season=2018-19&amp;flag=1&amp;title=Leonard%2027'%203PT%20Step%20Back%20Jump%20Shot%20(23%20PTS)%20(Siakam%204%20AST)", "Leonard 27' 3PT Step Back Jump Shot (23 PTS) (Siakam 4 AST)")</f>
        <v>Leonard 27' 3PT Step Back Jump Shot (23 PTS) (Siakam 4 AST)</v>
      </c>
      <c r="L2368" s="2" t="str">
        <f>HYPERLINK("https://www.nba.com/game/...-vs-...-0041800111/play-by-play?watchFullGame=true", "TOR vs ORL - Q4 01:35.00")</f>
        <v>TOR vs ORL - Q4 01:35.00</v>
      </c>
      <c r="M2368">
        <v>27</v>
      </c>
      <c r="N2368">
        <v>159</v>
      </c>
      <c r="O2368">
        <v>220</v>
      </c>
      <c r="P2368">
        <v>159</v>
      </c>
      <c r="Q2368">
        <v>220</v>
      </c>
      <c r="R2368" t="s">
        <v>21</v>
      </c>
      <c r="S2368" t="s">
        <v>21</v>
      </c>
    </row>
    <row r="2369" spans="1:19" hidden="1" x14ac:dyDescent="0.25">
      <c r="A2369">
        <v>21800332</v>
      </c>
      <c r="B2369" t="s">
        <v>26</v>
      </c>
      <c r="C2369" t="s">
        <v>19</v>
      </c>
      <c r="D2369">
        <v>44</v>
      </c>
      <c r="E2369">
        <v>33</v>
      </c>
      <c r="F2369">
        <v>11</v>
      </c>
      <c r="G2369">
        <v>2</v>
      </c>
      <c r="H2369" s="1">
        <v>2.0023148148148148E-3</v>
      </c>
      <c r="I2369">
        <v>2018</v>
      </c>
      <c r="J2369" t="s">
        <v>48</v>
      </c>
      <c r="K2369" s="2" t="str">
        <f>HYPERLINK("https://www.nba.com/stats/events?CFID=&amp;CFPARAMS=&amp;GameEventID=273&amp;GameID=0021800332&amp;Season=2018-19&amp;flag=1&amp;title=Leonard%2027'%203PT%20Jump%20Shot%20(14%20PTS)%20(Ibaka%201%20AST)", "Leonard 27' 3PT Jump Shot (14 PTS) (Ibaka 1 AST)")</f>
        <v>Leonard 27' 3PT Jump Shot (14 PTS) (Ibaka 1 AST)</v>
      </c>
      <c r="L2369" s="2" t="str">
        <f>HYPERLINK("https://www.nba.com/game/...-vs-...-0021800332/play-by-play?watchFullGame=true", "TOR vs CLE - Q2 02:53.00")</f>
        <v>TOR vs CLE - Q2 02:53.00</v>
      </c>
      <c r="M2369">
        <v>27</v>
      </c>
      <c r="N2369">
        <v>-124</v>
      </c>
      <c r="O2369">
        <v>241</v>
      </c>
      <c r="P2369">
        <v>-124</v>
      </c>
      <c r="Q2369">
        <v>241</v>
      </c>
      <c r="R2369" t="s">
        <v>21</v>
      </c>
      <c r="S2369" t="s">
        <v>21</v>
      </c>
    </row>
    <row r="2370" spans="1:19" hidden="1" x14ac:dyDescent="0.25">
      <c r="A2370">
        <v>21600525</v>
      </c>
      <c r="B2370" t="s">
        <v>26</v>
      </c>
      <c r="C2370" t="s">
        <v>19</v>
      </c>
      <c r="D2370">
        <v>29</v>
      </c>
      <c r="E2370">
        <v>12</v>
      </c>
      <c r="F2370">
        <v>17</v>
      </c>
      <c r="G2370">
        <v>1</v>
      </c>
      <c r="H2370" s="1">
        <v>2.638888888888889E-3</v>
      </c>
      <c r="I2370">
        <v>2016</v>
      </c>
      <c r="J2370" t="s">
        <v>20</v>
      </c>
      <c r="K2370" s="2" t="str">
        <f>HYPERLINK("https://www.nba.com/stats/events?CFID=&amp;CFPARAMS=&amp;GameEventID=71&amp;GameID=0021600525&amp;Season=2016-17&amp;flag=1&amp;title=Leonard%2027'%203PT%20Jump%20Shot%20(13%20PTS)%20(Ginobili%201%20AST)", "Leonard 27' 3PT Jump Shot (13 PTS) (Ginobili 1 AST)")</f>
        <v>Leonard 27' 3PT Jump Shot (13 PTS) (Ginobili 1 AST)</v>
      </c>
      <c r="L2370" s="2" t="str">
        <f>HYPERLINK("https://www.nba.com/game/...-vs-...-0021600525/play-by-play?watchFullGame=true", "SAS vs TOR - Q1 03:48.00")</f>
        <v>SAS vs TOR - Q1 03:48.00</v>
      </c>
      <c r="M2370">
        <v>27</v>
      </c>
      <c r="N2370">
        <v>-124</v>
      </c>
      <c r="O2370">
        <v>244</v>
      </c>
      <c r="P2370">
        <v>-124</v>
      </c>
      <c r="Q2370">
        <v>244</v>
      </c>
      <c r="R2370" t="s">
        <v>21</v>
      </c>
      <c r="S2370" t="s">
        <v>21</v>
      </c>
    </row>
    <row r="2371" spans="1:19" hidden="1" x14ac:dyDescent="0.25">
      <c r="A2371">
        <v>21800041</v>
      </c>
      <c r="B2371" t="s">
        <v>26</v>
      </c>
      <c r="C2371" t="s">
        <v>19</v>
      </c>
      <c r="D2371">
        <v>85</v>
      </c>
      <c r="E2371">
        <v>68</v>
      </c>
      <c r="F2371">
        <v>17</v>
      </c>
      <c r="G2371">
        <v>3</v>
      </c>
      <c r="H2371" s="1">
        <v>2.9050925925925928E-3</v>
      </c>
      <c r="I2371">
        <v>2018</v>
      </c>
      <c r="J2371" t="s">
        <v>48</v>
      </c>
      <c r="K2371" s="2" t="str">
        <f>HYPERLINK("https://www.nba.com/stats/events?CFID=&amp;CFPARAMS=&amp;GameEventID=410&amp;GameID=0021800041&amp;Season=2018-19&amp;flag=1&amp;title=Leonard%2027'%203PT%20Jump%20Shot%20(20%20PTS)%20(Ibaka%201%20AST)", "Leonard 27' 3PT Jump Shot (20 PTS) (Ibaka 1 AST)")</f>
        <v>Leonard 27' 3PT Jump Shot (20 PTS) (Ibaka 1 AST)</v>
      </c>
      <c r="L2371" s="2" t="str">
        <f>HYPERLINK("https://www.nba.com/game/...-vs-...-0021800041/play-by-play?watchFullGame=true", "TOR vs CHA - Q3 04:11.00")</f>
        <v>TOR vs CHA - Q3 04:11.00</v>
      </c>
      <c r="M2371">
        <v>27</v>
      </c>
      <c r="N2371">
        <v>-100</v>
      </c>
      <c r="O2371">
        <v>246</v>
      </c>
      <c r="P2371">
        <v>-100</v>
      </c>
      <c r="Q2371">
        <v>246</v>
      </c>
      <c r="R2371" t="s">
        <v>21</v>
      </c>
      <c r="S2371" t="s">
        <v>21</v>
      </c>
    </row>
    <row r="2372" spans="1:19" hidden="1" x14ac:dyDescent="0.25">
      <c r="A2372">
        <v>41800301</v>
      </c>
      <c r="B2372" t="s">
        <v>26</v>
      </c>
      <c r="C2372" t="s">
        <v>36</v>
      </c>
      <c r="D2372">
        <v>22</v>
      </c>
      <c r="E2372">
        <v>13</v>
      </c>
      <c r="F2372">
        <v>9</v>
      </c>
      <c r="G2372">
        <v>1</v>
      </c>
      <c r="H2372" s="1">
        <v>3.5648148148148149E-3</v>
      </c>
      <c r="I2372" t="s">
        <v>60</v>
      </c>
      <c r="J2372" t="s">
        <v>48</v>
      </c>
      <c r="K2372" s="2" t="str">
        <f>HYPERLINK("https://www.nba.com/stats/events?CFID=&amp;CFPARAMS=&amp;GameEventID=89&amp;GameID=0041800301&amp;Season=2018-19&amp;flag=1&amp;title=Leonard%2027'%203PT%20Pullup%20Jump%20Shot%20(5%20PTS)", "Leonard 27' 3PT Pullup Jump Shot (5 PTS)")</f>
        <v>Leonard 27' 3PT Pullup Jump Shot (5 PTS)</v>
      </c>
      <c r="L2372" s="2" t="str">
        <f>HYPERLINK("https://www.nba.com/game/...-vs-...-0041800301/play-by-play?watchFullGame=true", "TOR vs MIL - Q1 05:08.00")</f>
        <v>TOR vs MIL - Q1 05:08.00</v>
      </c>
      <c r="M2372">
        <v>27</v>
      </c>
      <c r="N2372">
        <v>123</v>
      </c>
      <c r="O2372">
        <v>236</v>
      </c>
      <c r="P2372">
        <v>123</v>
      </c>
      <c r="Q2372">
        <v>236</v>
      </c>
      <c r="R2372" t="s">
        <v>21</v>
      </c>
      <c r="S2372" t="s">
        <v>21</v>
      </c>
    </row>
    <row r="2373" spans="1:19" hidden="1" x14ac:dyDescent="0.25">
      <c r="A2373">
        <v>41800302</v>
      </c>
      <c r="B2373" t="s">
        <v>26</v>
      </c>
      <c r="C2373" t="s">
        <v>36</v>
      </c>
      <c r="D2373">
        <v>32</v>
      </c>
      <c r="E2373">
        <v>48</v>
      </c>
      <c r="F2373">
        <v>16</v>
      </c>
      <c r="G2373">
        <v>2</v>
      </c>
      <c r="H2373" s="1">
        <v>3.5879629629629629E-3</v>
      </c>
      <c r="I2373" t="s">
        <v>60</v>
      </c>
      <c r="J2373" t="s">
        <v>48</v>
      </c>
      <c r="K2373" s="2" t="str">
        <f>HYPERLINK("https://www.nba.com/stats/events?CFID=&amp;CFPARAMS=&amp;GameEventID=256&amp;GameID=0041800302&amp;Season=2018-19&amp;flag=1&amp;title=Leonard%2027'%203PT%20Pullup%20Jump%20Shot%20(7%20PTS)%20(Ibaka%201%20AST)", "Leonard 27' 3PT Pullup Jump Shot (7 PTS) (Ibaka 1 AST)")</f>
        <v>Leonard 27' 3PT Pullup Jump Shot (7 PTS) (Ibaka 1 AST)</v>
      </c>
      <c r="L2373" s="2" t="str">
        <f>HYPERLINK("https://www.nba.com/game/...-vs-...-0041800302/play-by-play?watchFullGame=true", "TOR vs MIL - Q2 05:10.00")</f>
        <v>TOR vs MIL - Q2 05:10.00</v>
      </c>
      <c r="M2373">
        <v>27</v>
      </c>
      <c r="N2373">
        <v>-75</v>
      </c>
      <c r="O2373">
        <v>260</v>
      </c>
      <c r="P2373">
        <v>-75</v>
      </c>
      <c r="Q2373">
        <v>260</v>
      </c>
      <c r="R2373" t="s">
        <v>21</v>
      </c>
      <c r="S2373" t="s">
        <v>21</v>
      </c>
    </row>
    <row r="2374" spans="1:19" hidden="1" x14ac:dyDescent="0.25">
      <c r="A2374">
        <v>21400714</v>
      </c>
      <c r="B2374" t="s">
        <v>26</v>
      </c>
      <c r="C2374" t="s">
        <v>36</v>
      </c>
      <c r="D2374">
        <v>60</v>
      </c>
      <c r="E2374">
        <v>71</v>
      </c>
      <c r="F2374">
        <v>11</v>
      </c>
      <c r="G2374">
        <v>3</v>
      </c>
      <c r="H2374" s="1">
        <v>3.8425925925925928E-3</v>
      </c>
      <c r="I2374">
        <v>2014</v>
      </c>
      <c r="J2374" t="s">
        <v>20</v>
      </c>
      <c r="K2374" s="2" t="str">
        <f>HYPERLINK("https://www.nba.com/stats/events?CFID=&amp;CFPARAMS=&amp;GameEventID=315&amp;GameID=0021400714&amp;Season=2014-15&amp;flag=1&amp;title=Leonard%2027'%203PT%20Pullup%20Jump%20Shot%20(23%20PTS)", "Leonard 27' 3PT Pullup Jump Shot (23 PTS)")</f>
        <v>Leonard 27' 3PT Pullup Jump Shot (23 PTS)</v>
      </c>
      <c r="L2374" s="2" t="str">
        <f>HYPERLINK("https://www.nba.com/game/...-vs-...-0021400714/play-by-play?watchFullGame=true", "SAS vs LAC - Q3 05:32.00")</f>
        <v>SAS vs LAC - Q3 05:32.00</v>
      </c>
      <c r="M2374">
        <v>27</v>
      </c>
      <c r="N2374">
        <v>105</v>
      </c>
      <c r="O2374">
        <v>244</v>
      </c>
      <c r="P2374">
        <v>105</v>
      </c>
      <c r="Q2374">
        <v>244</v>
      </c>
      <c r="R2374" t="s">
        <v>21</v>
      </c>
      <c r="S2374" t="s">
        <v>21</v>
      </c>
    </row>
    <row r="2375" spans="1:19" hidden="1" x14ac:dyDescent="0.25">
      <c r="A2375">
        <v>21600701</v>
      </c>
      <c r="B2375" t="s">
        <v>26</v>
      </c>
      <c r="C2375" t="s">
        <v>19</v>
      </c>
      <c r="D2375">
        <v>95</v>
      </c>
      <c r="E2375">
        <v>102</v>
      </c>
      <c r="F2375">
        <v>7</v>
      </c>
      <c r="G2375">
        <v>4</v>
      </c>
      <c r="H2375" s="1">
        <v>3.8888888888888888E-3</v>
      </c>
      <c r="I2375">
        <v>2016</v>
      </c>
      <c r="J2375" t="s">
        <v>20</v>
      </c>
      <c r="K2375" s="2" t="str">
        <f>HYPERLINK("https://www.nba.com/stats/events?CFID=&amp;CFPARAMS=&amp;GameEventID=496&amp;GameID=0021600701&amp;Season=2016-17&amp;flag=1&amp;title=Leonard%2027'%203PT%20Jump%20Shot%20(23%20PTS)%20(Parker%203%20AST)", "Leonard 27' 3PT Jump Shot (23 PTS) (Parker 3 AST)")</f>
        <v>Leonard 27' 3PT Jump Shot (23 PTS) (Parker 3 AST)</v>
      </c>
      <c r="L2375" s="2" t="str">
        <f>HYPERLINK("https://www.nba.com/game/...-vs-...-0021600701/play-by-play?watchFullGame=true", "SAS vs NOP - Q4 05:36.00")</f>
        <v>SAS vs NOP - Q4 05:36.00</v>
      </c>
      <c r="M2375">
        <v>27</v>
      </c>
      <c r="N2375">
        <v>-55</v>
      </c>
      <c r="O2375">
        <v>262</v>
      </c>
      <c r="P2375">
        <v>-55</v>
      </c>
      <c r="Q2375">
        <v>262</v>
      </c>
      <c r="R2375" t="s">
        <v>21</v>
      </c>
      <c r="S2375" t="s">
        <v>21</v>
      </c>
    </row>
    <row r="2376" spans="1:19" hidden="1" x14ac:dyDescent="0.25">
      <c r="A2376">
        <v>21800789</v>
      </c>
      <c r="B2376" t="s">
        <v>26</v>
      </c>
      <c r="C2376" t="s">
        <v>19</v>
      </c>
      <c r="D2376">
        <v>49</v>
      </c>
      <c r="E2376">
        <v>36</v>
      </c>
      <c r="F2376">
        <v>13</v>
      </c>
      <c r="G2376">
        <v>2</v>
      </c>
      <c r="H2376" s="1">
        <v>4.0740740740740737E-3</v>
      </c>
      <c r="I2376">
        <v>2018</v>
      </c>
      <c r="J2376" t="s">
        <v>48</v>
      </c>
      <c r="K2376" s="2" t="str">
        <f>HYPERLINK("https://www.nba.com/stats/events?CFID=&amp;CFPARAMS=&amp;GameEventID=258&amp;GameID=0021800789&amp;Season=2018-19&amp;flag=1&amp;title=Leonard%2027'%203PT%20Jump%20Shot%20(11%20PTS)", "Leonard 27' 3PT Jump Shot (11 PTS)")</f>
        <v>Leonard 27' 3PT Jump Shot (11 PTS)</v>
      </c>
      <c r="L2376" s="2" t="str">
        <f>HYPERLINK("https://www.nba.com/game/...-vs-...-0021800789/play-by-play?watchFullGame=true", "TOR vs LAC - Q2 05:52.00")</f>
        <v>TOR vs LAC - Q2 05:52.00</v>
      </c>
      <c r="M2376">
        <v>27</v>
      </c>
      <c r="N2376">
        <v>73</v>
      </c>
      <c r="O2376">
        <v>260</v>
      </c>
      <c r="P2376">
        <v>73</v>
      </c>
      <c r="Q2376">
        <v>260</v>
      </c>
      <c r="R2376" t="s">
        <v>21</v>
      </c>
      <c r="S2376" t="s">
        <v>21</v>
      </c>
    </row>
    <row r="2377" spans="1:19" hidden="1" x14ac:dyDescent="0.25">
      <c r="A2377">
        <v>21800055</v>
      </c>
      <c r="B2377" t="s">
        <v>26</v>
      </c>
      <c r="C2377" t="s">
        <v>19</v>
      </c>
      <c r="D2377">
        <v>18</v>
      </c>
      <c r="E2377">
        <v>9</v>
      </c>
      <c r="F2377">
        <v>9</v>
      </c>
      <c r="G2377">
        <v>1</v>
      </c>
      <c r="H2377" s="1">
        <v>4.1435185185185186E-3</v>
      </c>
      <c r="I2377">
        <v>2018</v>
      </c>
      <c r="J2377" t="s">
        <v>48</v>
      </c>
      <c r="K2377" s="2" t="str">
        <f>HYPERLINK("https://www.nba.com/stats/events?CFID=&amp;CFPARAMS=&amp;GameEventID=64&amp;GameID=0021800055&amp;Season=2018-19&amp;flag=1&amp;title=Leonard%2027'%203PT%20Jump%20Shot%20(9%20PTS)%20(Green%201%20AST)", "Leonard 27' 3PT Jump Shot (9 PTS) (Green 1 AST)")</f>
        <v>Leonard 27' 3PT Jump Shot (9 PTS) (Green 1 AST)</v>
      </c>
      <c r="L2377" s="2" t="str">
        <f>HYPERLINK("https://www.nba.com/game/...-vs-...-0021800055/play-by-play?watchFullGame=true", "TOR vs MIN - Q1 05:58.00")</f>
        <v>TOR vs MIN - Q1 05:58.00</v>
      </c>
      <c r="M2377">
        <v>27</v>
      </c>
      <c r="N2377">
        <v>-166</v>
      </c>
      <c r="O2377">
        <v>209</v>
      </c>
      <c r="P2377">
        <v>-166</v>
      </c>
      <c r="Q2377">
        <v>209</v>
      </c>
      <c r="R2377" t="s">
        <v>21</v>
      </c>
      <c r="S2377" t="s">
        <v>21</v>
      </c>
    </row>
    <row r="2378" spans="1:19" hidden="1" x14ac:dyDescent="0.25">
      <c r="A2378">
        <v>21800724</v>
      </c>
      <c r="B2378" t="s">
        <v>26</v>
      </c>
      <c r="C2378" t="s">
        <v>36</v>
      </c>
      <c r="D2378">
        <v>37</v>
      </c>
      <c r="E2378">
        <v>52</v>
      </c>
      <c r="F2378">
        <v>15</v>
      </c>
      <c r="G2378">
        <v>2</v>
      </c>
      <c r="H2378" s="1">
        <v>4.2129629629629626E-3</v>
      </c>
      <c r="I2378">
        <v>2018</v>
      </c>
      <c r="J2378" t="s">
        <v>48</v>
      </c>
      <c r="K2378" s="2" t="str">
        <f>HYPERLINK("https://www.nba.com/stats/events?CFID=&amp;CFPARAMS=&amp;GameEventID=238&amp;GameID=0021800724&amp;Season=2018-19&amp;flag=1&amp;title=Leonard%2027'%203PT%20Pullup%20Jump%20Shot%20(7%20PTS)", "Leonard 27' 3PT Pullup Jump Shot (7 PTS)")</f>
        <v>Leonard 27' 3PT Pullup Jump Shot (7 PTS)</v>
      </c>
      <c r="L2378" s="2" t="str">
        <f>HYPERLINK("https://www.nba.com/game/...-vs-...-0021800724/play-by-play?watchFullGame=true", "TOR vs HOU - Q2 06:04.00")</f>
        <v>TOR vs HOU - Q2 06:04.00</v>
      </c>
      <c r="M2378">
        <v>27</v>
      </c>
      <c r="N2378">
        <v>168</v>
      </c>
      <c r="O2378">
        <v>209</v>
      </c>
      <c r="P2378">
        <v>168</v>
      </c>
      <c r="Q2378">
        <v>209</v>
      </c>
      <c r="R2378" t="s">
        <v>21</v>
      </c>
      <c r="S2378" t="s">
        <v>21</v>
      </c>
    </row>
    <row r="2379" spans="1:19" hidden="1" x14ac:dyDescent="0.25">
      <c r="A2379">
        <v>41800217</v>
      </c>
      <c r="B2379" t="s">
        <v>26</v>
      </c>
      <c r="C2379" t="s">
        <v>19</v>
      </c>
      <c r="D2379">
        <v>80</v>
      </c>
      <c r="E2379">
        <v>78</v>
      </c>
      <c r="F2379">
        <v>2</v>
      </c>
      <c r="G2379">
        <v>4</v>
      </c>
      <c r="H2379" s="1">
        <v>4.2939814814814811E-3</v>
      </c>
      <c r="I2379" t="s">
        <v>60</v>
      </c>
      <c r="J2379" t="s">
        <v>48</v>
      </c>
      <c r="K2379" s="2" t="str">
        <f>HYPERLINK("https://www.nba.com/stats/events?CFID=&amp;CFPARAMS=&amp;GameEventID=526&amp;GameID=0041800217&amp;Season=2018-19&amp;flag=1&amp;title=Leonard%2027'%203PT%20Jump%20Shot%20(31%20PTS)%20(Siakam%202%20AST)", "Leonard 27' 3PT Jump Shot (31 PTS) (Siakam 2 AST)")</f>
        <v>Leonard 27' 3PT Jump Shot (31 PTS) (Siakam 2 AST)</v>
      </c>
      <c r="L2379" s="2" t="str">
        <f>HYPERLINK("https://www.nba.com/game/...-vs-...-0041800217/play-by-play?watchFullGame=true", "TOR vs PHI - Q4 06:11.00")</f>
        <v>TOR vs PHI - Q4 06:11.00</v>
      </c>
      <c r="M2379">
        <v>27</v>
      </c>
      <c r="N2379">
        <v>10</v>
      </c>
      <c r="O2379">
        <v>269</v>
      </c>
      <c r="P2379">
        <v>10</v>
      </c>
      <c r="Q2379">
        <v>269</v>
      </c>
      <c r="R2379" t="s">
        <v>21</v>
      </c>
      <c r="S2379" t="s">
        <v>21</v>
      </c>
    </row>
    <row r="2380" spans="1:19" hidden="1" x14ac:dyDescent="0.25">
      <c r="A2380">
        <v>21800789</v>
      </c>
      <c r="B2380" t="s">
        <v>26</v>
      </c>
      <c r="C2380" t="s">
        <v>19</v>
      </c>
      <c r="D2380">
        <v>46</v>
      </c>
      <c r="E2380">
        <v>34</v>
      </c>
      <c r="F2380">
        <v>12</v>
      </c>
      <c r="G2380">
        <v>2</v>
      </c>
      <c r="H2380" s="1">
        <v>4.3981481481481484E-3</v>
      </c>
      <c r="I2380">
        <v>2018</v>
      </c>
      <c r="J2380" t="s">
        <v>48</v>
      </c>
      <c r="K2380" s="2" t="str">
        <f>HYPERLINK("https://www.nba.com/stats/events?CFID=&amp;CFPARAMS=&amp;GameEventID=255&amp;GameID=0021800789&amp;Season=2018-19&amp;flag=1&amp;title=Leonard%2027'%203PT%20Jump%20Shot%20(8%20PTS)%20(Green%202%20AST)", "Leonard 27' 3PT Jump Shot (8 PTS) (Green 2 AST)")</f>
        <v>Leonard 27' 3PT Jump Shot (8 PTS) (Green 2 AST)</v>
      </c>
      <c r="L2380" s="2" t="str">
        <f>HYPERLINK("https://www.nba.com/game/...-vs-...-0021800789/play-by-play?watchFullGame=true", "TOR vs LAC - Q2 06:20.00")</f>
        <v>TOR vs LAC - Q2 06:20.00</v>
      </c>
      <c r="M2380">
        <v>27</v>
      </c>
      <c r="N2380">
        <v>82</v>
      </c>
      <c r="O2380">
        <v>257</v>
      </c>
      <c r="P2380">
        <v>82</v>
      </c>
      <c r="Q2380">
        <v>257</v>
      </c>
      <c r="R2380" t="s">
        <v>21</v>
      </c>
      <c r="S2380" t="s">
        <v>21</v>
      </c>
    </row>
    <row r="2381" spans="1:19" hidden="1" x14ac:dyDescent="0.25">
      <c r="A2381">
        <v>21600543</v>
      </c>
      <c r="B2381" t="s">
        <v>26</v>
      </c>
      <c r="C2381" t="s">
        <v>19</v>
      </c>
      <c r="D2381">
        <v>16</v>
      </c>
      <c r="E2381">
        <v>17</v>
      </c>
      <c r="F2381">
        <v>1</v>
      </c>
      <c r="G2381">
        <v>1</v>
      </c>
      <c r="H2381" s="1">
        <v>4.4675925925925924E-3</v>
      </c>
      <c r="I2381">
        <v>2016</v>
      </c>
      <c r="J2381" t="s">
        <v>20</v>
      </c>
      <c r="K2381" s="2" t="str">
        <f>HYPERLINK("https://www.nba.com/stats/events?CFID=&amp;CFPARAMS=&amp;GameEventID=27&amp;GameID=0021600543&amp;Season=2016-17&amp;flag=1&amp;title=Leonard%2027'%203PT%20Jump%20Shot%20(3%20PTS)%20(Parker%204%20AST)", "Leonard 27' 3PT Jump Shot (3 PTS) (Parker 4 AST)")</f>
        <v>Leonard 27' 3PT Jump Shot (3 PTS) (Parker 4 AST)</v>
      </c>
      <c r="L2381" s="2" t="str">
        <f>HYPERLINK("https://www.nba.com/game/...-vs-...-0021600543/play-by-play?watchFullGame=true", "SAS vs DEN - Q1 06:26.00")</f>
        <v>SAS vs DEN - Q1 06:26.00</v>
      </c>
      <c r="M2381">
        <v>27</v>
      </c>
      <c r="N2381">
        <v>-202</v>
      </c>
      <c r="O2381">
        <v>183</v>
      </c>
      <c r="P2381">
        <v>-202</v>
      </c>
      <c r="Q2381">
        <v>183</v>
      </c>
      <c r="R2381" t="s">
        <v>21</v>
      </c>
      <c r="S2381" t="s">
        <v>21</v>
      </c>
    </row>
    <row r="2382" spans="1:19" hidden="1" x14ac:dyDescent="0.25">
      <c r="A2382">
        <v>21600240</v>
      </c>
      <c r="B2382" t="s">
        <v>26</v>
      </c>
      <c r="C2382" t="s">
        <v>36</v>
      </c>
      <c r="D2382">
        <v>12</v>
      </c>
      <c r="E2382">
        <v>12</v>
      </c>
      <c r="F2382">
        <v>0</v>
      </c>
      <c r="G2382">
        <v>1</v>
      </c>
      <c r="H2382" s="1">
        <v>4.8379629629629632E-3</v>
      </c>
      <c r="I2382">
        <v>2016</v>
      </c>
      <c r="J2382" t="s">
        <v>20</v>
      </c>
      <c r="K2382" s="2" t="str">
        <f>HYPERLINK("https://www.nba.com/stats/events?CFID=&amp;CFPARAMS=&amp;GameEventID=36&amp;GameID=0021600240&amp;Season=2016-17&amp;flag=1&amp;title=Leonard%2027'%203PT%20Pullup%20Jump%20Shot%20(6%20PTS)", "Leonard 27' 3PT Pullup Jump Shot (6 PTS)")</f>
        <v>Leonard 27' 3PT Pullup Jump Shot (6 PTS)</v>
      </c>
      <c r="L2382" s="2" t="str">
        <f>HYPERLINK("https://www.nba.com/game/...-vs-...-0021600240/play-by-play?watchFullGame=true", "SAS vs WAS - Q1 06:58.00")</f>
        <v>SAS vs WAS - Q1 06:58.00</v>
      </c>
      <c r="M2382">
        <v>27</v>
      </c>
      <c r="N2382">
        <v>-40</v>
      </c>
      <c r="O2382">
        <v>267</v>
      </c>
      <c r="P2382">
        <v>-40</v>
      </c>
      <c r="Q2382">
        <v>267</v>
      </c>
      <c r="R2382" t="s">
        <v>21</v>
      </c>
      <c r="S2382" t="s">
        <v>21</v>
      </c>
    </row>
    <row r="2383" spans="1:19" hidden="1" x14ac:dyDescent="0.25">
      <c r="A2383">
        <v>21800019</v>
      </c>
      <c r="B2383" t="s">
        <v>26</v>
      </c>
      <c r="C2383" t="s">
        <v>65</v>
      </c>
      <c r="D2383">
        <v>32</v>
      </c>
      <c r="E2383">
        <v>33</v>
      </c>
      <c r="F2383">
        <v>1</v>
      </c>
      <c r="G2383">
        <v>2</v>
      </c>
      <c r="H2383" s="1">
        <v>4.9421296296296297E-3</v>
      </c>
      <c r="I2383">
        <v>2018</v>
      </c>
      <c r="J2383" t="s">
        <v>48</v>
      </c>
      <c r="K2383" s="2" t="str">
        <f>HYPERLINK("https://www.nba.com/stats/events?CFID=&amp;CFPARAMS=&amp;GameEventID=242&amp;GameID=0021800019&amp;Season=2018-19&amp;flag=1&amp;title=Leonard%2027'%203PT%20Running%20Pull-Up%20Jump%20Shot%20(7%20PTS)%20(Lowry%202%20AST)", "Leonard 27' 3PT Running Pull-Up Jump Shot (7 PTS) (Lowry 2 AST)")</f>
        <v>Leonard 27' 3PT Running Pull-Up Jump Shot (7 PTS) (Lowry 2 AST)</v>
      </c>
      <c r="L2383" s="2" t="str">
        <f>HYPERLINK("https://www.nba.com/game/...-vs-...-0021800019/play-by-play?watchFullGame=true", "TOR vs BOS - Q2 07:07.00")</f>
        <v>TOR vs BOS - Q2 07:07.00</v>
      </c>
      <c r="M2383">
        <v>27</v>
      </c>
      <c r="N2383">
        <v>168</v>
      </c>
      <c r="O2383">
        <v>213</v>
      </c>
      <c r="P2383">
        <v>168</v>
      </c>
      <c r="Q2383">
        <v>213</v>
      </c>
      <c r="R2383" t="s">
        <v>21</v>
      </c>
      <c r="S2383" t="s">
        <v>21</v>
      </c>
    </row>
    <row r="2384" spans="1:19" hidden="1" x14ac:dyDescent="0.25">
      <c r="A2384">
        <v>21301017</v>
      </c>
      <c r="B2384" t="s">
        <v>26</v>
      </c>
      <c r="C2384" t="s">
        <v>19</v>
      </c>
      <c r="D2384">
        <v>104</v>
      </c>
      <c r="E2384">
        <v>94</v>
      </c>
      <c r="F2384">
        <v>10</v>
      </c>
      <c r="G2384">
        <v>4</v>
      </c>
      <c r="H2384" s="1">
        <v>5.208333333333333E-3</v>
      </c>
      <c r="I2384">
        <v>2013</v>
      </c>
      <c r="J2384" t="s">
        <v>20</v>
      </c>
      <c r="K2384" s="2" t="str">
        <f>HYPERLINK("https://www.nba.com/stats/events?CFID=&amp;CFPARAMS=&amp;GameEventID=444&amp;GameID=0021301017&amp;Season=2013-14&amp;flag=1&amp;title=Leonard%2027'%203PT%20Jump%20Shot%20(20%20PTS)%20(Parker%204%20AST)", "Leonard 27' 3PT Jump Shot (20 PTS) (Parker 4 AST)")</f>
        <v>Leonard 27' 3PT Jump Shot (20 PTS) (Parker 4 AST)</v>
      </c>
      <c r="L2384" s="2" t="str">
        <f>HYPERLINK("https://www.nba.com/game/...-vs-...-0021301017/play-by-play?watchFullGame=true", "SAS vs LAL - Q4 07:30.00")</f>
        <v>SAS vs LAL - Q4 07:30.00</v>
      </c>
      <c r="M2384">
        <v>27</v>
      </c>
      <c r="N2384">
        <v>24</v>
      </c>
      <c r="O2384">
        <v>269</v>
      </c>
      <c r="P2384">
        <v>24</v>
      </c>
      <c r="Q2384">
        <v>269</v>
      </c>
      <c r="R2384" t="s">
        <v>21</v>
      </c>
      <c r="S2384" t="s">
        <v>21</v>
      </c>
    </row>
    <row r="2385" spans="1:19" hidden="1" x14ac:dyDescent="0.25">
      <c r="A2385">
        <v>41800305</v>
      </c>
      <c r="B2385" t="s">
        <v>26</v>
      </c>
      <c r="C2385" t="s">
        <v>39</v>
      </c>
      <c r="D2385">
        <v>85</v>
      </c>
      <c r="E2385">
        <v>81</v>
      </c>
      <c r="F2385">
        <v>4</v>
      </c>
      <c r="G2385">
        <v>4</v>
      </c>
      <c r="H2385" s="1">
        <v>5.5208333333333333E-3</v>
      </c>
      <c r="I2385" t="s">
        <v>60</v>
      </c>
      <c r="J2385" t="s">
        <v>48</v>
      </c>
      <c r="K2385" s="2" t="str">
        <f>HYPERLINK("https://www.nba.com/stats/events?CFID=&amp;CFPARAMS=&amp;GameEventID=530&amp;GameID=0041800305&amp;Season=2018-19&amp;flag=1&amp;title=Leonard%2027'%203PT%20Step%20Back%20Jump%20Shot%20(30%20PTS)", "Leonard 27' 3PT Step Back Jump Shot (30 PTS)")</f>
        <v>Leonard 27' 3PT Step Back Jump Shot (30 PTS)</v>
      </c>
      <c r="L2385" s="2" t="str">
        <f>HYPERLINK("https://www.nba.com/game/...-vs-...-0041800305/play-by-play?watchFullGame=true", "TOR vs MIL - Q4 07:57.00")</f>
        <v>TOR vs MIL - Q4 07:57.00</v>
      </c>
      <c r="M2385">
        <v>27</v>
      </c>
      <c r="N2385">
        <v>81</v>
      </c>
      <c r="O2385">
        <v>253</v>
      </c>
      <c r="P2385">
        <v>81</v>
      </c>
      <c r="Q2385">
        <v>253</v>
      </c>
      <c r="R2385" t="s">
        <v>21</v>
      </c>
      <c r="S2385" t="s">
        <v>21</v>
      </c>
    </row>
    <row r="2386" spans="1:19" hidden="1" x14ac:dyDescent="0.25">
      <c r="A2386">
        <v>21800055</v>
      </c>
      <c r="B2386" t="s">
        <v>26</v>
      </c>
      <c r="C2386" t="s">
        <v>19</v>
      </c>
      <c r="D2386">
        <v>33</v>
      </c>
      <c r="E2386">
        <v>27</v>
      </c>
      <c r="F2386">
        <v>6</v>
      </c>
      <c r="G2386">
        <v>2</v>
      </c>
      <c r="H2386" s="1">
        <v>5.7291666666666663E-3</v>
      </c>
      <c r="I2386">
        <v>2018</v>
      </c>
      <c r="J2386" t="s">
        <v>48</v>
      </c>
      <c r="K2386" s="2" t="str">
        <f>HYPERLINK("https://www.nba.com/stats/events?CFID=&amp;CFPARAMS=&amp;GameEventID=206&amp;GameID=0021800055&amp;Season=2018-19&amp;flag=1&amp;title=Leonard%2027'%203PT%20Jump%20Shot%20(14%20PTS)%20(Green%202%20AST)", "Leonard 27' 3PT Jump Shot (14 PTS) (Green 2 AST)")</f>
        <v>Leonard 27' 3PT Jump Shot (14 PTS) (Green 2 AST)</v>
      </c>
      <c r="L2386" s="2" t="str">
        <f>HYPERLINK("https://www.nba.com/game/...-vs-...-0021800055/play-by-play?watchFullGame=true", "TOR vs MIN - Q2 08:15.00")</f>
        <v>TOR vs MIN - Q2 08:15.00</v>
      </c>
      <c r="M2386">
        <v>27</v>
      </c>
      <c r="N2386">
        <v>54</v>
      </c>
      <c r="O2386">
        <v>260</v>
      </c>
      <c r="P2386">
        <v>54</v>
      </c>
      <c r="Q2386">
        <v>260</v>
      </c>
      <c r="R2386" t="s">
        <v>21</v>
      </c>
      <c r="S2386" t="s">
        <v>21</v>
      </c>
    </row>
    <row r="2387" spans="1:19" hidden="1" x14ac:dyDescent="0.25">
      <c r="A2387">
        <v>41600153</v>
      </c>
      <c r="B2387" t="s">
        <v>26</v>
      </c>
      <c r="C2387" t="s">
        <v>19</v>
      </c>
      <c r="D2387">
        <v>31</v>
      </c>
      <c r="E2387">
        <v>30</v>
      </c>
      <c r="F2387">
        <v>1</v>
      </c>
      <c r="G2387">
        <v>2</v>
      </c>
      <c r="H2387" s="1">
        <v>5.8217592592592592E-3</v>
      </c>
      <c r="I2387" t="s">
        <v>58</v>
      </c>
      <c r="J2387" t="s">
        <v>20</v>
      </c>
      <c r="K2387" s="2" t="str">
        <f>HYPERLINK("https://www.nba.com/stats/events?CFID=&amp;CFPARAMS=&amp;GameEventID=151&amp;GameID=0041600153&amp;Season=2016-17&amp;flag=1&amp;title=Leonard%2027'%203PT%20Jump%20Shot%20(12%20PTS)%20(Anderson%201%20AST)", "Leonard 27' 3PT Jump Shot (12 PTS) (Anderson 1 AST)")</f>
        <v>Leonard 27' 3PT Jump Shot (12 PTS) (Anderson 1 AST)</v>
      </c>
      <c r="L2387" s="2" t="str">
        <f>HYPERLINK("https://www.nba.com/game/...-vs-...-0041600153/play-by-play?watchFullGame=true", "SAS vs MEM - Q2 08:23.00")</f>
        <v>SAS vs MEM - Q2 08:23.00</v>
      </c>
      <c r="M2387">
        <v>27</v>
      </c>
      <c r="N2387">
        <v>-110</v>
      </c>
      <c r="O2387">
        <v>249</v>
      </c>
      <c r="P2387">
        <v>-110</v>
      </c>
      <c r="Q2387">
        <v>249</v>
      </c>
      <c r="R2387" t="s">
        <v>21</v>
      </c>
      <c r="S2387" t="s">
        <v>21</v>
      </c>
    </row>
    <row r="2388" spans="1:19" hidden="1" x14ac:dyDescent="0.25">
      <c r="A2388">
        <v>41800305</v>
      </c>
      <c r="B2388" t="s">
        <v>26</v>
      </c>
      <c r="C2388" t="s">
        <v>36</v>
      </c>
      <c r="D2388">
        <v>82</v>
      </c>
      <c r="E2388">
        <v>81</v>
      </c>
      <c r="F2388">
        <v>1</v>
      </c>
      <c r="G2388">
        <v>4</v>
      </c>
      <c r="H2388" s="1">
        <v>5.9027777777777776E-3</v>
      </c>
      <c r="I2388" t="s">
        <v>60</v>
      </c>
      <c r="J2388" t="s">
        <v>48</v>
      </c>
      <c r="K2388" s="2" t="str">
        <f>HYPERLINK("https://www.nba.com/stats/events?CFID=&amp;CFPARAMS=&amp;GameEventID=526&amp;GameID=0041800305&amp;Season=2018-19&amp;flag=1&amp;title=Leonard%2027'%203PT%20Pullup%20Jump%20Shot%20(27%20PTS)", "Leonard 27' 3PT Pullup Jump Shot (27 PTS)")</f>
        <v>Leonard 27' 3PT Pullup Jump Shot (27 PTS)</v>
      </c>
      <c r="L2388" s="2" t="str">
        <f>HYPERLINK("https://www.nba.com/game/...-vs-...-0041800305/play-by-play?watchFullGame=true", "TOR vs MIL - Q4 08:30.00")</f>
        <v>TOR vs MIL - Q4 08:30.00</v>
      </c>
      <c r="M2388">
        <v>27</v>
      </c>
      <c r="N2388">
        <v>-29</v>
      </c>
      <c r="O2388">
        <v>265</v>
      </c>
      <c r="P2388">
        <v>-29</v>
      </c>
      <c r="Q2388">
        <v>265</v>
      </c>
      <c r="R2388" t="s">
        <v>21</v>
      </c>
      <c r="S2388" t="s">
        <v>21</v>
      </c>
    </row>
    <row r="2389" spans="1:19" hidden="1" x14ac:dyDescent="0.25">
      <c r="A2389">
        <v>21600127</v>
      </c>
      <c r="B2389" t="s">
        <v>26</v>
      </c>
      <c r="C2389" t="s">
        <v>19</v>
      </c>
      <c r="D2389">
        <v>57</v>
      </c>
      <c r="E2389">
        <v>57</v>
      </c>
      <c r="F2389">
        <v>0</v>
      </c>
      <c r="G2389">
        <v>3</v>
      </c>
      <c r="H2389" s="1">
        <v>5.9143518518518521E-3</v>
      </c>
      <c r="I2389">
        <v>2016</v>
      </c>
      <c r="J2389" t="s">
        <v>20</v>
      </c>
      <c r="K2389" s="2" t="str">
        <f>HYPERLINK("https://www.nba.com/stats/events?CFID=&amp;CFPARAMS=&amp;GameEventID=255&amp;GameID=0021600127&amp;Season=2016-17&amp;flag=1&amp;title=Leonard%2027'%203PT%20Jump%20Shot%20(11%20PTS)%20(Gasol%205%20AST)", "Leonard 27' 3PT Jump Shot (11 PTS) (Gasol 5 AST)")</f>
        <v>Leonard 27' 3PT Jump Shot (11 PTS) (Gasol 5 AST)</v>
      </c>
      <c r="L2389" s="2" t="str">
        <f>HYPERLINK("https://www.nba.com/game/...-vs-...-0021600127/play-by-play?watchFullGame=true", "SAS vs DET - Q3 08:31.00")</f>
        <v>SAS vs DET - Q3 08:31.00</v>
      </c>
      <c r="M2389">
        <v>27</v>
      </c>
      <c r="N2389">
        <v>158</v>
      </c>
      <c r="O2389">
        <v>213</v>
      </c>
      <c r="P2389">
        <v>158</v>
      </c>
      <c r="Q2389">
        <v>213</v>
      </c>
      <c r="R2389" t="s">
        <v>21</v>
      </c>
      <c r="S2389" t="s">
        <v>21</v>
      </c>
    </row>
    <row r="2390" spans="1:19" hidden="1" x14ac:dyDescent="0.25">
      <c r="A2390">
        <v>21801083</v>
      </c>
      <c r="B2390" t="s">
        <v>26</v>
      </c>
      <c r="C2390" t="s">
        <v>19</v>
      </c>
      <c r="D2390">
        <v>6</v>
      </c>
      <c r="E2390">
        <v>5</v>
      </c>
      <c r="F2390">
        <v>1</v>
      </c>
      <c r="G2390">
        <v>1</v>
      </c>
      <c r="H2390" s="1">
        <v>6.1689814814814819E-3</v>
      </c>
      <c r="I2390">
        <v>2018</v>
      </c>
      <c r="J2390" t="s">
        <v>48</v>
      </c>
      <c r="K2390" s="2" t="str">
        <f>HYPERLINK("https://www.nba.com/stats/events?CFID=&amp;CFPARAMS=&amp;GameEventID=34&amp;GameID=0021801083&amp;Season=2018-19&amp;flag=1&amp;title=Leonard%2027'%203PT%20Jump%20Shot%20(3%20PTS)%20(Gasol%202%20AST)", "Leonard 27' 3PT Jump Shot (3 PTS) (Gasol 2 AST)")</f>
        <v>Leonard 27' 3PT Jump Shot (3 PTS) (Gasol 2 AST)</v>
      </c>
      <c r="L2390" s="2" t="str">
        <f>HYPERLINK("https://www.nba.com/game/...-vs-...-0021801083/play-by-play?watchFullGame=true", "TOR vs OKC - Q1 08:53.00")</f>
        <v>TOR vs OKC - Q1 08:53.00</v>
      </c>
      <c r="M2390">
        <v>27</v>
      </c>
      <c r="N2390">
        <v>42</v>
      </c>
      <c r="O2390">
        <v>267</v>
      </c>
      <c r="P2390">
        <v>42</v>
      </c>
      <c r="Q2390">
        <v>267</v>
      </c>
      <c r="R2390" t="s">
        <v>21</v>
      </c>
      <c r="S2390" t="s">
        <v>21</v>
      </c>
    </row>
    <row r="2391" spans="1:19" hidden="1" x14ac:dyDescent="0.25">
      <c r="A2391">
        <v>41800303</v>
      </c>
      <c r="B2391" t="s">
        <v>26</v>
      </c>
      <c r="C2391" t="s">
        <v>30</v>
      </c>
      <c r="D2391">
        <v>85</v>
      </c>
      <c r="E2391">
        <v>77</v>
      </c>
      <c r="F2391">
        <v>8</v>
      </c>
      <c r="G2391">
        <v>4</v>
      </c>
      <c r="H2391" s="1">
        <v>6.3078703703703708E-3</v>
      </c>
      <c r="I2391" t="s">
        <v>60</v>
      </c>
      <c r="J2391" t="s">
        <v>48</v>
      </c>
      <c r="K2391" s="2" t="str">
        <f>HYPERLINK("https://www.nba.com/stats/events?CFID=&amp;CFPARAMS=&amp;GameEventID=562&amp;GameID=0041800303&amp;Season=2018-19&amp;flag=1&amp;title=Leonard%2027'%203PT%20Running%20Jump%20Shot%20(22%20PTS)%20(VanVleet%204%20AST)", "Leonard 27' 3PT Running Jump Shot (22 PTS) (VanVleet 4 AST)")</f>
        <v>Leonard 27' 3PT Running Jump Shot (22 PTS) (VanVleet 4 AST)</v>
      </c>
      <c r="L2391" s="2" t="str">
        <f>HYPERLINK("https://www.nba.com/game/...-vs-...-0041800303/play-by-play?watchFullGame=true", "TOR vs MIL - Q4 09:05.00")</f>
        <v>TOR vs MIL - Q4 09:05.00</v>
      </c>
      <c r="M2391">
        <v>27</v>
      </c>
      <c r="N2391">
        <v>-197</v>
      </c>
      <c r="O2391">
        <v>189</v>
      </c>
      <c r="P2391">
        <v>-197</v>
      </c>
      <c r="Q2391">
        <v>189</v>
      </c>
      <c r="R2391" t="s">
        <v>21</v>
      </c>
      <c r="S2391" t="s">
        <v>21</v>
      </c>
    </row>
    <row r="2392" spans="1:19" hidden="1" x14ac:dyDescent="0.25">
      <c r="A2392">
        <v>21301038</v>
      </c>
      <c r="B2392" t="s">
        <v>26</v>
      </c>
      <c r="C2392" t="s">
        <v>36</v>
      </c>
      <c r="D2392">
        <v>11</v>
      </c>
      <c r="E2392">
        <v>5</v>
      </c>
      <c r="F2392">
        <v>6</v>
      </c>
      <c r="G2392">
        <v>1</v>
      </c>
      <c r="H2392" s="1">
        <v>6.3541666666666668E-3</v>
      </c>
      <c r="I2392">
        <v>2013</v>
      </c>
      <c r="J2392" t="s">
        <v>20</v>
      </c>
      <c r="K2392" s="2" t="str">
        <f>HYPERLINK("https://www.nba.com/stats/events?CFID=&amp;CFPARAMS=&amp;GameEventID=18&amp;GameID=0021301038&amp;Season=2013-14&amp;flag=1&amp;title=Leonard%2027'%203PT%20Pullup%20Jump%20Shot%20(3%20PTS)%20(Parker%202%20AST)", "Leonard 27' 3PT Pullup Jump Shot (3 PTS) (Parker 2 AST)")</f>
        <v>Leonard 27' 3PT Pullup Jump Shot (3 PTS) (Parker 2 AST)</v>
      </c>
      <c r="L2392" s="2" t="str">
        <f>HYPERLINK("https://www.nba.com/game/...-vs-...-0021301038/play-by-play?watchFullGame=true", "SAS vs GSW - Q1 09:09.00")</f>
        <v>SAS vs GSW - Q1 09:09.00</v>
      </c>
      <c r="M2392">
        <v>27</v>
      </c>
      <c r="N2392">
        <v>-158</v>
      </c>
      <c r="O2392">
        <v>214</v>
      </c>
      <c r="P2392">
        <v>-158</v>
      </c>
      <c r="Q2392">
        <v>214</v>
      </c>
      <c r="R2392" t="s">
        <v>21</v>
      </c>
      <c r="S2392" t="s">
        <v>21</v>
      </c>
    </row>
    <row r="2393" spans="1:19" hidden="1" x14ac:dyDescent="0.25">
      <c r="A2393">
        <v>41800402</v>
      </c>
      <c r="B2393" t="s">
        <v>26</v>
      </c>
      <c r="C2393" t="s">
        <v>36</v>
      </c>
      <c r="D2393">
        <v>5</v>
      </c>
      <c r="E2393">
        <v>3</v>
      </c>
      <c r="F2393">
        <v>2</v>
      </c>
      <c r="G2393">
        <v>1</v>
      </c>
      <c r="H2393" s="1">
        <v>6.6666666666666671E-3</v>
      </c>
      <c r="I2393" t="s">
        <v>60</v>
      </c>
      <c r="J2393" t="s">
        <v>48</v>
      </c>
      <c r="K2393" s="2" t="str">
        <f>HYPERLINK("https://www.nba.com/stats/events?CFID=&amp;CFPARAMS=&amp;GameEventID=30&amp;GameID=0041800402&amp;Season=2018-19&amp;flag=1&amp;title=Leonard%2027'%203PT%20Pullup%20Jump%20Shot%20(5%20PTS)", "Leonard 27' 3PT Pullup Jump Shot (5 PTS)")</f>
        <v>Leonard 27' 3PT Pullup Jump Shot (5 PTS)</v>
      </c>
      <c r="L2393" s="2" t="str">
        <f>HYPERLINK("https://www.nba.com/game/...-vs-...-0041800402/play-by-play?watchFullGame=true", "TOR vs GSW - Q1 09:36.00")</f>
        <v>TOR vs GSW - Q1 09:36.00</v>
      </c>
      <c r="M2393">
        <v>27</v>
      </c>
      <c r="N2393">
        <v>-119</v>
      </c>
      <c r="O2393">
        <v>244</v>
      </c>
      <c r="P2393">
        <v>-119</v>
      </c>
      <c r="Q2393">
        <v>244</v>
      </c>
      <c r="R2393" t="s">
        <v>21</v>
      </c>
      <c r="S2393" t="s">
        <v>21</v>
      </c>
    </row>
    <row r="2394" spans="1:19" hidden="1" x14ac:dyDescent="0.25">
      <c r="A2394">
        <v>21600701</v>
      </c>
      <c r="B2394" t="s">
        <v>26</v>
      </c>
      <c r="C2394" t="s">
        <v>19</v>
      </c>
      <c r="D2394">
        <v>31</v>
      </c>
      <c r="E2394">
        <v>29</v>
      </c>
      <c r="F2394">
        <v>2</v>
      </c>
      <c r="G2394">
        <v>2</v>
      </c>
      <c r="H2394" s="1">
        <v>6.7939814814814816E-3</v>
      </c>
      <c r="I2394">
        <v>2016</v>
      </c>
      <c r="J2394" t="s">
        <v>20</v>
      </c>
      <c r="K2394" s="2" t="str">
        <f>HYPERLINK("https://www.nba.com/stats/events?CFID=&amp;CFPARAMS=&amp;GameEventID=152&amp;GameID=0021600701&amp;Season=2016-17&amp;flag=1&amp;title=Leonard%2027'%203PT%20Jump%20Shot%20(5%20PTS)", "Leonard 27' 3PT Jump Shot (5 PTS)")</f>
        <v>Leonard 27' 3PT Jump Shot (5 PTS)</v>
      </c>
      <c r="L2394" s="2" t="str">
        <f>HYPERLINK("https://www.nba.com/game/...-vs-...-0021600701/play-by-play?watchFullGame=true", "SAS vs NOP - Q2 09:47.00")</f>
        <v>SAS vs NOP - Q2 09:47.00</v>
      </c>
      <c r="M2394">
        <v>27</v>
      </c>
      <c r="N2394">
        <v>58</v>
      </c>
      <c r="O2394">
        <v>259</v>
      </c>
      <c r="P2394">
        <v>58</v>
      </c>
      <c r="Q2394">
        <v>259</v>
      </c>
      <c r="R2394" t="s">
        <v>21</v>
      </c>
      <c r="S2394" t="s">
        <v>21</v>
      </c>
    </row>
    <row r="2395" spans="1:19" hidden="1" x14ac:dyDescent="0.25">
      <c r="A2395">
        <v>21600213</v>
      </c>
      <c r="B2395" t="s">
        <v>26</v>
      </c>
      <c r="C2395" t="s">
        <v>19</v>
      </c>
      <c r="D2395">
        <v>36</v>
      </c>
      <c r="E2395">
        <v>37</v>
      </c>
      <c r="F2395">
        <v>1</v>
      </c>
      <c r="G2395">
        <v>2</v>
      </c>
      <c r="H2395" s="1">
        <v>6.875E-3</v>
      </c>
      <c r="I2395">
        <v>2016</v>
      </c>
      <c r="J2395" t="s">
        <v>20</v>
      </c>
      <c r="K2395" s="2" t="str">
        <f>HYPERLINK("https://www.nba.com/stats/events?CFID=&amp;CFPARAMS=&amp;GameEventID=136&amp;GameID=0021600213&amp;Season=2016-17&amp;flag=1&amp;title=Leonard%2027'%203PT%20Jump%20Shot%20(8%20PTS)", "Leonard 27' 3PT Jump Shot (8 PTS)")</f>
        <v>Leonard 27' 3PT Jump Shot (8 PTS)</v>
      </c>
      <c r="L2395" s="2" t="str">
        <f>HYPERLINK("https://www.nba.com/game/...-vs-...-0021600213/play-by-play?watchFullGame=true", "SAS vs CHA - Q2 09:54.00")</f>
        <v>SAS vs CHA - Q2 09:54.00</v>
      </c>
      <c r="M2395">
        <v>27</v>
      </c>
      <c r="N2395">
        <v>-223</v>
      </c>
      <c r="O2395">
        <v>151</v>
      </c>
      <c r="P2395">
        <v>-223</v>
      </c>
      <c r="Q2395">
        <v>151</v>
      </c>
      <c r="R2395" t="s">
        <v>21</v>
      </c>
      <c r="S2395" t="s">
        <v>21</v>
      </c>
    </row>
    <row r="2396" spans="1:19" hidden="1" x14ac:dyDescent="0.25">
      <c r="A2396">
        <v>41800213</v>
      </c>
      <c r="B2396" t="s">
        <v>26</v>
      </c>
      <c r="C2396" t="s">
        <v>36</v>
      </c>
      <c r="D2396">
        <v>3</v>
      </c>
      <c r="E2396">
        <v>4</v>
      </c>
      <c r="F2396">
        <v>1</v>
      </c>
      <c r="G2396">
        <v>1</v>
      </c>
      <c r="H2396" s="1">
        <v>7.1759259259259259E-3</v>
      </c>
      <c r="I2396" t="s">
        <v>60</v>
      </c>
      <c r="J2396" t="s">
        <v>48</v>
      </c>
      <c r="K2396" s="2" t="str">
        <f>HYPERLINK("https://www.nba.com/stats/events?CFID=&amp;CFPARAMS=&amp;GameEventID=24&amp;GameID=0041800213&amp;Season=2018-19&amp;flag=1&amp;title=Leonard%2027'%203PT%20Pullup%20Jump%20Shot%20(3%20PTS)", "Leonard 27' 3PT Pullup Jump Shot (3 PTS)")</f>
        <v>Leonard 27' 3PT Pullup Jump Shot (3 PTS)</v>
      </c>
      <c r="L2396" s="2" t="str">
        <f>HYPERLINK("https://www.nba.com/game/...-vs-...-0041800213/play-by-play?watchFullGame=true", "TOR vs PHI - Q1 10:20.00")</f>
        <v>TOR vs PHI - Q1 10:20.00</v>
      </c>
      <c r="M2396">
        <v>27</v>
      </c>
      <c r="N2396">
        <v>-84</v>
      </c>
      <c r="O2396">
        <v>252</v>
      </c>
      <c r="P2396">
        <v>-84</v>
      </c>
      <c r="Q2396">
        <v>252</v>
      </c>
      <c r="R2396" t="s">
        <v>21</v>
      </c>
      <c r="S2396" t="s">
        <v>21</v>
      </c>
    </row>
    <row r="2397" spans="1:19" hidden="1" x14ac:dyDescent="0.25">
      <c r="A2397">
        <v>41800212</v>
      </c>
      <c r="B2397" t="s">
        <v>26</v>
      </c>
      <c r="C2397" t="s">
        <v>30</v>
      </c>
      <c r="D2397">
        <v>41</v>
      </c>
      <c r="E2397">
        <v>51</v>
      </c>
      <c r="F2397">
        <v>10</v>
      </c>
      <c r="G2397">
        <v>3</v>
      </c>
      <c r="H2397" s="1">
        <v>7.4189814814814813E-3</v>
      </c>
      <c r="I2397" t="s">
        <v>60</v>
      </c>
      <c r="J2397" t="s">
        <v>48</v>
      </c>
      <c r="K2397" s="2" t="str">
        <f>HYPERLINK("https://www.nba.com/stats/events?CFID=&amp;CFPARAMS=&amp;GameEventID=348&amp;GameID=0041800212&amp;Season=2018-19&amp;flag=1&amp;title=Leonard%2027'%203PT%20Running%20Jump%20Shot%20(18%20PTS)%20(Siakam%202%20AST)", "Leonard 27' 3PT Running Jump Shot (18 PTS) (Siakam 2 AST)")</f>
        <v>Leonard 27' 3PT Running Jump Shot (18 PTS) (Siakam 2 AST)</v>
      </c>
      <c r="L2397" s="2" t="str">
        <f>HYPERLINK("https://www.nba.com/game/...-vs-...-0041800212/play-by-play?watchFullGame=true", "TOR vs PHI - Q3 10:41.00")</f>
        <v>TOR vs PHI - Q3 10:41.00</v>
      </c>
      <c r="M2397">
        <v>27</v>
      </c>
      <c r="N2397">
        <v>-121</v>
      </c>
      <c r="O2397">
        <v>244</v>
      </c>
      <c r="P2397">
        <v>-121</v>
      </c>
      <c r="Q2397">
        <v>244</v>
      </c>
      <c r="R2397" t="s">
        <v>21</v>
      </c>
      <c r="S2397" t="s">
        <v>21</v>
      </c>
    </row>
    <row r="2398" spans="1:19" hidden="1" x14ac:dyDescent="0.25">
      <c r="A2398">
        <v>41800305</v>
      </c>
      <c r="B2398" t="s">
        <v>26</v>
      </c>
      <c r="C2398" t="s">
        <v>36</v>
      </c>
      <c r="D2398">
        <v>3</v>
      </c>
      <c r="E2398">
        <v>5</v>
      </c>
      <c r="F2398">
        <v>2</v>
      </c>
      <c r="G2398">
        <v>1</v>
      </c>
      <c r="H2398" s="1">
        <v>7.4189814814814813E-3</v>
      </c>
      <c r="I2398" t="s">
        <v>60</v>
      </c>
      <c r="J2398" t="s">
        <v>48</v>
      </c>
      <c r="K2398" s="2" t="str">
        <f>HYPERLINK("https://www.nba.com/stats/events?CFID=&amp;CFPARAMS=&amp;GameEventID=22&amp;GameID=0041800305&amp;Season=2018-19&amp;flag=1&amp;title=Leonard%2027'%203PT%20Pullup%20Jump%20Shot%20(3%20PTS)", "Leonard 27' 3PT Pullup Jump Shot (3 PTS)")</f>
        <v>Leonard 27' 3PT Pullup Jump Shot (3 PTS)</v>
      </c>
      <c r="L2398" s="2" t="str">
        <f>HYPERLINK("https://www.nba.com/game/...-vs-...-0041800305/play-by-play?watchFullGame=true", "TOR vs MIL - Q1 10:41.00")</f>
        <v>TOR vs MIL - Q1 10:41.00</v>
      </c>
      <c r="M2398">
        <v>27</v>
      </c>
      <c r="N2398">
        <v>-76</v>
      </c>
      <c r="O2398">
        <v>255</v>
      </c>
      <c r="P2398">
        <v>-76</v>
      </c>
      <c r="Q2398">
        <v>255</v>
      </c>
      <c r="R2398" t="s">
        <v>21</v>
      </c>
      <c r="S2398" t="s">
        <v>21</v>
      </c>
    </row>
    <row r="2399" spans="1:19" hidden="1" x14ac:dyDescent="0.25">
      <c r="A2399">
        <v>21800041</v>
      </c>
      <c r="B2399" t="s">
        <v>26</v>
      </c>
      <c r="C2399" t="s">
        <v>65</v>
      </c>
      <c r="D2399">
        <v>6</v>
      </c>
      <c r="E2399">
        <v>0</v>
      </c>
      <c r="F2399">
        <v>6</v>
      </c>
      <c r="G2399">
        <v>1</v>
      </c>
      <c r="H2399" s="1">
        <v>7.4999999999999997E-3</v>
      </c>
      <c r="I2399">
        <v>2018</v>
      </c>
      <c r="J2399" t="s">
        <v>48</v>
      </c>
      <c r="K2399" s="2" t="str">
        <f>HYPERLINK("https://www.nba.com/stats/events?CFID=&amp;CFPARAMS=&amp;GameEventID=18&amp;GameID=0021800041&amp;Season=2018-19&amp;flag=1&amp;title=Leonard%2027'%203PT%20Running%20Pull-Up%20Jump%20Shot%20(3%20PTS)", "Leonard 27' 3PT Running Pull-Up Jump Shot (3 PTS)")</f>
        <v>Leonard 27' 3PT Running Pull-Up Jump Shot (3 PTS)</v>
      </c>
      <c r="L2399" s="2" t="str">
        <f>HYPERLINK("https://www.nba.com/game/...-vs-...-0021800041/play-by-play?watchFullGame=true", "TOR vs CHA - Q1 10:48.00")</f>
        <v>TOR vs CHA - Q1 10:48.00</v>
      </c>
      <c r="M2399">
        <v>27</v>
      </c>
      <c r="N2399">
        <v>114</v>
      </c>
      <c r="O2399">
        <v>242</v>
      </c>
      <c r="P2399">
        <v>114</v>
      </c>
      <c r="Q2399">
        <v>242</v>
      </c>
      <c r="R2399" t="s">
        <v>21</v>
      </c>
      <c r="S2399" t="s">
        <v>21</v>
      </c>
    </row>
    <row r="2400" spans="1:19" hidden="1" x14ac:dyDescent="0.25">
      <c r="A2400">
        <v>21800724</v>
      </c>
      <c r="B2400" t="s">
        <v>26</v>
      </c>
      <c r="C2400" t="s">
        <v>36</v>
      </c>
      <c r="D2400">
        <v>61</v>
      </c>
      <c r="E2400">
        <v>70</v>
      </c>
      <c r="F2400">
        <v>9</v>
      </c>
      <c r="G2400">
        <v>2</v>
      </c>
      <c r="H2400" s="1">
        <v>8.1018518518518516E-5</v>
      </c>
      <c r="I2400">
        <v>2018</v>
      </c>
      <c r="J2400" t="s">
        <v>48</v>
      </c>
      <c r="K2400" s="2" t="str">
        <f>HYPERLINK("https://www.nba.com/stats/events?CFID=&amp;CFPARAMS=&amp;GameEventID=311&amp;GameID=0021800724&amp;Season=2018-19&amp;flag=1&amp;title=Leonard%2026'%203PT%20Pullup%20Jump%20Shot%20(17%20PTS)", "Leonard 26' 3PT Pullup Jump Shot (17 PTS)")</f>
        <v>Leonard 26' 3PT Pullup Jump Shot (17 PTS)</v>
      </c>
      <c r="L2400" s="2" t="str">
        <f>HYPERLINK("https://www.nba.com/game/...-vs-...-0021800724/play-by-play?watchFullGame=true", "TOR vs HOU - Q2 00:07.00")</f>
        <v>TOR vs HOU - Q2 00:07.00</v>
      </c>
      <c r="M2400">
        <v>26</v>
      </c>
      <c r="N2400">
        <v>89</v>
      </c>
      <c r="O2400">
        <v>240</v>
      </c>
      <c r="P2400">
        <v>89</v>
      </c>
      <c r="Q2400">
        <v>240</v>
      </c>
      <c r="R2400" t="s">
        <v>21</v>
      </c>
      <c r="S2400" t="s">
        <v>21</v>
      </c>
    </row>
    <row r="2401" spans="1:19" hidden="1" x14ac:dyDescent="0.25">
      <c r="A2401">
        <v>41600154</v>
      </c>
      <c r="B2401" t="s">
        <v>26</v>
      </c>
      <c r="C2401" t="s">
        <v>19</v>
      </c>
      <c r="D2401">
        <v>105</v>
      </c>
      <c r="E2401">
        <v>106</v>
      </c>
      <c r="F2401">
        <v>1</v>
      </c>
      <c r="G2401">
        <v>5</v>
      </c>
      <c r="H2401" s="1">
        <v>2.6388888888888892E-4</v>
      </c>
      <c r="I2401" t="s">
        <v>58</v>
      </c>
      <c r="J2401" t="s">
        <v>20</v>
      </c>
      <c r="K2401" s="2" t="str">
        <f>HYPERLINK("https://www.nba.com/stats/events?CFID=&amp;CFPARAMS=&amp;GameEventID=574&amp;GameID=0041600154&amp;Season=2016-17&amp;flag=1&amp;title=Leonard%2026'%203PT%20Jump%20Shot%20(40%20PTS)%20(Lee%202%20AST)", "Leonard 26' 3PT Jump Shot (40 PTS) (Lee 2 AST)")</f>
        <v>Leonard 26' 3PT Jump Shot (40 PTS) (Lee 2 AST)</v>
      </c>
      <c r="L2401" s="2" t="str">
        <f>HYPERLINK("https://www.nba.com/game/...-vs-...-0041600154/play-by-play?watchFullGame=true", "SAS vs MEM - Q5 00:22.80")</f>
        <v>SAS vs MEM - Q5 00:22.80</v>
      </c>
      <c r="M2401">
        <v>26</v>
      </c>
      <c r="N2401">
        <v>-9</v>
      </c>
      <c r="O2401">
        <v>257</v>
      </c>
      <c r="P2401">
        <v>-9</v>
      </c>
      <c r="Q2401">
        <v>257</v>
      </c>
      <c r="R2401" t="s">
        <v>21</v>
      </c>
      <c r="S2401" t="s">
        <v>21</v>
      </c>
    </row>
    <row r="2402" spans="1:19" hidden="1" x14ac:dyDescent="0.25">
      <c r="A2402">
        <v>41800404</v>
      </c>
      <c r="B2402" t="s">
        <v>26</v>
      </c>
      <c r="C2402" t="s">
        <v>65</v>
      </c>
      <c r="D2402">
        <v>17</v>
      </c>
      <c r="E2402">
        <v>23</v>
      </c>
      <c r="F2402">
        <v>6</v>
      </c>
      <c r="G2402">
        <v>1</v>
      </c>
      <c r="H2402" s="1">
        <v>3.1944444444444446E-4</v>
      </c>
      <c r="I2402" t="s">
        <v>60</v>
      </c>
      <c r="J2402" t="s">
        <v>48</v>
      </c>
      <c r="K2402" s="2" t="str">
        <f>HYPERLINK("https://www.nba.com/stats/events?CFID=&amp;CFPARAMS=&amp;GameEventID=142&amp;GameID=0041800404&amp;Season=2018-19&amp;flag=1&amp;title=Leonard%2026'%203PT%20Running%20Pull-Up%20Jump%20Shot%20(14%20PTS)", "Leonard 26' 3PT Running Pull-Up Jump Shot (14 PTS)")</f>
        <v>Leonard 26' 3PT Running Pull-Up Jump Shot (14 PTS)</v>
      </c>
      <c r="L2402" s="2" t="str">
        <f>HYPERLINK("https://www.nba.com/game/...-vs-...-0041800404/play-by-play?watchFullGame=true", "TOR vs GSW - Q1 00:27.60")</f>
        <v>TOR vs GSW - Q1 00:27.60</v>
      </c>
      <c r="M2402">
        <v>26</v>
      </c>
      <c r="N2402">
        <v>133</v>
      </c>
      <c r="O2402">
        <v>227</v>
      </c>
      <c r="P2402">
        <v>133</v>
      </c>
      <c r="Q2402">
        <v>227</v>
      </c>
      <c r="R2402" t="s">
        <v>21</v>
      </c>
      <c r="S2402" t="s">
        <v>21</v>
      </c>
    </row>
    <row r="2403" spans="1:19" hidden="1" x14ac:dyDescent="0.25">
      <c r="A2403">
        <v>21500195</v>
      </c>
      <c r="B2403" t="s">
        <v>26</v>
      </c>
      <c r="C2403" t="s">
        <v>19</v>
      </c>
      <c r="D2403">
        <v>74</v>
      </c>
      <c r="E2403">
        <v>61</v>
      </c>
      <c r="F2403">
        <v>13</v>
      </c>
      <c r="G2403">
        <v>3</v>
      </c>
      <c r="H2403" s="1">
        <v>3.2754629629629632E-4</v>
      </c>
      <c r="I2403">
        <v>2015</v>
      </c>
      <c r="J2403" t="s">
        <v>20</v>
      </c>
      <c r="K2403" s="2" t="str">
        <f>HYPERLINK("https://www.nba.com/stats/events?CFID=&amp;CFPARAMS=&amp;GameEventID=354&amp;GameID=0021500195&amp;Season=2015-16&amp;flag=1&amp;title=Leonard%2026'%203PT%20Jump%20Shot%20(15%20PTS)%20(Anderson%201%20AST)", "Leonard 26' 3PT Jump Shot (15 PTS) (Anderson 1 AST)")</f>
        <v>Leonard 26' 3PT Jump Shot (15 PTS) (Anderson 1 AST)</v>
      </c>
      <c r="L2403" s="2" t="str">
        <f>HYPERLINK("https://www.nba.com/game/...-vs-...-0021500195/play-by-play?watchFullGame=true", "SAS vs MEM - Q3 00:28.30")</f>
        <v>SAS vs MEM - Q3 00:28.30</v>
      </c>
      <c r="M2403">
        <v>26</v>
      </c>
      <c r="N2403">
        <v>-176</v>
      </c>
      <c r="O2403">
        <v>188</v>
      </c>
      <c r="P2403">
        <v>-176</v>
      </c>
      <c r="Q2403">
        <v>188</v>
      </c>
      <c r="R2403" t="s">
        <v>21</v>
      </c>
      <c r="S2403" t="s">
        <v>21</v>
      </c>
    </row>
    <row r="2404" spans="1:19" hidden="1" x14ac:dyDescent="0.25">
      <c r="A2404">
        <v>21600508</v>
      </c>
      <c r="B2404" t="s">
        <v>26</v>
      </c>
      <c r="C2404" t="s">
        <v>36</v>
      </c>
      <c r="D2404">
        <v>112</v>
      </c>
      <c r="E2404">
        <v>112</v>
      </c>
      <c r="F2404">
        <v>0</v>
      </c>
      <c r="G2404">
        <v>5</v>
      </c>
      <c r="H2404" s="1">
        <v>3.9699074074074072E-4</v>
      </c>
      <c r="I2404">
        <v>2016</v>
      </c>
      <c r="J2404" t="s">
        <v>20</v>
      </c>
      <c r="K2404" s="2" t="str">
        <f>HYPERLINK("https://www.nba.com/stats/events?CFID=&amp;CFPARAMS=&amp;GameEventID=599&amp;GameID=0021600508&amp;Season=2016-17&amp;flag=1&amp;title=Leonard%2026'%203PT%20Pullup%20Jump%20Shot%20(13%20PTS)", "Leonard 26' 3PT Pullup Jump Shot (13 PTS)")</f>
        <v>Leonard 26' 3PT Pullup Jump Shot (13 PTS)</v>
      </c>
      <c r="L2404" s="2" t="str">
        <f>HYPERLINK("https://www.nba.com/game/...-vs-...-0021600508/play-by-play?watchFullGame=true", "SAS vs ATL - Q5 00:34.30")</f>
        <v>SAS vs ATL - Q5 00:34.30</v>
      </c>
      <c r="M2404">
        <v>26</v>
      </c>
      <c r="N2404">
        <v>156</v>
      </c>
      <c r="O2404">
        <v>203</v>
      </c>
      <c r="P2404">
        <v>156</v>
      </c>
      <c r="Q2404">
        <v>203</v>
      </c>
      <c r="R2404" t="s">
        <v>21</v>
      </c>
      <c r="S2404" t="s">
        <v>21</v>
      </c>
    </row>
    <row r="2405" spans="1:19" hidden="1" x14ac:dyDescent="0.25">
      <c r="A2405">
        <v>21801098</v>
      </c>
      <c r="B2405" t="s">
        <v>26</v>
      </c>
      <c r="C2405" t="s">
        <v>30</v>
      </c>
      <c r="D2405">
        <v>57</v>
      </c>
      <c r="E2405">
        <v>56</v>
      </c>
      <c r="F2405">
        <v>1</v>
      </c>
      <c r="G2405">
        <v>2</v>
      </c>
      <c r="H2405" s="1">
        <v>4.0625000000000004E-4</v>
      </c>
      <c r="I2405">
        <v>2018</v>
      </c>
      <c r="J2405" t="s">
        <v>48</v>
      </c>
      <c r="K2405" s="2" t="str">
        <f>HYPERLINK("https://www.nba.com/stats/events?CFID=&amp;CFPARAMS=&amp;GameEventID=313&amp;GameID=0021801098&amp;Season=2018-19&amp;flag=1&amp;title=Leonard%2026'%203PT%20Running%20Jump%20Shot%20(12%20PTS)%20(VanVleet%202%20AST)", "Leonard 26' 3PT Running Jump Shot (12 PTS) (VanVleet 2 AST)")</f>
        <v>Leonard 26' 3PT Running Jump Shot (12 PTS) (VanVleet 2 AST)</v>
      </c>
      <c r="L2405" s="2" t="str">
        <f>HYPERLINK("https://www.nba.com/game/...-vs-...-0021801098/play-by-play?watchFullGame=true", "TOR vs CHA - Q2 00:35.10")</f>
        <v>TOR vs CHA - Q2 00:35.10</v>
      </c>
      <c r="M2405">
        <v>26</v>
      </c>
      <c r="N2405">
        <v>155</v>
      </c>
      <c r="O2405">
        <v>206</v>
      </c>
      <c r="P2405">
        <v>155</v>
      </c>
      <c r="Q2405">
        <v>206</v>
      </c>
      <c r="R2405" t="s">
        <v>21</v>
      </c>
      <c r="S2405" t="s">
        <v>21</v>
      </c>
    </row>
    <row r="2406" spans="1:19" hidden="1" x14ac:dyDescent="0.25">
      <c r="A2406">
        <v>21800359</v>
      </c>
      <c r="B2406" t="s">
        <v>26</v>
      </c>
      <c r="C2406" t="s">
        <v>19</v>
      </c>
      <c r="D2406">
        <v>53</v>
      </c>
      <c r="E2406">
        <v>46</v>
      </c>
      <c r="F2406">
        <v>7</v>
      </c>
      <c r="G2406">
        <v>2</v>
      </c>
      <c r="H2406" s="1">
        <v>4.3402777777777775E-4</v>
      </c>
      <c r="I2406">
        <v>2018</v>
      </c>
      <c r="J2406" t="s">
        <v>48</v>
      </c>
      <c r="K2406" s="2" t="str">
        <f>HYPERLINK("https://www.nba.com/stats/events?CFID=&amp;CFPARAMS=&amp;GameEventID=362&amp;GameID=0021800359&amp;Season=2018-19&amp;flag=1&amp;title=Leonard%2026'%203PT%20Jump%20Shot%20(21%20PTS)%20(Green%201%20AST)", "Leonard 26' 3PT Jump Shot (21 PTS) (Green 1 AST)")</f>
        <v>Leonard 26' 3PT Jump Shot (21 PTS) (Green 1 AST)</v>
      </c>
      <c r="L2406" s="2" t="str">
        <f>HYPERLINK("https://www.nba.com/game/...-vs-...-0021800359/play-by-play?watchFullGame=true", "TOR vs PHI - Q2 00:37.50")</f>
        <v>TOR vs PHI - Q2 00:37.50</v>
      </c>
      <c r="M2406">
        <v>26</v>
      </c>
      <c r="N2406">
        <v>-161</v>
      </c>
      <c r="O2406">
        <v>201</v>
      </c>
      <c r="P2406">
        <v>-161</v>
      </c>
      <c r="Q2406">
        <v>201</v>
      </c>
      <c r="R2406" t="s">
        <v>21</v>
      </c>
      <c r="S2406" t="s">
        <v>21</v>
      </c>
    </row>
    <row r="2407" spans="1:19" hidden="1" x14ac:dyDescent="0.25">
      <c r="A2407">
        <v>21600801</v>
      </c>
      <c r="B2407" t="s">
        <v>26</v>
      </c>
      <c r="C2407" t="s">
        <v>19</v>
      </c>
      <c r="D2407">
        <v>25</v>
      </c>
      <c r="E2407">
        <v>17</v>
      </c>
      <c r="F2407">
        <v>8</v>
      </c>
      <c r="G2407">
        <v>1</v>
      </c>
      <c r="H2407" s="1">
        <v>4.3634259259259261E-4</v>
      </c>
      <c r="I2407">
        <v>2016</v>
      </c>
      <c r="J2407" t="s">
        <v>20</v>
      </c>
      <c r="K2407" s="2" t="str">
        <f>HYPERLINK("https://www.nba.com/stats/events?CFID=&amp;CFPARAMS=&amp;GameEventID=101&amp;GameID=0021600801&amp;Season=2016-17&amp;flag=1&amp;title=Leonard%2026'%203PT%20Jump%20Shot%20(7%20PTS)%20(Mills%202%20AST)", "Leonard 26' 3PT Jump Shot (7 PTS) (Mills 2 AST)")</f>
        <v>Leonard 26' 3PT Jump Shot (7 PTS) (Mills 2 AST)</v>
      </c>
      <c r="L2407" s="2" t="str">
        <f>HYPERLINK("https://www.nba.com/game/...-vs-...-0021600801/play-by-play?watchFullGame=true", "SAS vs DET - Q1 00:37.70")</f>
        <v>SAS vs DET - Q1 00:37.70</v>
      </c>
      <c r="M2407">
        <v>26</v>
      </c>
      <c r="N2407">
        <v>-189</v>
      </c>
      <c r="O2407">
        <v>178</v>
      </c>
      <c r="P2407">
        <v>-189</v>
      </c>
      <c r="Q2407">
        <v>178</v>
      </c>
      <c r="R2407" t="s">
        <v>21</v>
      </c>
      <c r="S2407" t="s">
        <v>21</v>
      </c>
    </row>
    <row r="2408" spans="1:19" hidden="1" x14ac:dyDescent="0.25">
      <c r="A2408">
        <v>21600387</v>
      </c>
      <c r="B2408" t="s">
        <v>26</v>
      </c>
      <c r="C2408" t="s">
        <v>19</v>
      </c>
      <c r="D2408">
        <v>49</v>
      </c>
      <c r="E2408">
        <v>42</v>
      </c>
      <c r="F2408">
        <v>7</v>
      </c>
      <c r="G2408">
        <v>2</v>
      </c>
      <c r="H2408" s="1">
        <v>4.5717592592592592E-4</v>
      </c>
      <c r="I2408">
        <v>2016</v>
      </c>
      <c r="J2408" t="s">
        <v>20</v>
      </c>
      <c r="K2408" s="2" t="str">
        <f>HYPERLINK("https://www.nba.com/stats/events?CFID=&amp;CFPARAMS=&amp;GameEventID=234&amp;GameID=0021600387&amp;Season=2016-17&amp;flag=1&amp;title=Leonard%2026'%203PT%20Jump%20Shot%20(12%20PTS)", "Leonard 26' 3PT Jump Shot (12 PTS)")</f>
        <v>Leonard 26' 3PT Jump Shot (12 PTS)</v>
      </c>
      <c r="L2408" s="2" t="str">
        <f>HYPERLINK("https://www.nba.com/game/...-vs-...-0021600387/play-by-play?watchFullGame=true", "SAS vs PHX - Q2 00:39.50")</f>
        <v>SAS vs PHX - Q2 00:39.50</v>
      </c>
      <c r="M2408">
        <v>26</v>
      </c>
      <c r="N2408">
        <v>42</v>
      </c>
      <c r="O2408">
        <v>252</v>
      </c>
      <c r="P2408">
        <v>42</v>
      </c>
      <c r="Q2408">
        <v>252</v>
      </c>
      <c r="R2408" t="s">
        <v>21</v>
      </c>
      <c r="S2408" t="s">
        <v>21</v>
      </c>
    </row>
    <row r="2409" spans="1:19" hidden="1" x14ac:dyDescent="0.25">
      <c r="A2409">
        <v>21801044</v>
      </c>
      <c r="B2409" t="s">
        <v>26</v>
      </c>
      <c r="C2409" t="s">
        <v>19</v>
      </c>
      <c r="D2409">
        <v>47</v>
      </c>
      <c r="E2409">
        <v>50</v>
      </c>
      <c r="F2409">
        <v>3</v>
      </c>
      <c r="G2409">
        <v>2</v>
      </c>
      <c r="H2409" s="1">
        <v>5.2430555555555553E-4</v>
      </c>
      <c r="I2409">
        <v>2018</v>
      </c>
      <c r="J2409" t="s">
        <v>48</v>
      </c>
      <c r="K2409" s="2" t="str">
        <f>HYPERLINK("https://www.nba.com/stats/events?CFID=&amp;CFPARAMS=&amp;GameEventID=271&amp;GameID=0021801044&amp;Season=2018-19&amp;flag=1&amp;title=Leonard%2026'%203PT%20Jump%20Shot%20(14%20PTS)", "Leonard 26' 3PT Jump Shot (14 PTS)")</f>
        <v>Leonard 26' 3PT Jump Shot (14 PTS)</v>
      </c>
      <c r="L2409" s="2" t="str">
        <f>HYPERLINK("https://www.nba.com/game/...-vs-...-0021801044/play-by-play?watchFullGame=true", "TOR vs DET - Q2 00:45.30")</f>
        <v>TOR vs DET - Q2 00:45.30</v>
      </c>
      <c r="M2409">
        <v>26</v>
      </c>
      <c r="N2409">
        <v>114</v>
      </c>
      <c r="O2409">
        <v>239</v>
      </c>
      <c r="P2409">
        <v>114</v>
      </c>
      <c r="Q2409">
        <v>239</v>
      </c>
      <c r="R2409" t="s">
        <v>21</v>
      </c>
      <c r="S2409" t="s">
        <v>21</v>
      </c>
    </row>
    <row r="2410" spans="1:19" hidden="1" x14ac:dyDescent="0.25">
      <c r="A2410">
        <v>21800041</v>
      </c>
      <c r="B2410" t="s">
        <v>26</v>
      </c>
      <c r="C2410" t="s">
        <v>65</v>
      </c>
      <c r="D2410">
        <v>62</v>
      </c>
      <c r="E2410">
        <v>45</v>
      </c>
      <c r="F2410">
        <v>17</v>
      </c>
      <c r="G2410">
        <v>2</v>
      </c>
      <c r="H2410" s="1">
        <v>6.087962962962963E-4</v>
      </c>
      <c r="I2410">
        <v>2018</v>
      </c>
      <c r="J2410" t="s">
        <v>48</v>
      </c>
      <c r="K2410" s="2" t="str">
        <f>HYPERLINK("https://www.nba.com/stats/events?CFID=&amp;CFPARAMS=&amp;GameEventID=310&amp;GameID=0021800041&amp;Season=2018-19&amp;flag=1&amp;title=Leonard%2026'%203PT%20Running%20Pull-Up%20Jump%20Shot%20(15%20PTS)%20(Lowry%207%20AST)", "Leonard 26' 3PT Running Pull-Up Jump Shot (15 PTS) (Lowry 7 AST)")</f>
        <v>Leonard 26' 3PT Running Pull-Up Jump Shot (15 PTS) (Lowry 7 AST)</v>
      </c>
      <c r="L2410" s="2" t="str">
        <f>HYPERLINK("https://www.nba.com/game/...-vs-...-0021800041/play-by-play?watchFullGame=true", "TOR vs CHA - Q2 00:52.60")</f>
        <v>TOR vs CHA - Q2 00:52.60</v>
      </c>
      <c r="M2410">
        <v>26</v>
      </c>
      <c r="N2410">
        <v>127</v>
      </c>
      <c r="O2410">
        <v>230</v>
      </c>
      <c r="P2410">
        <v>127</v>
      </c>
      <c r="Q2410">
        <v>230</v>
      </c>
      <c r="R2410" t="s">
        <v>21</v>
      </c>
      <c r="S2410" t="s">
        <v>21</v>
      </c>
    </row>
    <row r="2411" spans="1:19" hidden="1" x14ac:dyDescent="0.25">
      <c r="A2411">
        <v>41800214</v>
      </c>
      <c r="B2411" t="s">
        <v>26</v>
      </c>
      <c r="C2411" t="s">
        <v>39</v>
      </c>
      <c r="D2411">
        <v>94</v>
      </c>
      <c r="E2411">
        <v>90</v>
      </c>
      <c r="F2411">
        <v>4</v>
      </c>
      <c r="G2411">
        <v>4</v>
      </c>
      <c r="H2411" s="1">
        <v>7.0601851851851847E-4</v>
      </c>
      <c r="I2411" t="s">
        <v>60</v>
      </c>
      <c r="J2411" t="s">
        <v>48</v>
      </c>
      <c r="K2411" s="2" t="str">
        <f>HYPERLINK("https://www.nba.com/stats/events?CFID=&amp;CFPARAMS=&amp;GameEventID=611&amp;GameID=0041800214&amp;Season=2018-19&amp;flag=1&amp;title=Leonard%2026'%203PT%20Step%20Back%20Jump%20Shot%20(39%20PTS)", "Leonard 26' 3PT Step Back Jump Shot (39 PTS)")</f>
        <v>Leonard 26' 3PT Step Back Jump Shot (39 PTS)</v>
      </c>
      <c r="L2411" s="2" t="str">
        <f>HYPERLINK("https://www.nba.com/game/...-vs-...-0041800214/play-by-play?watchFullGame=true", "TOR vs PHI - Q4 01:01.00")</f>
        <v>TOR vs PHI - Q4 01:01.00</v>
      </c>
      <c r="M2411">
        <v>26</v>
      </c>
      <c r="N2411">
        <v>75</v>
      </c>
      <c r="O2411">
        <v>244</v>
      </c>
      <c r="P2411">
        <v>75</v>
      </c>
      <c r="Q2411">
        <v>244</v>
      </c>
      <c r="R2411" t="s">
        <v>21</v>
      </c>
      <c r="S2411" t="s">
        <v>21</v>
      </c>
    </row>
    <row r="2412" spans="1:19" hidden="1" x14ac:dyDescent="0.25">
      <c r="A2412">
        <v>21800842</v>
      </c>
      <c r="B2412" t="s">
        <v>26</v>
      </c>
      <c r="C2412" t="s">
        <v>19</v>
      </c>
      <c r="D2412">
        <v>54</v>
      </c>
      <c r="E2412">
        <v>52</v>
      </c>
      <c r="F2412">
        <v>2</v>
      </c>
      <c r="G2412">
        <v>2</v>
      </c>
      <c r="H2412" s="1">
        <v>1.1226851851851851E-3</v>
      </c>
      <c r="I2412">
        <v>2018</v>
      </c>
      <c r="J2412" t="s">
        <v>48</v>
      </c>
      <c r="K2412" s="2" t="str">
        <f>HYPERLINK("https://www.nba.com/stats/events?CFID=&amp;CFPARAMS=&amp;GameEventID=282&amp;GameID=0021800842&amp;Season=2018-19&amp;flag=1&amp;title=Leonard%2026'%203PT%20Jump%20Shot%20(13%20PTS)%20(Lowry%202%20AST)", "Leonard 26' 3PT Jump Shot (13 PTS) (Lowry 2 AST)")</f>
        <v>Leonard 26' 3PT Jump Shot (13 PTS) (Lowry 2 AST)</v>
      </c>
      <c r="L2412" s="2" t="str">
        <f>HYPERLINK("https://www.nba.com/game/...-vs-...-0021800842/play-by-play?watchFullGame=true", "TOR vs BKN - Q2 01:37.00")</f>
        <v>TOR vs BKN - Q2 01:37.00</v>
      </c>
      <c r="M2412">
        <v>26</v>
      </c>
      <c r="N2412">
        <v>-163</v>
      </c>
      <c r="O2412">
        <v>198</v>
      </c>
      <c r="P2412">
        <v>-163</v>
      </c>
      <c r="Q2412">
        <v>198</v>
      </c>
      <c r="R2412" t="s">
        <v>21</v>
      </c>
      <c r="S2412" t="s">
        <v>21</v>
      </c>
    </row>
    <row r="2413" spans="1:19" hidden="1" x14ac:dyDescent="0.25">
      <c r="A2413">
        <v>21601085</v>
      </c>
      <c r="B2413" t="s">
        <v>26</v>
      </c>
      <c r="C2413" t="s">
        <v>19</v>
      </c>
      <c r="D2413">
        <v>106</v>
      </c>
      <c r="E2413">
        <v>92</v>
      </c>
      <c r="F2413">
        <v>14</v>
      </c>
      <c r="G2413">
        <v>4</v>
      </c>
      <c r="H2413" s="1">
        <v>1.1226851851851851E-3</v>
      </c>
      <c r="I2413">
        <v>2016</v>
      </c>
      <c r="J2413" t="s">
        <v>20</v>
      </c>
      <c r="K2413" s="2" t="str">
        <f>HYPERLINK("https://www.nba.com/stats/events?CFID=&amp;CFPARAMS=&amp;GameEventID=483&amp;GameID=0021601085&amp;Season=2016-17&amp;flag=1&amp;title=Leonard%2026'%203PT%20Jump%20Shot%20(29%20PTS)%20(Gasol%203%20AST)", "Leonard 26' 3PT Jump Shot (29 PTS) (Gasol 3 AST)")</f>
        <v>Leonard 26' 3PT Jump Shot (29 PTS) (Gasol 3 AST)</v>
      </c>
      <c r="L2413" s="2" t="str">
        <f>HYPERLINK("https://www.nba.com/game/...-vs-...-0021601085/play-by-play?watchFullGame=true", "SAS vs NYK - Q4 01:37.00")</f>
        <v>SAS vs NYK - Q4 01:37.00</v>
      </c>
      <c r="M2413">
        <v>26</v>
      </c>
      <c r="N2413">
        <v>122</v>
      </c>
      <c r="O2413">
        <v>229</v>
      </c>
      <c r="P2413">
        <v>122</v>
      </c>
      <c r="Q2413">
        <v>229</v>
      </c>
      <c r="R2413" t="s">
        <v>21</v>
      </c>
      <c r="S2413" t="s">
        <v>21</v>
      </c>
    </row>
    <row r="2414" spans="1:19" hidden="1" x14ac:dyDescent="0.25">
      <c r="A2414">
        <v>41800213</v>
      </c>
      <c r="B2414" t="s">
        <v>26</v>
      </c>
      <c r="C2414" t="s">
        <v>19</v>
      </c>
      <c r="D2414">
        <v>77</v>
      </c>
      <c r="E2414">
        <v>87</v>
      </c>
      <c r="F2414">
        <v>10</v>
      </c>
      <c r="G2414">
        <v>3</v>
      </c>
      <c r="H2414" s="1">
        <v>1.1342592592592593E-3</v>
      </c>
      <c r="I2414" t="s">
        <v>60</v>
      </c>
      <c r="J2414" t="s">
        <v>48</v>
      </c>
      <c r="K2414" s="2" t="str">
        <f>HYPERLINK("https://www.nba.com/stats/events?CFID=&amp;CFPARAMS=&amp;GameEventID=449&amp;GameID=0041800213&amp;Season=2018-19&amp;flag=1&amp;title=Leonard%2026'%203PT%20Jump%20Shot%20(29%20PTS)", "Leonard 26' 3PT Jump Shot (29 PTS)")</f>
        <v>Leonard 26' 3PT Jump Shot (29 PTS)</v>
      </c>
      <c r="L2414" s="2" t="str">
        <f>HYPERLINK("https://www.nba.com/game/...-vs-...-0041800213/play-by-play?watchFullGame=true", "TOR vs PHI - Q3 01:38.00")</f>
        <v>TOR vs PHI - Q3 01:38.00</v>
      </c>
      <c r="M2414">
        <v>26</v>
      </c>
      <c r="N2414">
        <v>11</v>
      </c>
      <c r="O2414">
        <v>261</v>
      </c>
      <c r="P2414">
        <v>11</v>
      </c>
      <c r="Q2414">
        <v>261</v>
      </c>
      <c r="R2414" t="s">
        <v>21</v>
      </c>
      <c r="S2414" t="s">
        <v>21</v>
      </c>
    </row>
    <row r="2415" spans="1:19" hidden="1" x14ac:dyDescent="0.25">
      <c r="A2415">
        <v>41300401</v>
      </c>
      <c r="B2415" t="s">
        <v>26</v>
      </c>
      <c r="C2415" t="s">
        <v>19</v>
      </c>
      <c r="D2415">
        <v>102</v>
      </c>
      <c r="E2415">
        <v>95</v>
      </c>
      <c r="F2415">
        <v>7</v>
      </c>
      <c r="G2415">
        <v>4</v>
      </c>
      <c r="H2415" s="1">
        <v>1.1921296296296296E-3</v>
      </c>
      <c r="I2415" t="s">
        <v>55</v>
      </c>
      <c r="J2415" t="s">
        <v>20</v>
      </c>
      <c r="K2415" s="2" t="str">
        <f>HYPERLINK("https://www.nba.com/stats/events?CFID=&amp;CFPARAMS=&amp;GameEventID=454&amp;GameID=0041300401&amp;Season=2013-14&amp;flag=1&amp;title=Leonard%2026'%203PT%20Jump%20Shot%20(6%20PTS)%20(Parker%208%20AST)", "Leonard 26' 3PT Jump Shot (6 PTS) (Parker 8 AST)")</f>
        <v>Leonard 26' 3PT Jump Shot (6 PTS) (Parker 8 AST)</v>
      </c>
      <c r="L2415" s="2" t="str">
        <f>HYPERLINK("https://www.nba.com/game/...-vs-...-0041300401/play-by-play?watchFullGame=true", "SAS vs MIA - Q4 01:43.00")</f>
        <v>SAS vs MIA - Q4 01:43.00</v>
      </c>
      <c r="M2415">
        <v>26</v>
      </c>
      <c r="N2415">
        <v>201</v>
      </c>
      <c r="O2415">
        <v>164</v>
      </c>
      <c r="P2415">
        <v>201</v>
      </c>
      <c r="Q2415">
        <v>164</v>
      </c>
      <c r="R2415" t="s">
        <v>21</v>
      </c>
      <c r="S2415" t="s">
        <v>21</v>
      </c>
    </row>
    <row r="2416" spans="1:19" hidden="1" x14ac:dyDescent="0.25">
      <c r="A2416">
        <v>21600801</v>
      </c>
      <c r="B2416" t="s">
        <v>26</v>
      </c>
      <c r="C2416" t="s">
        <v>19</v>
      </c>
      <c r="D2416">
        <v>54</v>
      </c>
      <c r="E2416">
        <v>41</v>
      </c>
      <c r="F2416">
        <v>13</v>
      </c>
      <c r="G2416">
        <v>2</v>
      </c>
      <c r="H2416" s="1">
        <v>1.3425925925925925E-3</v>
      </c>
      <c r="I2416">
        <v>2016</v>
      </c>
      <c r="J2416" t="s">
        <v>20</v>
      </c>
      <c r="K2416" s="2" t="str">
        <f>HYPERLINK("https://www.nba.com/stats/events?CFID=&amp;CFPARAMS=&amp;GameEventID=187&amp;GameID=0021600801&amp;Season=2016-17&amp;flag=1&amp;title=Leonard%2026'%203PT%20Jump%20Shot%20(12%20PTS)%20(Parker%207%20AST)", "Leonard 26' 3PT Jump Shot (12 PTS) (Parker 7 AST)")</f>
        <v>Leonard 26' 3PT Jump Shot (12 PTS) (Parker 7 AST)</v>
      </c>
      <c r="L2416" s="2" t="str">
        <f>HYPERLINK("https://www.nba.com/game/...-vs-...-0021600801/play-by-play?watchFullGame=true", "SAS vs DET - Q2 01:56.00")</f>
        <v>SAS vs DET - Q2 01:56.00</v>
      </c>
      <c r="M2416">
        <v>26</v>
      </c>
      <c r="N2416">
        <v>202</v>
      </c>
      <c r="O2416">
        <v>164</v>
      </c>
      <c r="P2416">
        <v>202</v>
      </c>
      <c r="Q2416">
        <v>164</v>
      </c>
      <c r="R2416" t="s">
        <v>21</v>
      </c>
      <c r="S2416" t="s">
        <v>21</v>
      </c>
    </row>
    <row r="2417" spans="1:19" hidden="1" x14ac:dyDescent="0.25">
      <c r="A2417">
        <v>41800402</v>
      </c>
      <c r="B2417" t="s">
        <v>26</v>
      </c>
      <c r="C2417" t="s">
        <v>36</v>
      </c>
      <c r="D2417">
        <v>74</v>
      </c>
      <c r="E2417">
        <v>81</v>
      </c>
      <c r="F2417">
        <v>7</v>
      </c>
      <c r="G2417">
        <v>3</v>
      </c>
      <c r="H2417" s="1">
        <v>1.3773148148148147E-3</v>
      </c>
      <c r="I2417" t="s">
        <v>60</v>
      </c>
      <c r="J2417" t="s">
        <v>48</v>
      </c>
      <c r="K2417" s="2" t="str">
        <f>HYPERLINK("https://www.nba.com/stats/events?CFID=&amp;CFPARAMS=&amp;GameEventID=511&amp;GameID=0041800402&amp;Season=2018-19&amp;flag=1&amp;title=Leonard%2026'%203PT%20Pullup%20Jump%20Shot%20(24%20PTS)", "Leonard 26' 3PT Pullup Jump Shot (24 PTS)")</f>
        <v>Leonard 26' 3PT Pullup Jump Shot (24 PTS)</v>
      </c>
      <c r="L2417" s="2" t="str">
        <f>HYPERLINK("https://www.nba.com/game/...-vs-...-0041800402/play-by-play?watchFullGame=true", "TOR vs GSW - Q3 01:59.00")</f>
        <v>TOR vs GSW - Q3 01:59.00</v>
      </c>
      <c r="M2417">
        <v>26</v>
      </c>
      <c r="N2417">
        <v>152</v>
      </c>
      <c r="O2417">
        <v>213</v>
      </c>
      <c r="P2417">
        <v>152</v>
      </c>
      <c r="Q2417">
        <v>213</v>
      </c>
      <c r="R2417" t="s">
        <v>21</v>
      </c>
      <c r="S2417" t="s">
        <v>21</v>
      </c>
    </row>
    <row r="2418" spans="1:19" hidden="1" x14ac:dyDescent="0.25">
      <c r="A2418">
        <v>21800359</v>
      </c>
      <c r="B2418" t="s">
        <v>26</v>
      </c>
      <c r="C2418" t="s">
        <v>19</v>
      </c>
      <c r="D2418">
        <v>76</v>
      </c>
      <c r="E2418">
        <v>74</v>
      </c>
      <c r="F2418">
        <v>2</v>
      </c>
      <c r="G2418">
        <v>3</v>
      </c>
      <c r="H2418" s="1">
        <v>1.4120370370370369E-3</v>
      </c>
      <c r="I2418">
        <v>2018</v>
      </c>
      <c r="J2418" t="s">
        <v>48</v>
      </c>
      <c r="K2418" s="2" t="str">
        <f>HYPERLINK("https://www.nba.com/stats/events?CFID=&amp;CFPARAMS=&amp;GameEventID=497&amp;GameID=0021800359&amp;Season=2018-19&amp;flag=1&amp;title=Leonard%2026'%203PT%20Jump%20Shot%20(31%20PTS)%20(Anunoby%202%20AST)", "Leonard 26' 3PT Jump Shot (31 PTS) (Anunoby 2 AST)")</f>
        <v>Leonard 26' 3PT Jump Shot (31 PTS) (Anunoby 2 AST)</v>
      </c>
      <c r="L2418" s="2" t="str">
        <f>HYPERLINK("https://www.nba.com/game/...-vs-...-0021800359/play-by-play?watchFullGame=true", "TOR vs PHI - Q3 02:02.00")</f>
        <v>TOR vs PHI - Q3 02:02.00</v>
      </c>
      <c r="M2418">
        <v>26</v>
      </c>
      <c r="N2418">
        <v>-161</v>
      </c>
      <c r="O2418">
        <v>204</v>
      </c>
      <c r="P2418">
        <v>-161</v>
      </c>
      <c r="Q2418">
        <v>204</v>
      </c>
      <c r="R2418" t="s">
        <v>21</v>
      </c>
      <c r="S2418" t="s">
        <v>21</v>
      </c>
    </row>
    <row r="2419" spans="1:19" hidden="1" x14ac:dyDescent="0.25">
      <c r="A2419">
        <v>41800214</v>
      </c>
      <c r="B2419" t="s">
        <v>26</v>
      </c>
      <c r="C2419" t="s">
        <v>19</v>
      </c>
      <c r="D2419">
        <v>71</v>
      </c>
      <c r="E2419">
        <v>72</v>
      </c>
      <c r="F2419">
        <v>1</v>
      </c>
      <c r="G2419">
        <v>3</v>
      </c>
      <c r="H2419" s="1">
        <v>1.4236111111111112E-3</v>
      </c>
      <c r="I2419" t="s">
        <v>60</v>
      </c>
      <c r="J2419" t="s">
        <v>48</v>
      </c>
      <c r="K2419" s="2" t="str">
        <f>HYPERLINK("https://www.nba.com/stats/events?CFID=&amp;CFPARAMS=&amp;GameEventID=443&amp;GameID=0041800214&amp;Season=2018-19&amp;flag=1&amp;title=Leonard%2026'%203PT%20Jump%20Shot%20(31%20PTS)%20(Gasol%202%20AST)", "Leonard 26' 3PT Jump Shot (31 PTS) (Gasol 2 AST)")</f>
        <v>Leonard 26' 3PT Jump Shot (31 PTS) (Gasol 2 AST)</v>
      </c>
      <c r="L2419" s="2" t="str">
        <f>HYPERLINK("https://www.nba.com/game/...-vs-...-0041800214/play-by-play?watchFullGame=true", "TOR vs PHI - Q3 02:03.00")</f>
        <v>TOR vs PHI - Q3 02:03.00</v>
      </c>
      <c r="M2419">
        <v>26</v>
      </c>
      <c r="N2419">
        <v>-131</v>
      </c>
      <c r="O2419">
        <v>225</v>
      </c>
      <c r="P2419">
        <v>-131</v>
      </c>
      <c r="Q2419">
        <v>225</v>
      </c>
      <c r="R2419" t="s">
        <v>21</v>
      </c>
      <c r="S2419" t="s">
        <v>21</v>
      </c>
    </row>
    <row r="2420" spans="1:19" hidden="1" x14ac:dyDescent="0.25">
      <c r="A2420">
        <v>21600994</v>
      </c>
      <c r="B2420" t="s">
        <v>26</v>
      </c>
      <c r="C2420" t="s">
        <v>36</v>
      </c>
      <c r="D2420">
        <v>100</v>
      </c>
      <c r="E2420">
        <v>91</v>
      </c>
      <c r="F2420">
        <v>9</v>
      </c>
      <c r="G2420">
        <v>4</v>
      </c>
      <c r="H2420" s="1">
        <v>1.4699074074074074E-3</v>
      </c>
      <c r="I2420">
        <v>2016</v>
      </c>
      <c r="J2420" t="s">
        <v>20</v>
      </c>
      <c r="K2420" s="2" t="str">
        <f>HYPERLINK("https://www.nba.com/stats/events?CFID=&amp;CFPARAMS=&amp;GameEventID=509&amp;GameID=0021600994&amp;Season=2016-17&amp;flag=1&amp;title=Leonard%2026'%203PT%20Pullup%20Jump%20Shot%20(26%20PTS)", "Leonard 26' 3PT Pullup Jump Shot (26 PTS)")</f>
        <v>Leonard 26' 3PT Pullup Jump Shot (26 PTS)</v>
      </c>
      <c r="L2420" s="2" t="str">
        <f>HYPERLINK("https://www.nba.com/game/...-vs-...-0021600994/play-by-play?watchFullGame=true", "SAS vs ATL - Q4 02:07.00")</f>
        <v>SAS vs ATL - Q4 02:07.00</v>
      </c>
      <c r="M2420">
        <v>26</v>
      </c>
      <c r="N2420">
        <v>151</v>
      </c>
      <c r="O2420">
        <v>213</v>
      </c>
      <c r="P2420">
        <v>151</v>
      </c>
      <c r="Q2420">
        <v>213</v>
      </c>
      <c r="R2420" t="s">
        <v>21</v>
      </c>
      <c r="S2420" t="s">
        <v>21</v>
      </c>
    </row>
    <row r="2421" spans="1:19" hidden="1" x14ac:dyDescent="0.25">
      <c r="A2421">
        <v>21801098</v>
      </c>
      <c r="B2421" t="s">
        <v>26</v>
      </c>
      <c r="C2421" t="s">
        <v>19</v>
      </c>
      <c r="D2421">
        <v>30</v>
      </c>
      <c r="E2421">
        <v>18</v>
      </c>
      <c r="F2421">
        <v>12</v>
      </c>
      <c r="G2421">
        <v>1</v>
      </c>
      <c r="H2421" s="1">
        <v>1.5162037037037036E-3</v>
      </c>
      <c r="I2421">
        <v>2018</v>
      </c>
      <c r="J2421" t="s">
        <v>48</v>
      </c>
      <c r="K2421" s="2" t="str">
        <f>HYPERLINK("https://www.nba.com/stats/events?CFID=&amp;CFPARAMS=&amp;GameEventID=121&amp;GameID=0021801098&amp;Season=2018-19&amp;flag=1&amp;title=Leonard%2026'%203PT%20Jump%20Shot%20(7%20PTS)%20(Gasol%204%20AST)", "Leonard 26' 3PT Jump Shot (7 PTS) (Gasol 4 AST)")</f>
        <v>Leonard 26' 3PT Jump Shot (7 PTS) (Gasol 4 AST)</v>
      </c>
      <c r="L2421" s="2" t="str">
        <f>HYPERLINK("https://www.nba.com/game/...-vs-...-0021801098/play-by-play?watchFullGame=true", "TOR vs CHA - Q1 02:11.00")</f>
        <v>TOR vs CHA - Q1 02:11.00</v>
      </c>
      <c r="M2421">
        <v>26</v>
      </c>
      <c r="N2421">
        <v>-166</v>
      </c>
      <c r="O2421">
        <v>201</v>
      </c>
      <c r="P2421">
        <v>-166</v>
      </c>
      <c r="Q2421">
        <v>201</v>
      </c>
      <c r="R2421" t="s">
        <v>21</v>
      </c>
      <c r="S2421" t="s">
        <v>21</v>
      </c>
    </row>
    <row r="2422" spans="1:19" hidden="1" x14ac:dyDescent="0.25">
      <c r="A2422">
        <v>21600639</v>
      </c>
      <c r="B2422" t="s">
        <v>26</v>
      </c>
      <c r="C2422" t="s">
        <v>19</v>
      </c>
      <c r="D2422">
        <v>115</v>
      </c>
      <c r="E2422">
        <v>103</v>
      </c>
      <c r="F2422">
        <v>12</v>
      </c>
      <c r="G2422">
        <v>4</v>
      </c>
      <c r="H2422" s="1">
        <v>1.5277777777777779E-3</v>
      </c>
      <c r="I2422">
        <v>2016</v>
      </c>
      <c r="J2422" t="s">
        <v>20</v>
      </c>
      <c r="K2422" s="2" t="str">
        <f>HYPERLINK("https://www.nba.com/stats/events?CFID=&amp;CFPARAMS=&amp;GameEventID=514&amp;GameID=0021600639&amp;Season=2016-17&amp;flag=1&amp;title=Leonard%2026'%203PT%20Jump%20Shot%20(34%20PTS)%20(Aldridge%206%20AST)", "Leonard 26' 3PT Jump Shot (34 PTS) (Aldridge 6 AST)")</f>
        <v>Leonard 26' 3PT Jump Shot (34 PTS) (Aldridge 6 AST)</v>
      </c>
      <c r="L2422" s="2" t="str">
        <f>HYPERLINK("https://www.nba.com/game/...-vs-...-0021600639/play-by-play?watchFullGame=true", "SAS vs DEN - Q4 02:12.00")</f>
        <v>SAS vs DEN - Q4 02:12.00</v>
      </c>
      <c r="M2422">
        <v>26</v>
      </c>
      <c r="N2422">
        <v>-204</v>
      </c>
      <c r="O2422">
        <v>156</v>
      </c>
      <c r="P2422">
        <v>-204</v>
      </c>
      <c r="Q2422">
        <v>156</v>
      </c>
      <c r="R2422" t="s">
        <v>21</v>
      </c>
      <c r="S2422" t="s">
        <v>21</v>
      </c>
    </row>
    <row r="2423" spans="1:19" hidden="1" x14ac:dyDescent="0.25">
      <c r="A2423">
        <v>21300013</v>
      </c>
      <c r="B2423" t="s">
        <v>26</v>
      </c>
      <c r="C2423" t="s">
        <v>19</v>
      </c>
      <c r="D2423">
        <v>99</v>
      </c>
      <c r="E2423">
        <v>86</v>
      </c>
      <c r="F2423">
        <v>13</v>
      </c>
      <c r="G2423">
        <v>4</v>
      </c>
      <c r="H2423" s="1">
        <v>1.6087962962962963E-3</v>
      </c>
      <c r="I2423">
        <v>2013</v>
      </c>
      <c r="J2423" t="s">
        <v>20</v>
      </c>
      <c r="K2423" s="2" t="str">
        <f>HYPERLINK("https://www.nba.com/stats/events?CFID=&amp;CFPARAMS=&amp;GameEventID=467&amp;GameID=0021300013&amp;Season=2013-14&amp;flag=1&amp;title=Leonard%2026'%203PT%20Jump%20Shot%20(14%20PTS)%20(Parker%208%20AST)", "Leonard 26' 3PT Jump Shot (14 PTS) (Parker 8 AST)")</f>
        <v>Leonard 26' 3PT Jump Shot (14 PTS) (Parker 8 AST)</v>
      </c>
      <c r="L2423" s="2" t="str">
        <f>HYPERLINK("https://www.nba.com/game/...-vs-...-0021300013/play-by-play?watchFullGame=true", "SAS vs MEM - Q4 02:19.00")</f>
        <v>SAS vs MEM - Q4 02:19.00</v>
      </c>
      <c r="M2423">
        <v>26</v>
      </c>
      <c r="N2423">
        <v>-65</v>
      </c>
      <c r="O2423">
        <v>254</v>
      </c>
      <c r="P2423">
        <v>-65</v>
      </c>
      <c r="Q2423">
        <v>254</v>
      </c>
      <c r="R2423" t="s">
        <v>21</v>
      </c>
      <c r="S2423" t="s">
        <v>21</v>
      </c>
    </row>
    <row r="2424" spans="1:19" hidden="1" x14ac:dyDescent="0.25">
      <c r="A2424">
        <v>21700428</v>
      </c>
      <c r="B2424" t="s">
        <v>26</v>
      </c>
      <c r="C2424" t="s">
        <v>36</v>
      </c>
      <c r="D2424">
        <v>37</v>
      </c>
      <c r="E2424">
        <v>57</v>
      </c>
      <c r="F2424">
        <v>20</v>
      </c>
      <c r="G2424">
        <v>2</v>
      </c>
      <c r="H2424" s="1">
        <v>1.6319444444444445E-3</v>
      </c>
      <c r="I2424">
        <v>2017</v>
      </c>
      <c r="J2424" t="s">
        <v>20</v>
      </c>
      <c r="K2424" s="2" t="str">
        <f>HYPERLINK("https://www.nba.com/stats/events?CFID=&amp;CFPARAMS=&amp;GameEventID=285&amp;GameID=0021700428&amp;Season=2017-18&amp;flag=1&amp;title=Leonard%2026'%203PT%20Pullup%20Jump%20Shot%20(12%20PTS)", "Leonard 26' 3PT Pullup Jump Shot (12 PTS)")</f>
        <v>Leonard 26' 3PT Pullup Jump Shot (12 PTS)</v>
      </c>
      <c r="L2424" s="2" t="str">
        <f>HYPERLINK("https://www.nba.com/game/...-vs-...-0021700428/play-by-play?watchFullGame=true", "SAS vs HOU - Q2 02:21.00")</f>
        <v>SAS vs HOU - Q2 02:21.00</v>
      </c>
      <c r="M2424">
        <v>26</v>
      </c>
      <c r="N2424">
        <v>-115</v>
      </c>
      <c r="O2424">
        <v>231</v>
      </c>
      <c r="P2424">
        <v>-115</v>
      </c>
      <c r="Q2424">
        <v>231</v>
      </c>
      <c r="R2424" t="s">
        <v>21</v>
      </c>
      <c r="S2424" t="s">
        <v>21</v>
      </c>
    </row>
    <row r="2425" spans="1:19" hidden="1" x14ac:dyDescent="0.25">
      <c r="A2425">
        <v>41600154</v>
      </c>
      <c r="B2425" t="s">
        <v>26</v>
      </c>
      <c r="C2425" t="s">
        <v>19</v>
      </c>
      <c r="D2425">
        <v>91</v>
      </c>
      <c r="E2425">
        <v>88</v>
      </c>
      <c r="F2425">
        <v>3</v>
      </c>
      <c r="G2425">
        <v>4</v>
      </c>
      <c r="H2425" s="1">
        <v>1.724537037037037E-3</v>
      </c>
      <c r="I2425" t="s">
        <v>58</v>
      </c>
      <c r="J2425" t="s">
        <v>20</v>
      </c>
      <c r="K2425" s="2" t="str">
        <f>HYPERLINK("https://www.nba.com/stats/events?CFID=&amp;CFPARAMS=&amp;GameEventID=477&amp;GameID=0041600154&amp;Season=2016-17&amp;flag=1&amp;title=Leonard%2026'%203PT%20Jump%20Shot%20(30%20PTS)", "Leonard 26' 3PT Jump Shot (30 PTS)")</f>
        <v>Leonard 26' 3PT Jump Shot (30 PTS)</v>
      </c>
      <c r="L2425" s="2" t="str">
        <f>HYPERLINK("https://www.nba.com/game/...-vs-...-0041600154/play-by-play?watchFullGame=true", "SAS vs MEM - Q4 02:29.00")</f>
        <v>SAS vs MEM - Q4 02:29.00</v>
      </c>
      <c r="M2425">
        <v>26</v>
      </c>
      <c r="N2425">
        <v>81</v>
      </c>
      <c r="O2425">
        <v>247</v>
      </c>
      <c r="P2425">
        <v>81</v>
      </c>
      <c r="Q2425">
        <v>247</v>
      </c>
      <c r="R2425" t="s">
        <v>21</v>
      </c>
      <c r="S2425" t="s">
        <v>21</v>
      </c>
    </row>
    <row r="2426" spans="1:19" hidden="1" x14ac:dyDescent="0.25">
      <c r="A2426">
        <v>21801023</v>
      </c>
      <c r="B2426" t="s">
        <v>26</v>
      </c>
      <c r="C2426" t="s">
        <v>19</v>
      </c>
      <c r="D2426">
        <v>56</v>
      </c>
      <c r="E2426">
        <v>52</v>
      </c>
      <c r="F2426">
        <v>4</v>
      </c>
      <c r="G2426">
        <v>2</v>
      </c>
      <c r="H2426" s="1">
        <v>1.7824074074074075E-3</v>
      </c>
      <c r="I2426">
        <v>2018</v>
      </c>
      <c r="J2426" t="s">
        <v>48</v>
      </c>
      <c r="K2426" s="2" t="str">
        <f>HYPERLINK("https://www.nba.com/stats/events?CFID=&amp;CFPARAMS=&amp;GameEventID=323&amp;GameID=0021801023&amp;Season=2018-19&amp;flag=1&amp;title=Leonard%2026'%203PT%20Jump%20Shot%20(13%20PTS)%20(Powell%201%20AST)", "Leonard 26' 3PT Jump Shot (13 PTS) (Powell 1 AST)")</f>
        <v>Leonard 26' 3PT Jump Shot (13 PTS) (Powell 1 AST)</v>
      </c>
      <c r="L2426" s="2" t="str">
        <f>HYPERLINK("https://www.nba.com/game/...-vs-...-0021801023/play-by-play?watchFullGame=true", "TOR vs LAL - Q2 02:34.00")</f>
        <v>TOR vs LAL - Q2 02:34.00</v>
      </c>
      <c r="M2426">
        <v>26</v>
      </c>
      <c r="N2426">
        <v>41</v>
      </c>
      <c r="O2426">
        <v>252</v>
      </c>
      <c r="P2426">
        <v>41</v>
      </c>
      <c r="Q2426">
        <v>252</v>
      </c>
      <c r="R2426" t="s">
        <v>21</v>
      </c>
      <c r="S2426" t="s">
        <v>21</v>
      </c>
    </row>
    <row r="2427" spans="1:19" hidden="1" x14ac:dyDescent="0.25">
      <c r="A2427">
        <v>41800401</v>
      </c>
      <c r="B2427" t="s">
        <v>26</v>
      </c>
      <c r="C2427" t="s">
        <v>19</v>
      </c>
      <c r="D2427">
        <v>82</v>
      </c>
      <c r="E2427">
        <v>74</v>
      </c>
      <c r="F2427">
        <v>8</v>
      </c>
      <c r="G2427">
        <v>3</v>
      </c>
      <c r="H2427" s="1">
        <v>1.9328703703703704E-3</v>
      </c>
      <c r="I2427" t="s">
        <v>60</v>
      </c>
      <c r="J2427" t="s">
        <v>48</v>
      </c>
      <c r="K2427" s="2" t="str">
        <f>HYPERLINK("https://www.nba.com/stats/events?CFID=&amp;CFPARAMS=&amp;GameEventID=460&amp;GameID=0041800401&amp;Season=2018-19&amp;flag=1&amp;title=Leonard%2026'%203PT%20Jump%20Shot%20(15%20PTS)%20(Ibaka%201%20AST)", "Leonard 26' 3PT Jump Shot (15 PTS) (Ibaka 1 AST)")</f>
        <v>Leonard 26' 3PT Jump Shot (15 PTS) (Ibaka 1 AST)</v>
      </c>
      <c r="L2427" s="2" t="str">
        <f>HYPERLINK("https://www.nba.com/game/...-vs-...-0041800401/play-by-play?watchFullGame=true", "TOR vs GSW - Q3 02:47.00")</f>
        <v>TOR vs GSW - Q3 02:47.00</v>
      </c>
      <c r="M2427">
        <v>26</v>
      </c>
      <c r="N2427">
        <v>-222</v>
      </c>
      <c r="O2427">
        <v>129</v>
      </c>
      <c r="P2427">
        <v>-222</v>
      </c>
      <c r="Q2427">
        <v>129</v>
      </c>
      <c r="R2427" t="s">
        <v>21</v>
      </c>
      <c r="S2427" t="s">
        <v>21</v>
      </c>
    </row>
    <row r="2428" spans="1:19" hidden="1" x14ac:dyDescent="0.25">
      <c r="A2428">
        <v>21800359</v>
      </c>
      <c r="B2428" t="s">
        <v>26</v>
      </c>
      <c r="C2428" t="s">
        <v>19</v>
      </c>
      <c r="D2428">
        <v>17</v>
      </c>
      <c r="E2428">
        <v>23</v>
      </c>
      <c r="F2428">
        <v>6</v>
      </c>
      <c r="G2428">
        <v>1</v>
      </c>
      <c r="H2428" s="1">
        <v>2.0023148148148148E-3</v>
      </c>
      <c r="I2428">
        <v>2018</v>
      </c>
      <c r="J2428" t="s">
        <v>48</v>
      </c>
      <c r="K2428" s="2" t="str">
        <f>HYPERLINK("https://www.nba.com/stats/events?CFID=&amp;CFPARAMS=&amp;GameEventID=113&amp;GameID=0021800359&amp;Season=2018-19&amp;flag=1&amp;title=Leonard%2026'%203PT%20Jump%20Shot%20(11%20PTS)%20(Valanciunas%201%20AST)", "Leonard 26' 3PT Jump Shot (11 PTS) (Valanciunas 1 AST)")</f>
        <v>Leonard 26' 3PT Jump Shot (11 PTS) (Valanciunas 1 AST)</v>
      </c>
      <c r="L2428" s="2" t="str">
        <f>HYPERLINK("https://www.nba.com/game/...-vs-...-0021800359/play-by-play?watchFullGame=true", "TOR vs PHI - Q1 02:53.00")</f>
        <v>TOR vs PHI - Q1 02:53.00</v>
      </c>
      <c r="M2428">
        <v>26</v>
      </c>
      <c r="N2428">
        <v>-179</v>
      </c>
      <c r="O2428">
        <v>193</v>
      </c>
      <c r="P2428">
        <v>-179</v>
      </c>
      <c r="Q2428">
        <v>193</v>
      </c>
      <c r="R2428" t="s">
        <v>21</v>
      </c>
      <c r="S2428" t="s">
        <v>21</v>
      </c>
    </row>
    <row r="2429" spans="1:19" hidden="1" x14ac:dyDescent="0.25">
      <c r="A2429">
        <v>41400164</v>
      </c>
      <c r="B2429" t="s">
        <v>26</v>
      </c>
      <c r="C2429" t="s">
        <v>19</v>
      </c>
      <c r="D2429">
        <v>95</v>
      </c>
      <c r="E2429">
        <v>106</v>
      </c>
      <c r="F2429">
        <v>11</v>
      </c>
      <c r="G2429">
        <v>4</v>
      </c>
      <c r="H2429" s="1">
        <v>2.0717592592592593E-3</v>
      </c>
      <c r="I2429" t="s">
        <v>56</v>
      </c>
      <c r="J2429" t="s">
        <v>20</v>
      </c>
      <c r="K2429" s="2" t="str">
        <f>HYPERLINK("https://www.nba.com/stats/events?CFID=&amp;CFPARAMS=&amp;GameEventID=516&amp;GameID=0041400164&amp;Season=2014-15&amp;flag=1&amp;title=Leonard%2026'%203PT%20Jump%20Shot%20(23%20PTS)", "Leonard 26' 3PT Jump Shot (23 PTS)")</f>
        <v>Leonard 26' 3PT Jump Shot (23 PTS)</v>
      </c>
      <c r="L2429" s="2" t="str">
        <f>HYPERLINK("https://www.nba.com/game/...-vs-...-0041400164/play-by-play?watchFullGame=true", "SAS vs LAC - Q4 02:59.00")</f>
        <v>SAS vs LAC - Q4 02:59.00</v>
      </c>
      <c r="M2429">
        <v>26</v>
      </c>
      <c r="N2429">
        <v>45</v>
      </c>
      <c r="O2429">
        <v>255</v>
      </c>
      <c r="P2429">
        <v>45</v>
      </c>
      <c r="Q2429">
        <v>255</v>
      </c>
      <c r="R2429" t="s">
        <v>21</v>
      </c>
      <c r="S2429" t="s">
        <v>21</v>
      </c>
    </row>
    <row r="2430" spans="1:19" hidden="1" x14ac:dyDescent="0.25">
      <c r="A2430">
        <v>41800114</v>
      </c>
      <c r="B2430" t="s">
        <v>26</v>
      </c>
      <c r="C2430" t="s">
        <v>19</v>
      </c>
      <c r="D2430">
        <v>50</v>
      </c>
      <c r="E2430">
        <v>41</v>
      </c>
      <c r="F2430">
        <v>9</v>
      </c>
      <c r="G2430">
        <v>2</v>
      </c>
      <c r="H2430" s="1">
        <v>2.1064814814814813E-3</v>
      </c>
      <c r="I2430" t="s">
        <v>60</v>
      </c>
      <c r="J2430" t="s">
        <v>48</v>
      </c>
      <c r="K2430" s="2" t="str">
        <f>HYPERLINK("https://www.nba.com/stats/events?CFID=&amp;CFPARAMS=&amp;GameEventID=253&amp;GameID=0041800114&amp;Season=2018-19&amp;flag=1&amp;title=Leonard%2026'%203PT%20Jump%20Shot%20(16%20PTS)%20(Green%201%20AST)", "Leonard 26' 3PT Jump Shot (16 PTS) (Green 1 AST)")</f>
        <v>Leonard 26' 3PT Jump Shot (16 PTS) (Green 1 AST)</v>
      </c>
      <c r="L2430" s="2" t="str">
        <f>HYPERLINK("https://www.nba.com/game/...-vs-...-0041800114/play-by-play?watchFullGame=true", "TOR vs ORL - Q2 03:02.00")</f>
        <v>TOR vs ORL - Q2 03:02.00</v>
      </c>
      <c r="M2430">
        <v>26</v>
      </c>
      <c r="N2430">
        <v>108</v>
      </c>
      <c r="O2430">
        <v>232</v>
      </c>
      <c r="P2430">
        <v>108</v>
      </c>
      <c r="Q2430">
        <v>232</v>
      </c>
      <c r="R2430" t="s">
        <v>21</v>
      </c>
      <c r="S2430" t="s">
        <v>21</v>
      </c>
    </row>
    <row r="2431" spans="1:19" hidden="1" x14ac:dyDescent="0.25">
      <c r="A2431">
        <v>21401028</v>
      </c>
      <c r="B2431" t="s">
        <v>26</v>
      </c>
      <c r="C2431" t="s">
        <v>19</v>
      </c>
      <c r="D2431">
        <v>80</v>
      </c>
      <c r="E2431">
        <v>58</v>
      </c>
      <c r="F2431">
        <v>22</v>
      </c>
      <c r="G2431">
        <v>3</v>
      </c>
      <c r="H2431" s="1">
        <v>2.2685185185185187E-3</v>
      </c>
      <c r="I2431">
        <v>2014</v>
      </c>
      <c r="J2431" t="s">
        <v>20</v>
      </c>
      <c r="K2431" s="2" t="str">
        <f>HYPERLINK("https://www.nba.com/stats/events?CFID=&amp;CFPARAMS=&amp;GameEventID=335&amp;GameID=0021401028&amp;Season=2014-15&amp;flag=1&amp;title=Leonard%2026'%203PT%20Jump%20Shot%20(22%20PTS)%20(Diaw%203%20AST)", "Leonard 26' 3PT Jump Shot (22 PTS) (Diaw 3 AST)")</f>
        <v>Leonard 26' 3PT Jump Shot (22 PTS) (Diaw 3 AST)</v>
      </c>
      <c r="L2431" s="2" t="str">
        <f>HYPERLINK("https://www.nba.com/game/...-vs-...-0021401028/play-by-play?watchFullGame=true", "SAS vs BOS - Q3 03:16.00")</f>
        <v>SAS vs BOS - Q3 03:16.00</v>
      </c>
      <c r="M2431">
        <v>26</v>
      </c>
      <c r="N2431">
        <v>231</v>
      </c>
      <c r="O2431">
        <v>112</v>
      </c>
      <c r="P2431">
        <v>231</v>
      </c>
      <c r="Q2431">
        <v>112</v>
      </c>
      <c r="R2431" t="s">
        <v>21</v>
      </c>
      <c r="S2431" t="s">
        <v>21</v>
      </c>
    </row>
    <row r="2432" spans="1:19" hidden="1" x14ac:dyDescent="0.25">
      <c r="A2432">
        <v>21500909</v>
      </c>
      <c r="B2432" t="s">
        <v>26</v>
      </c>
      <c r="C2432" t="s">
        <v>19</v>
      </c>
      <c r="D2432">
        <v>61</v>
      </c>
      <c r="E2432">
        <v>62</v>
      </c>
      <c r="F2432">
        <v>1</v>
      </c>
      <c r="G2432">
        <v>3</v>
      </c>
      <c r="H2432" s="1">
        <v>2.2800925925925927E-3</v>
      </c>
      <c r="I2432">
        <v>2015</v>
      </c>
      <c r="J2432" t="s">
        <v>20</v>
      </c>
      <c r="K2432" s="2" t="str">
        <f>HYPERLINK("https://www.nba.com/stats/events?CFID=&amp;CFPARAMS=&amp;GameEventID=311&amp;GameID=0021500909&amp;Season=2015-16&amp;flag=1&amp;title=Leonard%2026'%203PT%20Jump%20Shot%20(18%20PTS)%20(Parker%205%20AST)", "Leonard 26' 3PT Jump Shot (18 PTS) (Parker 5 AST)")</f>
        <v>Leonard 26' 3PT Jump Shot (18 PTS) (Parker 5 AST)</v>
      </c>
      <c r="L2432" s="2" t="str">
        <f>HYPERLINK("https://www.nba.com/game/...-vs-...-0021500909/play-by-play?watchFullGame=true", "SAS vs NOP - Q3 03:17.00")</f>
        <v>SAS vs NOP - Q3 03:17.00</v>
      </c>
      <c r="M2432">
        <v>26</v>
      </c>
      <c r="N2432">
        <v>-142</v>
      </c>
      <c r="O2432">
        <v>213</v>
      </c>
      <c r="P2432">
        <v>-142</v>
      </c>
      <c r="Q2432">
        <v>213</v>
      </c>
      <c r="R2432" t="s">
        <v>21</v>
      </c>
      <c r="S2432" t="s">
        <v>21</v>
      </c>
    </row>
    <row r="2433" spans="1:19" hidden="1" x14ac:dyDescent="0.25">
      <c r="A2433">
        <v>21500103</v>
      </c>
      <c r="B2433" t="s">
        <v>26</v>
      </c>
      <c r="C2433" t="s">
        <v>19</v>
      </c>
      <c r="D2433">
        <v>21</v>
      </c>
      <c r="E2433">
        <v>18</v>
      </c>
      <c r="F2433">
        <v>3</v>
      </c>
      <c r="G2433">
        <v>1</v>
      </c>
      <c r="H2433" s="1">
        <v>2.3032407407407407E-3</v>
      </c>
      <c r="I2433">
        <v>2015</v>
      </c>
      <c r="J2433" t="s">
        <v>20</v>
      </c>
      <c r="K2433" s="2" t="str">
        <f>HYPERLINK("https://www.nba.com/stats/events?CFID=&amp;CFPARAMS=&amp;GameEventID=82&amp;GameID=0021500103&amp;Season=2015-16&amp;flag=1&amp;title=Leonard%2026'%203PT%20Jump%20Shot%20(8%20PTS)%20(Mills%201%20AST)", "Leonard 26' 3PT Jump Shot (8 PTS) (Mills 1 AST)")</f>
        <v>Leonard 26' 3PT Jump Shot (8 PTS) (Mills 1 AST)</v>
      </c>
      <c r="L2433" s="2" t="str">
        <f>HYPERLINK("https://www.nba.com/game/...-vs-...-0021500103/play-by-play?watchFullGame=true", "SAS vs SAC - Q1 03:19.00")</f>
        <v>SAS vs SAC - Q1 03:19.00</v>
      </c>
      <c r="M2433">
        <v>26</v>
      </c>
      <c r="N2433">
        <v>10</v>
      </c>
      <c r="O2433">
        <v>257</v>
      </c>
      <c r="P2433">
        <v>10</v>
      </c>
      <c r="Q2433">
        <v>257</v>
      </c>
      <c r="R2433" t="s">
        <v>21</v>
      </c>
      <c r="S2433" t="s">
        <v>21</v>
      </c>
    </row>
    <row r="2434" spans="1:19" hidden="1" x14ac:dyDescent="0.25">
      <c r="A2434">
        <v>21500235</v>
      </c>
      <c r="B2434" t="s">
        <v>26</v>
      </c>
      <c r="C2434" t="s">
        <v>19</v>
      </c>
      <c r="D2434">
        <v>63</v>
      </c>
      <c r="E2434">
        <v>56</v>
      </c>
      <c r="F2434">
        <v>7</v>
      </c>
      <c r="G2434">
        <v>3</v>
      </c>
      <c r="H2434" s="1">
        <v>2.3379629629629631E-3</v>
      </c>
      <c r="I2434">
        <v>2015</v>
      </c>
      <c r="J2434" t="s">
        <v>20</v>
      </c>
      <c r="K2434" s="2" t="str">
        <f>HYPERLINK("https://www.nba.com/stats/events?CFID=&amp;CFPARAMS=&amp;GameEventID=326&amp;GameID=0021500235&amp;Season=2015-16&amp;flag=1&amp;title=Leonard%2026'%203PT%20Jump%20Shot%20(23%20PTS)%20(Mills%201%20AST)", "Leonard 26' 3PT Jump Shot (23 PTS) (Mills 1 AST)")</f>
        <v>Leonard 26' 3PT Jump Shot (23 PTS) (Mills 1 AST)</v>
      </c>
      <c r="L2434" s="2" t="str">
        <f>HYPERLINK("https://www.nba.com/game/...-vs-...-0021500235/play-by-play?watchFullGame=true", "SAS vs DEN - Q3 03:22.00")</f>
        <v>SAS vs DEN - Q3 03:22.00</v>
      </c>
      <c r="M2434">
        <v>26</v>
      </c>
      <c r="N2434">
        <v>-115</v>
      </c>
      <c r="O2434">
        <v>228</v>
      </c>
      <c r="P2434">
        <v>-115</v>
      </c>
      <c r="Q2434">
        <v>228</v>
      </c>
      <c r="R2434" t="s">
        <v>21</v>
      </c>
      <c r="S2434" t="s">
        <v>21</v>
      </c>
    </row>
    <row r="2435" spans="1:19" hidden="1" x14ac:dyDescent="0.25">
      <c r="A2435">
        <v>41800403</v>
      </c>
      <c r="B2435" t="s">
        <v>26</v>
      </c>
      <c r="C2435" t="s">
        <v>19</v>
      </c>
      <c r="D2435">
        <v>83</v>
      </c>
      <c r="E2435">
        <v>71</v>
      </c>
      <c r="F2435">
        <v>12</v>
      </c>
      <c r="G2435">
        <v>3</v>
      </c>
      <c r="H2435" s="1">
        <v>2.4537037037037036E-3</v>
      </c>
      <c r="I2435" t="s">
        <v>60</v>
      </c>
      <c r="J2435" t="s">
        <v>48</v>
      </c>
      <c r="K2435" s="2" t="str">
        <f>HYPERLINK("https://www.nba.com/stats/events?CFID=&amp;CFPARAMS=&amp;GameEventID=443&amp;GameID=0041800403&amp;Season=2018-19&amp;flag=1&amp;title=Leonard%2026'%203PT%20Jump%20Shot%20(20%20PTS)%20(Siakam%205%20AST)", "Leonard 26' 3PT Jump Shot (20 PTS) (Siakam 5 AST)")</f>
        <v>Leonard 26' 3PT Jump Shot (20 PTS) (Siakam 5 AST)</v>
      </c>
      <c r="L2435" s="2" t="str">
        <f>HYPERLINK("https://www.nba.com/game/...-vs-...-0041800403/play-by-play?watchFullGame=true", "TOR vs GSW - Q3 03:32.00")</f>
        <v>TOR vs GSW - Q3 03:32.00</v>
      </c>
      <c r="M2435">
        <v>26</v>
      </c>
      <c r="N2435">
        <v>-16</v>
      </c>
      <c r="O2435">
        <v>260</v>
      </c>
      <c r="P2435">
        <v>-16</v>
      </c>
      <c r="Q2435">
        <v>260</v>
      </c>
      <c r="R2435" t="s">
        <v>21</v>
      </c>
      <c r="S2435" t="s">
        <v>21</v>
      </c>
    </row>
    <row r="2436" spans="1:19" hidden="1" x14ac:dyDescent="0.25">
      <c r="A2436">
        <v>21500790</v>
      </c>
      <c r="B2436" t="s">
        <v>26</v>
      </c>
      <c r="C2436" t="s">
        <v>19</v>
      </c>
      <c r="D2436">
        <v>17</v>
      </c>
      <c r="E2436">
        <v>17</v>
      </c>
      <c r="F2436">
        <v>0</v>
      </c>
      <c r="G2436">
        <v>1</v>
      </c>
      <c r="H2436" s="1">
        <v>2.5810185185185185E-3</v>
      </c>
      <c r="I2436">
        <v>2015</v>
      </c>
      <c r="J2436" t="s">
        <v>20</v>
      </c>
      <c r="K2436" s="2" t="str">
        <f>HYPERLINK("https://www.nba.com/stats/events?CFID=&amp;CFPARAMS=&amp;GameEventID=72&amp;GameID=0021500790&amp;Season=2015-16&amp;flag=1&amp;title=Leonard%2026'%203PT%20Jump%20Shot%20(9%20PTS)%20(Mills%202%20AST)", "Leonard 26' 3PT Jump Shot (9 PTS) (Mills 2 AST)")</f>
        <v>Leonard 26' 3PT Jump Shot (9 PTS) (Mills 2 AST)</v>
      </c>
      <c r="L2436" s="2" t="str">
        <f>HYPERLINK("https://www.nba.com/game/...-vs-...-0021500790/play-by-play?watchFullGame=true", "SAS vs ORL - Q1 03:43.00")</f>
        <v>SAS vs ORL - Q1 03:43.00</v>
      </c>
      <c r="M2436">
        <v>26</v>
      </c>
      <c r="N2436">
        <v>-178</v>
      </c>
      <c r="O2436">
        <v>183</v>
      </c>
      <c r="P2436">
        <v>-178</v>
      </c>
      <c r="Q2436">
        <v>183</v>
      </c>
      <c r="R2436" t="s">
        <v>21</v>
      </c>
      <c r="S2436" t="s">
        <v>21</v>
      </c>
    </row>
    <row r="2437" spans="1:19" hidden="1" x14ac:dyDescent="0.25">
      <c r="A2437">
        <v>21600353</v>
      </c>
      <c r="B2437" t="s">
        <v>26</v>
      </c>
      <c r="C2437" t="s">
        <v>19</v>
      </c>
      <c r="D2437">
        <v>27</v>
      </c>
      <c r="E2437">
        <v>20</v>
      </c>
      <c r="F2437">
        <v>7</v>
      </c>
      <c r="G2437">
        <v>1</v>
      </c>
      <c r="H2437" s="1">
        <v>2.5810185185185185E-3</v>
      </c>
      <c r="I2437">
        <v>2016</v>
      </c>
      <c r="J2437" t="s">
        <v>20</v>
      </c>
      <c r="K2437" s="2" t="str">
        <f>HYPERLINK("https://www.nba.com/stats/events?CFID=&amp;CFPARAMS=&amp;GameEventID=61&amp;GameID=0021600353&amp;Season=2016-17&amp;flag=1&amp;title=Leonard%2026'%203PT%20Jump%20Shot%20(9%20PTS)%20(Mills%201%20AST)", "Leonard 26' 3PT Jump Shot (9 PTS) (Mills 1 AST)")</f>
        <v>Leonard 26' 3PT Jump Shot (9 PTS) (Mills 1 AST)</v>
      </c>
      <c r="L2437" s="2" t="str">
        <f>HYPERLINK("https://www.nba.com/game/...-vs-...-0021600353/play-by-play?watchFullGame=true", "SAS vs BKN - Q1 03:43.00")</f>
        <v>SAS vs BKN - Q1 03:43.00</v>
      </c>
      <c r="M2437">
        <v>26</v>
      </c>
      <c r="N2437">
        <v>-120</v>
      </c>
      <c r="O2437">
        <v>229</v>
      </c>
      <c r="P2437">
        <v>-120</v>
      </c>
      <c r="Q2437">
        <v>229</v>
      </c>
      <c r="R2437" t="s">
        <v>21</v>
      </c>
      <c r="S2437" t="s">
        <v>21</v>
      </c>
    </row>
    <row r="2438" spans="1:19" hidden="1" x14ac:dyDescent="0.25">
      <c r="A2438">
        <v>21500061</v>
      </c>
      <c r="B2438" t="s">
        <v>26</v>
      </c>
      <c r="C2438" t="s">
        <v>19</v>
      </c>
      <c r="D2438">
        <v>13</v>
      </c>
      <c r="E2438">
        <v>19</v>
      </c>
      <c r="F2438">
        <v>6</v>
      </c>
      <c r="G2438">
        <v>1</v>
      </c>
      <c r="H2438" s="1">
        <v>2.673611111111111E-3</v>
      </c>
      <c r="I2438">
        <v>2015</v>
      </c>
      <c r="J2438" t="s">
        <v>20</v>
      </c>
      <c r="K2438" s="2" t="str">
        <f>HYPERLINK("https://www.nba.com/stats/events?CFID=&amp;CFPARAMS=&amp;GameEventID=72&amp;GameID=0021500061&amp;Season=2015-16&amp;flag=1&amp;title=Leonard%2026'%203PT%20Jump%20Shot%20(7%20PTS)%20(Aldridge%201%20AST)", "Leonard 26' 3PT Jump Shot (7 PTS) (Aldridge 1 AST)")</f>
        <v>Leonard 26' 3PT Jump Shot (7 PTS) (Aldridge 1 AST)</v>
      </c>
      <c r="L2438" s="2" t="str">
        <f>HYPERLINK("https://www.nba.com/game/...-vs-...-0021500061/play-by-play?watchFullGame=true", "SAS vs WAS - Q1 03:51.00")</f>
        <v>SAS vs WAS - Q1 03:51.00</v>
      </c>
      <c r="M2438">
        <v>26</v>
      </c>
      <c r="N2438">
        <v>186</v>
      </c>
      <c r="O2438">
        <v>178</v>
      </c>
      <c r="P2438">
        <v>186</v>
      </c>
      <c r="Q2438">
        <v>178</v>
      </c>
      <c r="R2438" t="s">
        <v>21</v>
      </c>
      <c r="S2438" t="s">
        <v>21</v>
      </c>
    </row>
    <row r="2439" spans="1:19" hidden="1" x14ac:dyDescent="0.25">
      <c r="A2439">
        <v>21800800</v>
      </c>
      <c r="B2439" t="s">
        <v>26</v>
      </c>
      <c r="C2439" t="s">
        <v>19</v>
      </c>
      <c r="D2439">
        <v>26</v>
      </c>
      <c r="E2439">
        <v>16</v>
      </c>
      <c r="F2439">
        <v>10</v>
      </c>
      <c r="G2439">
        <v>1</v>
      </c>
      <c r="H2439" s="1">
        <v>2.7546296296296294E-3</v>
      </c>
      <c r="I2439">
        <v>2018</v>
      </c>
      <c r="J2439" t="s">
        <v>48</v>
      </c>
      <c r="K2439" s="2" t="str">
        <f>HYPERLINK("https://www.nba.com/stats/events?CFID=&amp;CFPARAMS=&amp;GameEventID=108&amp;GameID=0021800800&amp;Season=2018-19&amp;flag=1&amp;title=Leonard%2026'%203PT%20Jump%20Shot%20(8%20PTS)%20(Green%203%20AST)", "Leonard 26' 3PT Jump Shot (8 PTS) (Green 3 AST)")</f>
        <v>Leonard 26' 3PT Jump Shot (8 PTS) (Green 3 AST)</v>
      </c>
      <c r="L2439" s="2" t="str">
        <f>HYPERLINK("https://www.nba.com/game/...-vs-...-0021800800/play-by-play?watchFullGame=true", "TOR vs PHI - Q1 03:58.00")</f>
        <v>TOR vs PHI - Q1 03:58.00</v>
      </c>
      <c r="M2439">
        <v>26</v>
      </c>
      <c r="N2439">
        <v>-55</v>
      </c>
      <c r="O2439">
        <v>258</v>
      </c>
      <c r="P2439">
        <v>-55</v>
      </c>
      <c r="Q2439">
        <v>258</v>
      </c>
      <c r="R2439" t="s">
        <v>21</v>
      </c>
      <c r="S2439" t="s">
        <v>21</v>
      </c>
    </row>
    <row r="2440" spans="1:19" hidden="1" x14ac:dyDescent="0.25">
      <c r="A2440">
        <v>21800470</v>
      </c>
      <c r="B2440" t="s">
        <v>26</v>
      </c>
      <c r="C2440" t="s">
        <v>19</v>
      </c>
      <c r="D2440">
        <v>115</v>
      </c>
      <c r="E2440">
        <v>102</v>
      </c>
      <c r="F2440">
        <v>13</v>
      </c>
      <c r="G2440">
        <v>4</v>
      </c>
      <c r="H2440" s="1">
        <v>2.8009259259259259E-3</v>
      </c>
      <c r="I2440">
        <v>2018</v>
      </c>
      <c r="J2440" t="s">
        <v>48</v>
      </c>
      <c r="K2440" s="2" t="str">
        <f>HYPERLINK("https://www.nba.com/stats/events?CFID=&amp;CFPARAMS=&amp;GameEventID=575&amp;GameID=0021800470&amp;Season=2018-19&amp;flag=1&amp;title=Leonard%2026'%203PT%20Jump%20Shot%20(36%20PTS)%20(Powell%202%20AST)", "Leonard 26' 3PT Jump Shot (36 PTS) (Powell 2 AST)")</f>
        <v>Leonard 26' 3PT Jump Shot (36 PTS) (Powell 2 AST)</v>
      </c>
      <c r="L2440" s="2" t="str">
        <f>HYPERLINK("https://www.nba.com/game/...-vs-...-0021800470/play-by-play?watchFullGame=true", "TOR vs CLE - Q4 04:02.00")</f>
        <v>TOR vs CLE - Q4 04:02.00</v>
      </c>
      <c r="M2440">
        <v>26</v>
      </c>
      <c r="N2440">
        <v>101</v>
      </c>
      <c r="O2440">
        <v>242</v>
      </c>
      <c r="P2440">
        <v>101</v>
      </c>
      <c r="Q2440">
        <v>242</v>
      </c>
      <c r="R2440" t="s">
        <v>21</v>
      </c>
      <c r="S2440" t="s">
        <v>21</v>
      </c>
    </row>
    <row r="2441" spans="1:19" hidden="1" x14ac:dyDescent="0.25">
      <c r="A2441">
        <v>21600168</v>
      </c>
      <c r="B2441" t="s">
        <v>26</v>
      </c>
      <c r="C2441" t="s">
        <v>19</v>
      </c>
      <c r="D2441">
        <v>77</v>
      </c>
      <c r="E2441">
        <v>63</v>
      </c>
      <c r="F2441">
        <v>14</v>
      </c>
      <c r="G2441">
        <v>3</v>
      </c>
      <c r="H2441" s="1">
        <v>2.8240740740740739E-3</v>
      </c>
      <c r="I2441">
        <v>2016</v>
      </c>
      <c r="J2441" t="s">
        <v>20</v>
      </c>
      <c r="K2441" s="2" t="str">
        <f>HYPERLINK("https://www.nba.com/stats/events?CFID=&amp;CFPARAMS=&amp;GameEventID=298&amp;GameID=0021600168&amp;Season=2016-17&amp;flag=1&amp;title=Leonard%2026'%203PT%20Jump%20Shot%20(15%20PTS)", "Leonard 26' 3PT Jump Shot (15 PTS)")</f>
        <v>Leonard 26' 3PT Jump Shot (15 PTS)</v>
      </c>
      <c r="L2441" s="2" t="str">
        <f>HYPERLINK("https://www.nba.com/game/...-vs-...-0021600168/play-by-play?watchFullGame=true", "SAS vs SAC - Q3 04:04.00")</f>
        <v>SAS vs SAC - Q3 04:04.00</v>
      </c>
      <c r="M2441">
        <v>26</v>
      </c>
      <c r="N2441">
        <v>58</v>
      </c>
      <c r="O2441">
        <v>257</v>
      </c>
      <c r="P2441">
        <v>58</v>
      </c>
      <c r="Q2441">
        <v>257</v>
      </c>
      <c r="R2441" t="s">
        <v>21</v>
      </c>
      <c r="S2441" t="s">
        <v>21</v>
      </c>
    </row>
    <row r="2442" spans="1:19" hidden="1" x14ac:dyDescent="0.25">
      <c r="A2442">
        <v>41300405</v>
      </c>
      <c r="B2442" t="s">
        <v>26</v>
      </c>
      <c r="C2442" t="s">
        <v>19</v>
      </c>
      <c r="D2442">
        <v>15</v>
      </c>
      <c r="E2442">
        <v>22</v>
      </c>
      <c r="F2442">
        <v>7</v>
      </c>
      <c r="G2442">
        <v>1</v>
      </c>
      <c r="H2442" s="1">
        <v>2.8240740740740739E-3</v>
      </c>
      <c r="I2442" t="s">
        <v>55</v>
      </c>
      <c r="J2442" t="s">
        <v>20</v>
      </c>
      <c r="K2442" s="2" t="str">
        <f>HYPERLINK("https://www.nba.com/stats/events?CFID=&amp;CFPARAMS=&amp;GameEventID=88&amp;GameID=0041300405&amp;Season=2013-14&amp;flag=1&amp;title=Leonard%2026'%203PT%20Jump%20Shot%20(6%20PTS)%20(Ginobili%201%20AST)", "Leonard 26' 3PT Jump Shot (6 PTS) (Ginobili 1 AST)")</f>
        <v>Leonard 26' 3PT Jump Shot (6 PTS) (Ginobili 1 AST)</v>
      </c>
      <c r="L2442" s="2" t="str">
        <f>HYPERLINK("https://www.nba.com/game/...-vs-...-0041300405/play-by-play?watchFullGame=true", "SAS vs MIA - Q1 04:04.00")</f>
        <v>SAS vs MIA - Q1 04:04.00</v>
      </c>
      <c r="M2442">
        <v>26</v>
      </c>
      <c r="N2442">
        <v>173</v>
      </c>
      <c r="O2442">
        <v>190</v>
      </c>
      <c r="P2442">
        <v>173</v>
      </c>
      <c r="Q2442">
        <v>190</v>
      </c>
      <c r="R2442" t="s">
        <v>21</v>
      </c>
      <c r="S2442" t="s">
        <v>21</v>
      </c>
    </row>
    <row r="2443" spans="1:19" hidden="1" x14ac:dyDescent="0.25">
      <c r="A2443">
        <v>41800405</v>
      </c>
      <c r="B2443" t="s">
        <v>26</v>
      </c>
      <c r="C2443" t="s">
        <v>36</v>
      </c>
      <c r="D2443">
        <v>101</v>
      </c>
      <c r="E2443">
        <v>97</v>
      </c>
      <c r="F2443">
        <v>4</v>
      </c>
      <c r="G2443">
        <v>4</v>
      </c>
      <c r="H2443" s="1">
        <v>2.8472222222222223E-3</v>
      </c>
      <c r="I2443" t="s">
        <v>60</v>
      </c>
      <c r="J2443" t="s">
        <v>48</v>
      </c>
      <c r="K2443" s="2" t="str">
        <f>HYPERLINK("https://www.nba.com/stats/events?CFID=&amp;CFPARAMS=&amp;GameEventID=597&amp;GameID=0041800405&amp;Season=2018-19&amp;flag=1&amp;title=Leonard%2026'%203PT%20Pullup%20Jump%20Shot%20(24%20PTS)", "Leonard 26' 3PT Pullup Jump Shot (24 PTS)")</f>
        <v>Leonard 26' 3PT Pullup Jump Shot (24 PTS)</v>
      </c>
      <c r="L2443" s="2" t="str">
        <f>HYPERLINK("https://www.nba.com/game/...-vs-...-0041800405/play-by-play?watchFullGame=true", "TOR vs GSW - Q4 04:06.00")</f>
        <v>TOR vs GSW - Q4 04:06.00</v>
      </c>
      <c r="M2443">
        <v>26</v>
      </c>
      <c r="N2443">
        <v>12</v>
      </c>
      <c r="O2443">
        <v>260</v>
      </c>
      <c r="P2443">
        <v>12</v>
      </c>
      <c r="Q2443">
        <v>260</v>
      </c>
      <c r="R2443" t="s">
        <v>21</v>
      </c>
      <c r="S2443" t="s">
        <v>21</v>
      </c>
    </row>
    <row r="2444" spans="1:19" hidden="1" x14ac:dyDescent="0.25">
      <c r="A2444">
        <v>21800192</v>
      </c>
      <c r="B2444" t="s">
        <v>26</v>
      </c>
      <c r="C2444" t="s">
        <v>19</v>
      </c>
      <c r="D2444">
        <v>50</v>
      </c>
      <c r="E2444">
        <v>50</v>
      </c>
      <c r="F2444">
        <v>0</v>
      </c>
      <c r="G2444">
        <v>2</v>
      </c>
      <c r="H2444" s="1">
        <v>2.8703703703703703E-3</v>
      </c>
      <c r="I2444">
        <v>2018</v>
      </c>
      <c r="J2444" t="s">
        <v>48</v>
      </c>
      <c r="K2444" s="2" t="str">
        <f>HYPERLINK("https://www.nba.com/stats/events?CFID=&amp;CFPARAMS=&amp;GameEventID=287&amp;GameID=0021800192&amp;Season=2018-19&amp;flag=1&amp;title=Leonard%2026'%203PT%20Jump%20Shot%20(14%20PTS)%20(Lowry%206%20AST)", "Leonard 26' 3PT Jump Shot (14 PTS) (Lowry 6 AST)")</f>
        <v>Leonard 26' 3PT Jump Shot (14 PTS) (Lowry 6 AST)</v>
      </c>
      <c r="L2444" s="2" t="str">
        <f>HYPERLINK("https://www.nba.com/game/...-vs-...-0021800192/play-by-play?watchFullGame=true", "TOR vs NOP - Q2 04:08.00")</f>
        <v>TOR vs NOP - Q2 04:08.00</v>
      </c>
      <c r="M2444">
        <v>26</v>
      </c>
      <c r="N2444">
        <v>71</v>
      </c>
      <c r="O2444">
        <v>248</v>
      </c>
      <c r="P2444">
        <v>71</v>
      </c>
      <c r="Q2444">
        <v>248</v>
      </c>
      <c r="R2444" t="s">
        <v>21</v>
      </c>
      <c r="S2444" t="s">
        <v>21</v>
      </c>
    </row>
    <row r="2445" spans="1:19" hidden="1" x14ac:dyDescent="0.25">
      <c r="A2445">
        <v>21800041</v>
      </c>
      <c r="B2445" t="s">
        <v>26</v>
      </c>
      <c r="C2445" t="s">
        <v>39</v>
      </c>
      <c r="D2445">
        <v>52</v>
      </c>
      <c r="E2445">
        <v>41</v>
      </c>
      <c r="F2445">
        <v>11</v>
      </c>
      <c r="G2445">
        <v>2</v>
      </c>
      <c r="H2445" s="1">
        <v>2.8703703703703703E-3</v>
      </c>
      <c r="I2445">
        <v>2018</v>
      </c>
      <c r="J2445" t="s">
        <v>48</v>
      </c>
      <c r="K2445" s="2" t="str">
        <f>HYPERLINK("https://www.nba.com/stats/events?CFID=&amp;CFPARAMS=&amp;GameEventID=265&amp;GameID=0021800041&amp;Season=2018-19&amp;flag=1&amp;title=Leonard%2026'%203PT%20Step%20Back%20Jump%20Shot%20(12%20PTS)", "Leonard 26' 3PT Step Back Jump Shot (12 PTS)")</f>
        <v>Leonard 26' 3PT Step Back Jump Shot (12 PTS)</v>
      </c>
      <c r="L2445" s="2" t="str">
        <f>HYPERLINK("https://www.nba.com/game/...-vs-...-0021800041/play-by-play?watchFullGame=true", "TOR vs CHA - Q2 04:08.00")</f>
        <v>TOR vs CHA - Q2 04:08.00</v>
      </c>
      <c r="M2445">
        <v>26</v>
      </c>
      <c r="N2445">
        <v>112</v>
      </c>
      <c r="O2445">
        <v>236</v>
      </c>
      <c r="P2445">
        <v>112</v>
      </c>
      <c r="Q2445">
        <v>236</v>
      </c>
      <c r="R2445" t="s">
        <v>21</v>
      </c>
      <c r="S2445" t="s">
        <v>21</v>
      </c>
    </row>
    <row r="2446" spans="1:19" hidden="1" x14ac:dyDescent="0.25">
      <c r="A2446">
        <v>21600801</v>
      </c>
      <c r="B2446" t="s">
        <v>26</v>
      </c>
      <c r="C2446" t="s">
        <v>19</v>
      </c>
      <c r="D2446">
        <v>98</v>
      </c>
      <c r="E2446">
        <v>85</v>
      </c>
      <c r="F2446">
        <v>13</v>
      </c>
      <c r="G2446">
        <v>4</v>
      </c>
      <c r="H2446" s="1">
        <v>2.9629629629629628E-3</v>
      </c>
      <c r="I2446">
        <v>2016</v>
      </c>
      <c r="J2446" t="s">
        <v>20</v>
      </c>
      <c r="K2446" s="2" t="str">
        <f>HYPERLINK("https://www.nba.com/stats/events?CFID=&amp;CFPARAMS=&amp;GameEventID=436&amp;GameID=0021600801&amp;Season=2016-17&amp;flag=1&amp;title=Leonard%2026'%203PT%20Jump%20Shot%20(30%20PTS)%20(Parker%2012%20AST)", "Leonard 26' 3PT Jump Shot (30 PTS) (Parker 12 AST)")</f>
        <v>Leonard 26' 3PT Jump Shot (30 PTS) (Parker 12 AST)</v>
      </c>
      <c r="L2446" s="2" t="str">
        <f>HYPERLINK("https://www.nba.com/game/...-vs-...-0021600801/play-by-play?watchFullGame=true", "SAS vs DET - Q4 04:16.00")</f>
        <v>SAS vs DET - Q4 04:16.00</v>
      </c>
      <c r="M2446">
        <v>26</v>
      </c>
      <c r="N2446">
        <v>109</v>
      </c>
      <c r="O2446">
        <v>232</v>
      </c>
      <c r="P2446">
        <v>109</v>
      </c>
      <c r="Q2446">
        <v>232</v>
      </c>
      <c r="R2446" t="s">
        <v>21</v>
      </c>
      <c r="S2446" t="s">
        <v>21</v>
      </c>
    </row>
    <row r="2447" spans="1:19" hidden="1" x14ac:dyDescent="0.25">
      <c r="A2447">
        <v>21500296</v>
      </c>
      <c r="B2447" t="s">
        <v>26</v>
      </c>
      <c r="C2447" t="s">
        <v>19</v>
      </c>
      <c r="D2447">
        <v>15</v>
      </c>
      <c r="E2447">
        <v>21</v>
      </c>
      <c r="F2447">
        <v>6</v>
      </c>
      <c r="G2447">
        <v>1</v>
      </c>
      <c r="H2447" s="1">
        <v>2.9745370370370373E-3</v>
      </c>
      <c r="I2447">
        <v>2015</v>
      </c>
      <c r="J2447" t="s">
        <v>20</v>
      </c>
      <c r="K2447" s="2" t="str">
        <f>HYPERLINK("https://www.nba.com/stats/events?CFID=&amp;CFPARAMS=&amp;GameEventID=63&amp;GameID=0021500296&amp;Season=2015-16&amp;flag=1&amp;title=Leonard%2026'%203PT%20Jump%20Shot%20(3%20PTS)%20(Diaw%201%20AST)", "Leonard 26' 3PT Jump Shot (3 PTS) (Diaw 1 AST)")</f>
        <v>Leonard 26' 3PT Jump Shot (3 PTS) (Diaw 1 AST)</v>
      </c>
      <c r="L2447" s="2" t="str">
        <f>HYPERLINK("https://www.nba.com/game/...-vs-...-0021500296/play-by-play?watchFullGame=true", "SAS vs BOS - Q1 04:17.00")</f>
        <v>SAS vs BOS - Q1 04:17.00</v>
      </c>
      <c r="M2447">
        <v>26</v>
      </c>
      <c r="N2447">
        <v>-120</v>
      </c>
      <c r="O2447">
        <v>234</v>
      </c>
      <c r="P2447">
        <v>-120</v>
      </c>
      <c r="Q2447">
        <v>234</v>
      </c>
      <c r="R2447" t="s">
        <v>21</v>
      </c>
      <c r="S2447" t="s">
        <v>21</v>
      </c>
    </row>
    <row r="2448" spans="1:19" hidden="1" x14ac:dyDescent="0.25">
      <c r="A2448">
        <v>41800304</v>
      </c>
      <c r="B2448" t="s">
        <v>26</v>
      </c>
      <c r="C2448" t="s">
        <v>19</v>
      </c>
      <c r="D2448">
        <v>112</v>
      </c>
      <c r="E2448">
        <v>93</v>
      </c>
      <c r="F2448">
        <v>19</v>
      </c>
      <c r="G2448">
        <v>4</v>
      </c>
      <c r="H2448" s="1">
        <v>2.9861111111111113E-3</v>
      </c>
      <c r="I2448" t="s">
        <v>60</v>
      </c>
      <c r="J2448" t="s">
        <v>48</v>
      </c>
      <c r="K2448" s="2" t="str">
        <f>HYPERLINK("https://www.nba.com/stats/events?CFID=&amp;CFPARAMS=&amp;GameEventID=653&amp;GameID=0041800304&amp;Season=2018-19&amp;flag=1&amp;title=Leonard%2026'%203PT%20Jump%20Shot%20(19%20PTS)%20(Lowry%206%20AST)", "Leonard 26' 3PT Jump Shot (19 PTS) (Lowry 6 AST)")</f>
        <v>Leonard 26' 3PT Jump Shot (19 PTS) (Lowry 6 AST)</v>
      </c>
      <c r="L2448" s="2" t="str">
        <f>HYPERLINK("https://www.nba.com/game/...-vs-...-0041800304/play-by-play?watchFullGame=true", "TOR vs MIL - Q4 04:18.00")</f>
        <v>TOR vs MIL - Q4 04:18.00</v>
      </c>
      <c r="M2448">
        <v>26</v>
      </c>
      <c r="N2448">
        <v>-45</v>
      </c>
      <c r="O2448">
        <v>252</v>
      </c>
      <c r="P2448">
        <v>-45</v>
      </c>
      <c r="Q2448">
        <v>252</v>
      </c>
      <c r="R2448" t="s">
        <v>21</v>
      </c>
      <c r="S2448" t="s">
        <v>21</v>
      </c>
    </row>
    <row r="2449" spans="1:19" hidden="1" x14ac:dyDescent="0.25">
      <c r="A2449">
        <v>21800332</v>
      </c>
      <c r="B2449" t="s">
        <v>26</v>
      </c>
      <c r="C2449" t="s">
        <v>19</v>
      </c>
      <c r="D2449">
        <v>39</v>
      </c>
      <c r="E2449">
        <v>30</v>
      </c>
      <c r="F2449">
        <v>9</v>
      </c>
      <c r="G2449">
        <v>2</v>
      </c>
      <c r="H2449" s="1">
        <v>3.0902777777777777E-3</v>
      </c>
      <c r="I2449">
        <v>2018</v>
      </c>
      <c r="J2449" t="s">
        <v>48</v>
      </c>
      <c r="K2449" s="2" t="str">
        <f>HYPERLINK("https://www.nba.com/stats/events?CFID=&amp;CFPARAMS=&amp;GameEventID=258&amp;GameID=0021800332&amp;Season=2018-19&amp;flag=1&amp;title=Leonard%2026'%203PT%20Jump%20Shot%20(9%20PTS)", "Leonard 26' 3PT Jump Shot (9 PTS)")</f>
        <v>Leonard 26' 3PT Jump Shot (9 PTS)</v>
      </c>
      <c r="L2449" s="2" t="str">
        <f>HYPERLINK("https://www.nba.com/game/...-vs-...-0021800332/play-by-play?watchFullGame=true", "TOR vs CLE - Q2 04:27.00")</f>
        <v>TOR vs CLE - Q2 04:27.00</v>
      </c>
      <c r="M2449">
        <v>26</v>
      </c>
      <c r="N2449">
        <v>18</v>
      </c>
      <c r="O2449">
        <v>258</v>
      </c>
      <c r="P2449">
        <v>18</v>
      </c>
      <c r="Q2449">
        <v>258</v>
      </c>
      <c r="R2449" t="s">
        <v>21</v>
      </c>
      <c r="S2449" t="s">
        <v>21</v>
      </c>
    </row>
    <row r="2450" spans="1:19" hidden="1" x14ac:dyDescent="0.25">
      <c r="A2450">
        <v>41400163</v>
      </c>
      <c r="B2450" t="s">
        <v>26</v>
      </c>
      <c r="C2450" t="s">
        <v>19</v>
      </c>
      <c r="D2450">
        <v>18</v>
      </c>
      <c r="E2450">
        <v>11</v>
      </c>
      <c r="F2450">
        <v>7</v>
      </c>
      <c r="G2450">
        <v>1</v>
      </c>
      <c r="H2450" s="1">
        <v>3.1828703703703702E-3</v>
      </c>
      <c r="I2450" t="s">
        <v>56</v>
      </c>
      <c r="J2450" t="s">
        <v>20</v>
      </c>
      <c r="K2450" s="2" t="str">
        <f>HYPERLINK("https://www.nba.com/stats/events?CFID=&amp;CFPARAMS=&amp;GameEventID=50&amp;GameID=0041400163&amp;Season=2014-15&amp;flag=1&amp;title=Leonard%2026'%203PT%20Jump%20Shot%20(7%20PTS)%20(Diaw%201%20AST)", "Leonard 26' 3PT Jump Shot (7 PTS) (Diaw 1 AST)")</f>
        <v>Leonard 26' 3PT Jump Shot (7 PTS) (Diaw 1 AST)</v>
      </c>
      <c r="L2450" s="2" t="str">
        <f>HYPERLINK("https://www.nba.com/game/...-vs-...-0041400163/play-by-play?watchFullGame=true", "SAS vs LAC - Q1 04:35.00")</f>
        <v>SAS vs LAC - Q1 04:35.00</v>
      </c>
      <c r="M2450">
        <v>26</v>
      </c>
      <c r="N2450">
        <v>94</v>
      </c>
      <c r="O2450">
        <v>244</v>
      </c>
      <c r="P2450">
        <v>94</v>
      </c>
      <c r="Q2450">
        <v>244</v>
      </c>
      <c r="R2450" t="s">
        <v>21</v>
      </c>
      <c r="S2450" t="s">
        <v>21</v>
      </c>
    </row>
    <row r="2451" spans="1:19" hidden="1" x14ac:dyDescent="0.25">
      <c r="A2451">
        <v>21700530</v>
      </c>
      <c r="B2451" t="s">
        <v>26</v>
      </c>
      <c r="C2451" t="s">
        <v>19</v>
      </c>
      <c r="D2451">
        <v>50</v>
      </c>
      <c r="E2451">
        <v>57</v>
      </c>
      <c r="F2451">
        <v>7</v>
      </c>
      <c r="G2451">
        <v>3</v>
      </c>
      <c r="H2451" s="1">
        <v>3.1944444444444446E-3</v>
      </c>
      <c r="I2451">
        <v>2017</v>
      </c>
      <c r="J2451" t="s">
        <v>20</v>
      </c>
      <c r="K2451" s="2" t="str">
        <f>HYPERLINK("https://www.nba.com/stats/events?CFID=&amp;CFPARAMS=&amp;GameEventID=381&amp;GameID=0021700530&amp;Season=2017-18&amp;flag=1&amp;title=Leonard%2026'%203PT%20Jump%20Shot%20(14%20PTS)%20(Mills%203%20AST)", "Leonard 26' 3PT Jump Shot (14 PTS) (Mills 3 AST)")</f>
        <v>Leonard 26' 3PT Jump Shot (14 PTS) (Mills 3 AST)</v>
      </c>
      <c r="L2451" s="2" t="str">
        <f>HYPERLINK("https://www.nba.com/game/...-vs-...-0021700530/play-by-play?watchFullGame=true", "SAS vs DET - Q3 04:36.00")</f>
        <v>SAS vs DET - Q3 04:36.00</v>
      </c>
      <c r="M2451">
        <v>26</v>
      </c>
      <c r="N2451">
        <v>127</v>
      </c>
      <c r="O2451">
        <v>226</v>
      </c>
      <c r="P2451">
        <v>127</v>
      </c>
      <c r="Q2451">
        <v>226</v>
      </c>
      <c r="R2451" t="s">
        <v>21</v>
      </c>
      <c r="S2451" t="s">
        <v>21</v>
      </c>
    </row>
    <row r="2452" spans="1:19" hidden="1" x14ac:dyDescent="0.25">
      <c r="A2452">
        <v>21600016</v>
      </c>
      <c r="B2452" t="s">
        <v>26</v>
      </c>
      <c r="C2452" t="s">
        <v>19</v>
      </c>
      <c r="D2452">
        <v>15</v>
      </c>
      <c r="E2452">
        <v>18</v>
      </c>
      <c r="F2452">
        <v>3</v>
      </c>
      <c r="G2452">
        <v>1</v>
      </c>
      <c r="H2452" s="1">
        <v>3.2291666666666666E-3</v>
      </c>
      <c r="I2452">
        <v>2016</v>
      </c>
      <c r="J2452" t="s">
        <v>20</v>
      </c>
      <c r="K2452" s="2" t="str">
        <f>HYPERLINK("https://www.nba.com/stats/events?CFID=&amp;CFPARAMS=&amp;GameEventID=70&amp;GameID=0021600016&amp;Season=2016-17&amp;flag=1&amp;title=Leonard%2026'%203PT%20Jump%20Shot%20(12%20PTS)%20(Ginobili%201%20AST)", "Leonard 26' 3PT Jump Shot (12 PTS) (Ginobili 1 AST)")</f>
        <v>Leonard 26' 3PT Jump Shot (12 PTS) (Ginobili 1 AST)</v>
      </c>
      <c r="L2452" s="2" t="str">
        <f>HYPERLINK("https://www.nba.com/game/...-vs-...-0021600016/play-by-play?watchFullGame=true", "SAS vs SAC - Q1 04:39.00")</f>
        <v>SAS vs SAC - Q1 04:39.00</v>
      </c>
      <c r="M2452">
        <v>26</v>
      </c>
      <c r="N2452">
        <v>222</v>
      </c>
      <c r="O2452">
        <v>126</v>
      </c>
      <c r="P2452">
        <v>222</v>
      </c>
      <c r="Q2452">
        <v>126</v>
      </c>
      <c r="R2452" t="s">
        <v>21</v>
      </c>
      <c r="S2452" t="s">
        <v>21</v>
      </c>
    </row>
    <row r="2453" spans="1:19" hidden="1" x14ac:dyDescent="0.25">
      <c r="A2453">
        <v>21800580</v>
      </c>
      <c r="B2453" t="s">
        <v>26</v>
      </c>
      <c r="C2453" t="s">
        <v>30</v>
      </c>
      <c r="D2453">
        <v>21</v>
      </c>
      <c r="E2453">
        <v>23</v>
      </c>
      <c r="F2453">
        <v>2</v>
      </c>
      <c r="G2453">
        <v>1</v>
      </c>
      <c r="H2453" s="1">
        <v>3.2870370370370371E-3</v>
      </c>
      <c r="I2453">
        <v>2018</v>
      </c>
      <c r="J2453" t="s">
        <v>48</v>
      </c>
      <c r="K2453" s="2" t="str">
        <f>HYPERLINK("https://www.nba.com/stats/events?CFID=&amp;CFPARAMS=&amp;GameEventID=77&amp;GameID=0021800580&amp;Season=2018-19&amp;flag=1&amp;title=Leonard%2026'%203PT%20Running%20Jump%20Shot%20(7%20PTS)", "Leonard 26' 3PT Running Jump Shot (7 PTS)")</f>
        <v>Leonard 26' 3PT Running Jump Shot (7 PTS)</v>
      </c>
      <c r="L2453" s="2" t="str">
        <f>HYPERLINK("https://www.nba.com/game/...-vs-...-0021800580/play-by-play?watchFullGame=true", "TOR vs MIL - Q1 04:44.00")</f>
        <v>TOR vs MIL - Q1 04:44.00</v>
      </c>
      <c r="M2453">
        <v>26</v>
      </c>
      <c r="N2453">
        <v>-29</v>
      </c>
      <c r="O2453">
        <v>263</v>
      </c>
      <c r="P2453">
        <v>-29</v>
      </c>
      <c r="Q2453">
        <v>263</v>
      </c>
      <c r="R2453" t="s">
        <v>21</v>
      </c>
      <c r="S2453" t="s">
        <v>21</v>
      </c>
    </row>
    <row r="2454" spans="1:19" hidden="1" x14ac:dyDescent="0.25">
      <c r="A2454">
        <v>21800427</v>
      </c>
      <c r="B2454" t="s">
        <v>26</v>
      </c>
      <c r="C2454" t="s">
        <v>65</v>
      </c>
      <c r="D2454">
        <v>102</v>
      </c>
      <c r="E2454">
        <v>113</v>
      </c>
      <c r="F2454">
        <v>11</v>
      </c>
      <c r="G2454">
        <v>4</v>
      </c>
      <c r="H2454" s="1">
        <v>3.3101851851851851E-3</v>
      </c>
      <c r="I2454">
        <v>2018</v>
      </c>
      <c r="J2454" t="s">
        <v>48</v>
      </c>
      <c r="K2454" s="2" t="str">
        <f>HYPERLINK("https://www.nba.com/stats/events?CFID=&amp;CFPARAMS=&amp;GameEventID=526&amp;GameID=0021800427&amp;Season=2018-19&amp;flag=1&amp;title=Leonard%2026'%203PT%20Running%20Pull-Up%20Jump%20Shot%20(18%20PTS)", "Leonard 26' 3PT Running Pull-Up Jump Shot (18 PTS)")</f>
        <v>Leonard 26' 3PT Running Pull-Up Jump Shot (18 PTS)</v>
      </c>
      <c r="L2454" s="2" t="str">
        <f>HYPERLINK("https://www.nba.com/game/...-vs-...-0021800427/play-by-play?watchFullGame=true", "TOR vs POR - Q4 04:46.00")</f>
        <v>TOR vs POR - Q4 04:46.00</v>
      </c>
      <c r="M2454">
        <v>26</v>
      </c>
      <c r="N2454">
        <v>-116</v>
      </c>
      <c r="O2454">
        <v>236</v>
      </c>
      <c r="P2454">
        <v>-116</v>
      </c>
      <c r="Q2454">
        <v>236</v>
      </c>
      <c r="R2454" t="s">
        <v>21</v>
      </c>
      <c r="S2454" t="s">
        <v>21</v>
      </c>
    </row>
    <row r="2455" spans="1:19" hidden="1" x14ac:dyDescent="0.25">
      <c r="A2455">
        <v>21800506</v>
      </c>
      <c r="B2455" t="s">
        <v>26</v>
      </c>
      <c r="C2455" t="s">
        <v>19</v>
      </c>
      <c r="D2455">
        <v>93</v>
      </c>
      <c r="E2455">
        <v>91</v>
      </c>
      <c r="F2455">
        <v>2</v>
      </c>
      <c r="G2455">
        <v>4</v>
      </c>
      <c r="H2455" s="1">
        <v>3.3101851851851851E-3</v>
      </c>
      <c r="I2455">
        <v>2018</v>
      </c>
      <c r="J2455" t="s">
        <v>48</v>
      </c>
      <c r="K2455" s="2" t="str">
        <f>HYPERLINK("https://www.nba.com/stats/events?CFID=&amp;CFPARAMS=&amp;GameEventID=533&amp;GameID=0021800506&amp;Season=2018-19&amp;flag=1&amp;title=Leonard%2026'%203PT%20Jump%20Shot%20(26%20PTS)%20(Anunoby%202%20AST)", "Leonard 26' 3PT Jump Shot (26 PTS) (Anunoby 2 AST)")</f>
        <v>Leonard 26' 3PT Jump Shot (26 PTS) (Anunoby 2 AST)</v>
      </c>
      <c r="L2455" s="2" t="str">
        <f>HYPERLINK("https://www.nba.com/game/...-vs-...-0021800506/play-by-play?watchFullGame=true", "TOR vs MIA - Q4 04:46.00")</f>
        <v>TOR vs MIA - Q4 04:46.00</v>
      </c>
      <c r="M2455">
        <v>26</v>
      </c>
      <c r="N2455">
        <v>230</v>
      </c>
      <c r="O2455">
        <v>114</v>
      </c>
      <c r="P2455">
        <v>230</v>
      </c>
      <c r="Q2455">
        <v>114</v>
      </c>
      <c r="R2455" t="s">
        <v>21</v>
      </c>
      <c r="S2455" t="s">
        <v>21</v>
      </c>
    </row>
    <row r="2456" spans="1:19" hidden="1" x14ac:dyDescent="0.25">
      <c r="A2456">
        <v>41300225</v>
      </c>
      <c r="B2456" t="s">
        <v>26</v>
      </c>
      <c r="C2456" t="s">
        <v>19</v>
      </c>
      <c r="D2456">
        <v>43</v>
      </c>
      <c r="E2456">
        <v>30</v>
      </c>
      <c r="F2456">
        <v>13</v>
      </c>
      <c r="G2456">
        <v>2</v>
      </c>
      <c r="H2456" s="1">
        <v>3.3217592592592591E-3</v>
      </c>
      <c r="I2456" t="s">
        <v>55</v>
      </c>
      <c r="J2456" t="s">
        <v>20</v>
      </c>
      <c r="K2456" s="2" t="str">
        <f>HYPERLINK("https://www.nba.com/stats/events?CFID=&amp;CFPARAMS=&amp;GameEventID=207&amp;GameID=0041300225&amp;Season=2013-14&amp;flag=1&amp;title=Leonard%2026'%203PT%20Jump%20Shot%20(13%20PTS)%20(Green%201%20AST)", "Leonard 26' 3PT Jump Shot (13 PTS) (Green 1 AST)")</f>
        <v>Leonard 26' 3PT Jump Shot (13 PTS) (Green 1 AST)</v>
      </c>
      <c r="L2456" s="2" t="str">
        <f>HYPERLINK("https://www.nba.com/game/...-vs-...-0041300225/play-by-play?watchFullGame=true", "SAS vs POR - Q2 04:47.00")</f>
        <v>SAS vs POR - Q2 04:47.00</v>
      </c>
      <c r="M2456">
        <v>26</v>
      </c>
      <c r="N2456">
        <v>218</v>
      </c>
      <c r="O2456">
        <v>138</v>
      </c>
      <c r="P2456">
        <v>218</v>
      </c>
      <c r="Q2456">
        <v>138</v>
      </c>
      <c r="R2456" t="s">
        <v>21</v>
      </c>
      <c r="S2456" t="s">
        <v>21</v>
      </c>
    </row>
    <row r="2457" spans="1:19" hidden="1" x14ac:dyDescent="0.25">
      <c r="A2457">
        <v>21800639</v>
      </c>
      <c r="B2457" t="s">
        <v>26</v>
      </c>
      <c r="C2457" t="s">
        <v>19</v>
      </c>
      <c r="D2457">
        <v>27</v>
      </c>
      <c r="E2457">
        <v>10</v>
      </c>
      <c r="F2457">
        <v>17</v>
      </c>
      <c r="G2457">
        <v>1</v>
      </c>
      <c r="H2457" s="1">
        <v>3.3333333333333335E-3</v>
      </c>
      <c r="I2457">
        <v>2018</v>
      </c>
      <c r="J2457" t="s">
        <v>48</v>
      </c>
      <c r="K2457" s="2" t="str">
        <f>HYPERLINK("https://www.nba.com/stats/events?CFID=&amp;CFPARAMS=&amp;GameEventID=79&amp;GameID=0021800639&amp;Season=2018-19&amp;flag=1&amp;title=Leonard%2026'%203PT%20Jump%20Shot%20(10%20PTS)%20(Lowry%206%20AST)", "Leonard 26' 3PT Jump Shot (10 PTS) (Lowry 6 AST)")</f>
        <v>Leonard 26' 3PT Jump Shot (10 PTS) (Lowry 6 AST)</v>
      </c>
      <c r="L2457" s="2" t="str">
        <f>HYPERLINK("https://www.nba.com/game/...-vs-...-0021800639/play-by-play?watchFullGame=true", "TOR vs WAS - Q1 04:48.00")</f>
        <v>TOR vs WAS - Q1 04:48.00</v>
      </c>
      <c r="M2457">
        <v>26</v>
      </c>
      <c r="N2457">
        <v>163</v>
      </c>
      <c r="O2457">
        <v>200</v>
      </c>
      <c r="P2457">
        <v>163</v>
      </c>
      <c r="Q2457">
        <v>200</v>
      </c>
      <c r="R2457" t="s">
        <v>21</v>
      </c>
      <c r="S2457" t="s">
        <v>21</v>
      </c>
    </row>
    <row r="2458" spans="1:19" hidden="1" x14ac:dyDescent="0.25">
      <c r="A2458">
        <v>21800658</v>
      </c>
      <c r="B2458" t="s">
        <v>26</v>
      </c>
      <c r="C2458" t="s">
        <v>36</v>
      </c>
      <c r="D2458">
        <v>101</v>
      </c>
      <c r="E2458">
        <v>97</v>
      </c>
      <c r="F2458">
        <v>4</v>
      </c>
      <c r="G2458">
        <v>4</v>
      </c>
      <c r="H2458" s="1">
        <v>3.3680555555555556E-3</v>
      </c>
      <c r="I2458">
        <v>2018</v>
      </c>
      <c r="J2458" t="s">
        <v>48</v>
      </c>
      <c r="K2458" s="2" t="str">
        <f>HYPERLINK("https://www.nba.com/stats/events?CFID=&amp;CFPARAMS=&amp;GameEventID=580&amp;GameID=0021800658&amp;Season=2018-19&amp;flag=1&amp;title=Leonard%2026'%203PT%20Pullup%20Jump%20Shot%20(30%20PTS)", "Leonard 26' 3PT Pullup Jump Shot (30 PTS)")</f>
        <v>Leonard 26' 3PT Pullup Jump Shot (30 PTS)</v>
      </c>
      <c r="L2458" s="2" t="str">
        <f>HYPERLINK("https://www.nba.com/game/...-vs-...-0021800658/play-by-play?watchFullGame=true", "TOR vs BOS - Q4 04:51.00")</f>
        <v>TOR vs BOS - Q4 04:51.00</v>
      </c>
      <c r="M2458">
        <v>26</v>
      </c>
      <c r="N2458">
        <v>-57</v>
      </c>
      <c r="O2458">
        <v>257</v>
      </c>
      <c r="P2458">
        <v>-57</v>
      </c>
      <c r="Q2458">
        <v>257</v>
      </c>
      <c r="R2458" t="s">
        <v>21</v>
      </c>
      <c r="S2458" t="s">
        <v>21</v>
      </c>
    </row>
    <row r="2459" spans="1:19" hidden="1" x14ac:dyDescent="0.25">
      <c r="A2459">
        <v>21600834</v>
      </c>
      <c r="B2459" t="s">
        <v>26</v>
      </c>
      <c r="C2459" t="s">
        <v>30</v>
      </c>
      <c r="D2459">
        <v>44</v>
      </c>
      <c r="E2459">
        <v>23</v>
      </c>
      <c r="F2459">
        <v>21</v>
      </c>
      <c r="G2459">
        <v>2</v>
      </c>
      <c r="H2459" s="1">
        <v>3.3796296296296296E-3</v>
      </c>
      <c r="I2459">
        <v>2016</v>
      </c>
      <c r="J2459" t="s">
        <v>20</v>
      </c>
      <c r="K2459" s="2" t="str">
        <f>HYPERLINK("https://www.nba.com/stats/events?CFID=&amp;CFPARAMS=&amp;GameEventID=216&amp;GameID=0021600834&amp;Season=2016-17&amp;flag=1&amp;title=Leonard%2026'%203PT%20Running%20Jump%20Shot%20(11%20PTS)", "Leonard 26' 3PT Running Jump Shot (11 PTS)")</f>
        <v>Leonard 26' 3PT Running Jump Shot (11 PTS)</v>
      </c>
      <c r="L2459" s="2" t="str">
        <f>HYPERLINK("https://www.nba.com/game/...-vs-...-0021600834/play-by-play?watchFullGame=true", "SAS vs ORL - Q2 04:52.00")</f>
        <v>SAS vs ORL - Q2 04:52.00</v>
      </c>
      <c r="M2459">
        <v>26</v>
      </c>
      <c r="N2459">
        <v>138</v>
      </c>
      <c r="O2459">
        <v>218</v>
      </c>
      <c r="P2459">
        <v>138</v>
      </c>
      <c r="Q2459">
        <v>218</v>
      </c>
      <c r="R2459" t="s">
        <v>21</v>
      </c>
      <c r="S2459" t="s">
        <v>21</v>
      </c>
    </row>
    <row r="2460" spans="1:19" hidden="1" x14ac:dyDescent="0.25">
      <c r="A2460">
        <v>21800580</v>
      </c>
      <c r="B2460" t="s">
        <v>26</v>
      </c>
      <c r="C2460" t="s">
        <v>19</v>
      </c>
      <c r="D2460">
        <v>42</v>
      </c>
      <c r="E2460">
        <v>47</v>
      </c>
      <c r="F2460">
        <v>5</v>
      </c>
      <c r="G2460">
        <v>2</v>
      </c>
      <c r="H2460" s="1">
        <v>3.460648148148148E-3</v>
      </c>
      <c r="I2460">
        <v>2018</v>
      </c>
      <c r="J2460" t="s">
        <v>48</v>
      </c>
      <c r="K2460" s="2" t="str">
        <f>HYPERLINK("https://www.nba.com/stats/events?CFID=&amp;CFPARAMS=&amp;GameEventID=255&amp;GameID=0021800580&amp;Season=2018-19&amp;flag=1&amp;title=Leonard%2026'%203PT%20Jump%20Shot%20(13%20PTS)%20(Ibaka%201%20AST)", "Leonard 26' 3PT Jump Shot (13 PTS) (Ibaka 1 AST)")</f>
        <v>Leonard 26' 3PT Jump Shot (13 PTS) (Ibaka 1 AST)</v>
      </c>
      <c r="L2460" s="2" t="str">
        <f>HYPERLINK("https://www.nba.com/game/...-vs-...-0021800580/play-by-play?watchFullGame=true", "TOR vs MIL - Q2 04:59.00")</f>
        <v>TOR vs MIL - Q2 04:59.00</v>
      </c>
      <c r="M2460">
        <v>26</v>
      </c>
      <c r="N2460">
        <v>32</v>
      </c>
      <c r="O2460">
        <v>257</v>
      </c>
      <c r="P2460">
        <v>32</v>
      </c>
      <c r="Q2460">
        <v>257</v>
      </c>
      <c r="R2460" t="s">
        <v>21</v>
      </c>
      <c r="S2460" t="s">
        <v>21</v>
      </c>
    </row>
    <row r="2461" spans="1:19" hidden="1" x14ac:dyDescent="0.25">
      <c r="A2461">
        <v>41500154</v>
      </c>
      <c r="B2461" t="s">
        <v>26</v>
      </c>
      <c r="C2461" t="s">
        <v>19</v>
      </c>
      <c r="D2461">
        <v>34</v>
      </c>
      <c r="E2461">
        <v>34</v>
      </c>
      <c r="F2461">
        <v>0</v>
      </c>
      <c r="G2461">
        <v>2</v>
      </c>
      <c r="H2461" s="1">
        <v>3.460648148148148E-3</v>
      </c>
      <c r="I2461" t="s">
        <v>57</v>
      </c>
      <c r="J2461" t="s">
        <v>20</v>
      </c>
      <c r="K2461" s="2" t="str">
        <f>HYPERLINK("https://www.nba.com/stats/events?CFID=&amp;CFPARAMS=&amp;GameEventID=184&amp;GameID=0041500154&amp;Season=2015-16&amp;flag=1&amp;title=Leonard%2026'%203PT%20Jump%20Shot%20(5%20PTS)%20(Diaw%201%20AST)", "Leonard 26' 3PT Jump Shot (5 PTS) (Diaw 1 AST)")</f>
        <v>Leonard 26' 3PT Jump Shot (5 PTS) (Diaw 1 AST)</v>
      </c>
      <c r="L2461" s="2" t="str">
        <f>HYPERLINK("https://www.nba.com/game/...-vs-...-0041500154/play-by-play?watchFullGame=true", "SAS vs MEM - Q2 04:59.00")</f>
        <v>SAS vs MEM - Q2 04:59.00</v>
      </c>
      <c r="M2461">
        <v>26</v>
      </c>
      <c r="N2461">
        <v>110</v>
      </c>
      <c r="O2461">
        <v>232</v>
      </c>
      <c r="P2461">
        <v>110</v>
      </c>
      <c r="Q2461">
        <v>232</v>
      </c>
      <c r="R2461" t="s">
        <v>21</v>
      </c>
      <c r="S2461" t="s">
        <v>21</v>
      </c>
    </row>
    <row r="2462" spans="1:19" hidden="1" x14ac:dyDescent="0.25">
      <c r="A2462">
        <v>21600525</v>
      </c>
      <c r="B2462" t="s">
        <v>26</v>
      </c>
      <c r="C2462" t="s">
        <v>36</v>
      </c>
      <c r="D2462">
        <v>24</v>
      </c>
      <c r="E2462">
        <v>10</v>
      </c>
      <c r="F2462">
        <v>14</v>
      </c>
      <c r="G2462">
        <v>1</v>
      </c>
      <c r="H2462" s="1">
        <v>3.5300925925925925E-3</v>
      </c>
      <c r="I2462">
        <v>2016</v>
      </c>
      <c r="J2462" t="s">
        <v>20</v>
      </c>
      <c r="K2462" s="2" t="str">
        <f>HYPERLINK("https://www.nba.com/stats/events?CFID=&amp;CFPARAMS=&amp;GameEventID=60&amp;GameID=0021600525&amp;Season=2016-17&amp;flag=1&amp;title=Leonard%2026'%203PT%20Pullup%20Jump%20Shot%20(10%20PTS)%20(Parker%203%20AST)", "Leonard 26' 3PT Pullup Jump Shot (10 PTS) (Parker 3 AST)")</f>
        <v>Leonard 26' 3PT Pullup Jump Shot (10 PTS) (Parker 3 AST)</v>
      </c>
      <c r="L2462" s="2" t="str">
        <f>HYPERLINK("https://www.nba.com/game/...-vs-...-0021600525/play-by-play?watchFullGame=true", "SAS vs TOR - Q1 05:05.00")</f>
        <v>SAS vs TOR - Q1 05:05.00</v>
      </c>
      <c r="M2462">
        <v>26</v>
      </c>
      <c r="N2462">
        <v>-187</v>
      </c>
      <c r="O2462">
        <v>180</v>
      </c>
      <c r="P2462">
        <v>-187</v>
      </c>
      <c r="Q2462">
        <v>180</v>
      </c>
      <c r="R2462" t="s">
        <v>21</v>
      </c>
      <c r="S2462" t="s">
        <v>21</v>
      </c>
    </row>
    <row r="2463" spans="1:19" hidden="1" x14ac:dyDescent="0.25">
      <c r="A2463">
        <v>21600353</v>
      </c>
      <c r="B2463" t="s">
        <v>26</v>
      </c>
      <c r="C2463" t="s">
        <v>19</v>
      </c>
      <c r="D2463">
        <v>88</v>
      </c>
      <c r="E2463">
        <v>65</v>
      </c>
      <c r="F2463">
        <v>23</v>
      </c>
      <c r="G2463">
        <v>3</v>
      </c>
      <c r="H2463" s="1">
        <v>3.5995370370370369E-3</v>
      </c>
      <c r="I2463">
        <v>2016</v>
      </c>
      <c r="J2463" t="s">
        <v>20</v>
      </c>
      <c r="K2463" s="2" t="str">
        <f>HYPERLINK("https://www.nba.com/stats/events?CFID=&amp;CFPARAMS=&amp;GameEventID=328&amp;GameID=0021600353&amp;Season=2016-17&amp;flag=1&amp;title=Leonard%2026'%203PT%20Jump%20Shot%20(30%20PTS)%20(Ginobili%201%20AST)", "Leonard 26' 3PT Jump Shot (30 PTS) (Ginobili 1 AST)")</f>
        <v>Leonard 26' 3PT Jump Shot (30 PTS) (Ginobili 1 AST)</v>
      </c>
      <c r="L2463" s="2" t="str">
        <f>HYPERLINK("https://www.nba.com/game/...-vs-...-0021600353/play-by-play?watchFullGame=true", "SAS vs BKN - Q3 05:11.00")</f>
        <v>SAS vs BKN - Q3 05:11.00</v>
      </c>
      <c r="M2463">
        <v>26</v>
      </c>
      <c r="N2463">
        <v>-174</v>
      </c>
      <c r="O2463">
        <v>188</v>
      </c>
      <c r="P2463">
        <v>-174</v>
      </c>
      <c r="Q2463">
        <v>188</v>
      </c>
      <c r="R2463" t="s">
        <v>21</v>
      </c>
      <c r="S2463" t="s">
        <v>21</v>
      </c>
    </row>
    <row r="2464" spans="1:19" hidden="1" x14ac:dyDescent="0.25">
      <c r="A2464">
        <v>41200151</v>
      </c>
      <c r="B2464" t="s">
        <v>26</v>
      </c>
      <c r="C2464" t="s">
        <v>19</v>
      </c>
      <c r="D2464">
        <v>33</v>
      </c>
      <c r="E2464">
        <v>26</v>
      </c>
      <c r="F2464">
        <v>7</v>
      </c>
      <c r="G2464">
        <v>2</v>
      </c>
      <c r="H2464" s="1">
        <v>3.6111111111111109E-3</v>
      </c>
      <c r="I2464" t="s">
        <v>53</v>
      </c>
      <c r="J2464" t="s">
        <v>20</v>
      </c>
      <c r="K2464" s="2" t="str">
        <f>HYPERLINK("https://www.nba.com/stats/events?CFID=&amp;CFPARAMS=&amp;GameEventID=185&amp;GameID=0041200151&amp;Season=2012-13&amp;flag=1&amp;title=Leonard%2026'%203PT%20Jump%20Shot%20(3%20PTS)%20(Parker%204%20AST)", "Leonard 26' 3PT Jump Shot (3 PTS) (Parker 4 AST)")</f>
        <v>Leonard 26' 3PT Jump Shot (3 PTS) (Parker 4 AST)</v>
      </c>
      <c r="L2464" s="2" t="str">
        <f>HYPERLINK("https://www.nba.com/game/...-vs-...-0041200151/play-by-play?watchFullGame=true", "SAS vs LAL - Q2 05:12.00")</f>
        <v>SAS vs LAL - Q2 05:12.00</v>
      </c>
      <c r="M2464">
        <v>26</v>
      </c>
      <c r="N2464">
        <v>-103</v>
      </c>
      <c r="O2464">
        <v>238</v>
      </c>
      <c r="P2464">
        <v>-103</v>
      </c>
      <c r="Q2464">
        <v>238</v>
      </c>
      <c r="R2464" t="s">
        <v>21</v>
      </c>
      <c r="S2464" t="s">
        <v>21</v>
      </c>
    </row>
    <row r="2465" spans="1:19" hidden="1" x14ac:dyDescent="0.25">
      <c r="A2465">
        <v>41800405</v>
      </c>
      <c r="B2465" t="s">
        <v>26</v>
      </c>
      <c r="C2465" t="s">
        <v>65</v>
      </c>
      <c r="D2465">
        <v>96</v>
      </c>
      <c r="E2465">
        <v>95</v>
      </c>
      <c r="F2465">
        <v>1</v>
      </c>
      <c r="G2465">
        <v>4</v>
      </c>
      <c r="H2465" s="1">
        <v>3.6226851851851854E-3</v>
      </c>
      <c r="I2465" t="s">
        <v>60</v>
      </c>
      <c r="J2465" t="s">
        <v>48</v>
      </c>
      <c r="K2465" s="2" t="str">
        <f>HYPERLINK("https://www.nba.com/stats/events?CFID=&amp;CFPARAMS=&amp;GameEventID=591&amp;GameID=0041800405&amp;Season=2018-19&amp;flag=1&amp;title=Leonard%2026'%203PT%20Running%20Pull-Up%20Jump%20Shot%20(19%20PTS)", "Leonard 26' 3PT Running Pull-Up Jump Shot (19 PTS)")</f>
        <v>Leonard 26' 3PT Running Pull-Up Jump Shot (19 PTS)</v>
      </c>
      <c r="L2465" s="2" t="str">
        <f>HYPERLINK("https://www.nba.com/game/...-vs-...-0041800405/play-by-play?watchFullGame=true", "TOR vs GSW - Q4 05:13.00")</f>
        <v>TOR vs GSW - Q4 05:13.00</v>
      </c>
      <c r="M2465">
        <v>26</v>
      </c>
      <c r="N2465">
        <v>87</v>
      </c>
      <c r="O2465">
        <v>245</v>
      </c>
      <c r="P2465">
        <v>87</v>
      </c>
      <c r="Q2465">
        <v>245</v>
      </c>
      <c r="R2465" t="s">
        <v>21</v>
      </c>
      <c r="S2465" t="s">
        <v>21</v>
      </c>
    </row>
    <row r="2466" spans="1:19" hidden="1" x14ac:dyDescent="0.25">
      <c r="A2466">
        <v>21500379</v>
      </c>
      <c r="B2466" t="s">
        <v>26</v>
      </c>
      <c r="C2466" t="s">
        <v>19</v>
      </c>
      <c r="D2466">
        <v>13</v>
      </c>
      <c r="E2466">
        <v>16</v>
      </c>
      <c r="F2466">
        <v>3</v>
      </c>
      <c r="G2466">
        <v>1</v>
      </c>
      <c r="H2466" s="1">
        <v>3.6458333333333334E-3</v>
      </c>
      <c r="I2466">
        <v>2015</v>
      </c>
      <c r="J2466" t="s">
        <v>20</v>
      </c>
      <c r="K2466" s="2" t="str">
        <f>HYPERLINK("https://www.nba.com/stats/events?CFID=&amp;CFPARAMS=&amp;GameEventID=61&amp;GameID=0021500379&amp;Season=2015-16&amp;flag=1&amp;title=Leonard%2026'%203PT%20Jump%20Shot%20(7%20PTS)%20(Ginobili%201%20AST)", "Leonard 26' 3PT Jump Shot (7 PTS) (Ginobili 1 AST)")</f>
        <v>Leonard 26' 3PT Jump Shot (7 PTS) (Ginobili 1 AST)</v>
      </c>
      <c r="L2466" s="2" t="str">
        <f>HYPERLINK("https://www.nba.com/game/...-vs-...-0021500379/play-by-play?watchFullGame=true", "SAS vs WAS - Q1 05:15.00")</f>
        <v>SAS vs WAS - Q1 05:15.00</v>
      </c>
      <c r="M2466">
        <v>26</v>
      </c>
      <c r="N2466">
        <v>-127</v>
      </c>
      <c r="O2466">
        <v>228</v>
      </c>
      <c r="P2466">
        <v>-127</v>
      </c>
      <c r="Q2466">
        <v>228</v>
      </c>
      <c r="R2466" t="s">
        <v>21</v>
      </c>
      <c r="S2466" t="s">
        <v>21</v>
      </c>
    </row>
    <row r="2467" spans="1:19" hidden="1" x14ac:dyDescent="0.25">
      <c r="A2467">
        <v>21800624</v>
      </c>
      <c r="B2467" t="s">
        <v>26</v>
      </c>
      <c r="C2467" t="s">
        <v>19</v>
      </c>
      <c r="D2467">
        <v>84</v>
      </c>
      <c r="E2467">
        <v>68</v>
      </c>
      <c r="F2467">
        <v>16</v>
      </c>
      <c r="G2467">
        <v>3</v>
      </c>
      <c r="H2467" s="1">
        <v>3.8773148148148148E-3</v>
      </c>
      <c r="I2467">
        <v>2018</v>
      </c>
      <c r="J2467" t="s">
        <v>48</v>
      </c>
      <c r="K2467" s="2" t="str">
        <f>HYPERLINK("https://www.nba.com/stats/events?CFID=&amp;CFPARAMS=&amp;GameEventID=418&amp;GameID=0021800624&amp;Season=2018-19&amp;flag=1&amp;title=Leonard%2026'%203PT%20Jump%20Shot%20(20%20PTS)%20(Green%204%20AST)", "Leonard 26' 3PT Jump Shot (20 PTS) (Green 4 AST)")</f>
        <v>Leonard 26' 3PT Jump Shot (20 PTS) (Green 4 AST)</v>
      </c>
      <c r="L2467" s="2" t="str">
        <f>HYPERLINK("https://www.nba.com/game/...-vs-...-0021800624/play-by-play?watchFullGame=true", "TOR vs BKN - Q3 05:35.00")</f>
        <v>TOR vs BKN - Q3 05:35.00</v>
      </c>
      <c r="M2467">
        <v>26</v>
      </c>
      <c r="N2467">
        <v>-143</v>
      </c>
      <c r="O2467">
        <v>216</v>
      </c>
      <c r="P2467">
        <v>-143</v>
      </c>
      <c r="Q2467">
        <v>216</v>
      </c>
      <c r="R2467" t="s">
        <v>21</v>
      </c>
      <c r="S2467" t="s">
        <v>21</v>
      </c>
    </row>
    <row r="2468" spans="1:19" hidden="1" x14ac:dyDescent="0.25">
      <c r="A2468">
        <v>41600231</v>
      </c>
      <c r="B2468" t="s">
        <v>26</v>
      </c>
      <c r="C2468" t="s">
        <v>19</v>
      </c>
      <c r="D2468">
        <v>11</v>
      </c>
      <c r="E2468">
        <v>18</v>
      </c>
      <c r="F2468">
        <v>7</v>
      </c>
      <c r="G2468">
        <v>1</v>
      </c>
      <c r="H2468" s="1">
        <v>3.8888888888888888E-3</v>
      </c>
      <c r="I2468" t="s">
        <v>58</v>
      </c>
      <c r="J2468" t="s">
        <v>20</v>
      </c>
      <c r="K2468" s="2" t="str">
        <f>HYPERLINK("https://www.nba.com/stats/events?CFID=&amp;CFPARAMS=&amp;GameEventID=56&amp;GameID=0041600231&amp;Season=2016-17&amp;flag=1&amp;title=Leonard%2026'%203PT%20Jump%20Shot%20(5%20PTS)%20(Gasol%201%20AST)", "Leonard 26' 3PT Jump Shot (5 PTS) (Gasol 1 AST)")</f>
        <v>Leonard 26' 3PT Jump Shot (5 PTS) (Gasol 1 AST)</v>
      </c>
      <c r="L2468" s="2" t="str">
        <f>HYPERLINK("https://www.nba.com/game/...-vs-...-0041600231/play-by-play?watchFullGame=true", "SAS vs HOU - Q1 05:36.00")</f>
        <v>SAS vs HOU - Q1 05:36.00</v>
      </c>
      <c r="M2468">
        <v>26</v>
      </c>
      <c r="N2468">
        <v>-196</v>
      </c>
      <c r="O2468">
        <v>170</v>
      </c>
      <c r="P2468">
        <v>-196</v>
      </c>
      <c r="Q2468">
        <v>170</v>
      </c>
      <c r="R2468" t="s">
        <v>21</v>
      </c>
      <c r="S2468" t="s">
        <v>21</v>
      </c>
    </row>
    <row r="2469" spans="1:19" hidden="1" x14ac:dyDescent="0.25">
      <c r="A2469">
        <v>21500156</v>
      </c>
      <c r="B2469" t="s">
        <v>26</v>
      </c>
      <c r="C2469" t="s">
        <v>19</v>
      </c>
      <c r="D2469">
        <v>54</v>
      </c>
      <c r="E2469">
        <v>40</v>
      </c>
      <c r="F2469">
        <v>14</v>
      </c>
      <c r="G2469">
        <v>3</v>
      </c>
      <c r="H2469" s="1">
        <v>3.9004629629629628E-3</v>
      </c>
      <c r="I2469">
        <v>2015</v>
      </c>
      <c r="J2469" t="s">
        <v>20</v>
      </c>
      <c r="K2469" s="2" t="str">
        <f>HYPERLINK("https://www.nba.com/stats/events?CFID=&amp;CFPARAMS=&amp;GameEventID=297&amp;GameID=0021500156&amp;Season=2015-16&amp;flag=1&amp;title=Leonard%2026'%203PT%20Jump%20Shot%20(14%20PTS)%20(Duncan%201%20AST)", "Leonard 26' 3PT Jump Shot (14 PTS) (Duncan 1 AST)")</f>
        <v>Leonard 26' 3PT Jump Shot (14 PTS) (Duncan 1 AST)</v>
      </c>
      <c r="L2469" s="2" t="str">
        <f>HYPERLINK("https://www.nba.com/game/...-vs-...-0021500156/play-by-play?watchFullGame=true", "SAS vs POR - Q3 05:37.00")</f>
        <v>SAS vs POR - Q3 05:37.00</v>
      </c>
      <c r="M2469">
        <v>26</v>
      </c>
      <c r="N2469">
        <v>-97</v>
      </c>
      <c r="O2469">
        <v>237</v>
      </c>
      <c r="P2469">
        <v>-97</v>
      </c>
      <c r="Q2469">
        <v>237</v>
      </c>
      <c r="R2469" t="s">
        <v>21</v>
      </c>
      <c r="S2469" t="s">
        <v>21</v>
      </c>
    </row>
    <row r="2470" spans="1:19" hidden="1" x14ac:dyDescent="0.25">
      <c r="A2470">
        <v>21800161</v>
      </c>
      <c r="B2470" t="s">
        <v>26</v>
      </c>
      <c r="C2470" t="s">
        <v>19</v>
      </c>
      <c r="D2470">
        <v>49</v>
      </c>
      <c r="E2470">
        <v>40</v>
      </c>
      <c r="F2470">
        <v>9</v>
      </c>
      <c r="G2470">
        <v>2</v>
      </c>
      <c r="H2470" s="1">
        <v>3.9004629629629628E-3</v>
      </c>
      <c r="I2470">
        <v>2018</v>
      </c>
      <c r="J2470" t="s">
        <v>48</v>
      </c>
      <c r="K2470" s="2" t="str">
        <f>HYPERLINK("https://www.nba.com/stats/events?CFID=&amp;CFPARAMS=&amp;GameEventID=259&amp;GameID=0021800161&amp;Season=2018-19&amp;flag=1&amp;title=Leonard%2026'%203PT%20Jump%20Shot%20(7%20PTS)%20(Green%201%20AST)", "Leonard 26' 3PT Jump Shot (7 PTS) (Green 1 AST)")</f>
        <v>Leonard 26' 3PT Jump Shot (7 PTS) (Green 1 AST)</v>
      </c>
      <c r="L2470" s="2" t="str">
        <f>HYPERLINK("https://www.nba.com/game/...-vs-...-0021800161/play-by-play?watchFullGame=true", "TOR vs SAC - Q2 05:37.00")</f>
        <v>TOR vs SAC - Q2 05:37.00</v>
      </c>
      <c r="M2470">
        <v>26</v>
      </c>
      <c r="N2470">
        <v>117</v>
      </c>
      <c r="O2470">
        <v>232</v>
      </c>
      <c r="P2470">
        <v>117</v>
      </c>
      <c r="Q2470">
        <v>232</v>
      </c>
      <c r="R2470" t="s">
        <v>21</v>
      </c>
      <c r="S2470" t="s">
        <v>21</v>
      </c>
    </row>
    <row r="2471" spans="1:19" hidden="1" x14ac:dyDescent="0.25">
      <c r="A2471">
        <v>21600782</v>
      </c>
      <c r="B2471" t="s">
        <v>26</v>
      </c>
      <c r="C2471" t="s">
        <v>36</v>
      </c>
      <c r="D2471">
        <v>45</v>
      </c>
      <c r="E2471">
        <v>38</v>
      </c>
      <c r="F2471">
        <v>7</v>
      </c>
      <c r="G2471">
        <v>2</v>
      </c>
      <c r="H2471" s="1">
        <v>3.9236111111111112E-3</v>
      </c>
      <c r="I2471">
        <v>2016</v>
      </c>
      <c r="J2471" t="s">
        <v>20</v>
      </c>
      <c r="K2471" s="2" t="str">
        <f>HYPERLINK("https://www.nba.com/stats/events?CFID=&amp;CFPARAMS=&amp;GameEventID=179&amp;GameID=0021600782&amp;Season=2016-17&amp;flag=1&amp;title=Leonard%2026'%203PT%20Pullup%20Jump%20Shot%20(10%20PTS)", "Leonard 26' 3PT Pullup Jump Shot (10 PTS)")</f>
        <v>Leonard 26' 3PT Pullup Jump Shot (10 PTS)</v>
      </c>
      <c r="L2471" s="2" t="str">
        <f>HYPERLINK("https://www.nba.com/game/...-vs-...-0021600782/play-by-play?watchFullGame=true", "SAS vs PHI - Q2 05:39.00")</f>
        <v>SAS vs PHI - Q2 05:39.00</v>
      </c>
      <c r="M2471">
        <v>26</v>
      </c>
      <c r="N2471">
        <v>-25</v>
      </c>
      <c r="O2471">
        <v>257</v>
      </c>
      <c r="P2471">
        <v>-25</v>
      </c>
      <c r="Q2471">
        <v>257</v>
      </c>
      <c r="R2471" t="s">
        <v>21</v>
      </c>
      <c r="S2471" t="s">
        <v>21</v>
      </c>
    </row>
    <row r="2472" spans="1:19" hidden="1" x14ac:dyDescent="0.25">
      <c r="A2472">
        <v>21500653</v>
      </c>
      <c r="B2472" t="s">
        <v>26</v>
      </c>
      <c r="C2472" t="s">
        <v>19</v>
      </c>
      <c r="D2472">
        <v>14</v>
      </c>
      <c r="E2472">
        <v>12</v>
      </c>
      <c r="F2472">
        <v>2</v>
      </c>
      <c r="G2472">
        <v>1</v>
      </c>
      <c r="H2472" s="1">
        <v>4.1203703703703706E-3</v>
      </c>
      <c r="I2472">
        <v>2015</v>
      </c>
      <c r="J2472" t="s">
        <v>20</v>
      </c>
      <c r="K2472" s="2" t="str">
        <f>HYPERLINK("https://www.nba.com/stats/events?CFID=&amp;CFPARAMS=&amp;GameEventID=52&amp;GameID=0021500653&amp;Season=2015-16&amp;flag=1&amp;title=Leonard%2026'%203PT%20Jump%20Shot%20(6%20PTS)%20(Green%201%20AST)", "Leonard 26' 3PT Jump Shot (6 PTS) (Green 1 AST)")</f>
        <v>Leonard 26' 3PT Jump Shot (6 PTS) (Green 1 AST)</v>
      </c>
      <c r="L2472" s="2" t="str">
        <f>HYPERLINK("https://www.nba.com/game/...-vs-...-0021500653/play-by-play?watchFullGame=true", "SAS vs LAL - Q1 05:56.00")</f>
        <v>SAS vs LAL - Q1 05:56.00</v>
      </c>
      <c r="M2472">
        <v>26</v>
      </c>
      <c r="N2472">
        <v>-45</v>
      </c>
      <c r="O2472">
        <v>252</v>
      </c>
      <c r="P2472">
        <v>-45</v>
      </c>
      <c r="Q2472">
        <v>252</v>
      </c>
      <c r="R2472" t="s">
        <v>21</v>
      </c>
      <c r="S2472" t="s">
        <v>21</v>
      </c>
    </row>
    <row r="2473" spans="1:19" hidden="1" x14ac:dyDescent="0.25">
      <c r="A2473">
        <v>41800211</v>
      </c>
      <c r="B2473" t="s">
        <v>26</v>
      </c>
      <c r="C2473" t="s">
        <v>39</v>
      </c>
      <c r="D2473">
        <v>81</v>
      </c>
      <c r="E2473">
        <v>64</v>
      </c>
      <c r="F2473">
        <v>17</v>
      </c>
      <c r="G2473">
        <v>3</v>
      </c>
      <c r="H2473" s="1">
        <v>4.1898148148148146E-3</v>
      </c>
      <c r="I2473" t="s">
        <v>60</v>
      </c>
      <c r="J2473" t="s">
        <v>48</v>
      </c>
      <c r="K2473" s="2" t="str">
        <f>HYPERLINK("https://www.nba.com/stats/events?CFID=&amp;CFPARAMS=&amp;GameEventID=384&amp;GameID=0041800211&amp;Season=2018-19&amp;flag=1&amp;title=Leonard%2026'%203PT%20Step%20Back%20Jump%20Shot%20(33%20PTS)", "Leonard 26' 3PT Step Back Jump Shot (33 PTS)")</f>
        <v>Leonard 26' 3PT Step Back Jump Shot (33 PTS)</v>
      </c>
      <c r="L2473" s="2" t="str">
        <f>HYPERLINK("https://www.nba.com/game/...-vs-...-0041800211/play-by-play?watchFullGame=true", "TOR vs PHI - Q3 06:02.00")</f>
        <v>TOR vs PHI - Q3 06:02.00</v>
      </c>
      <c r="M2473">
        <v>26</v>
      </c>
      <c r="N2473">
        <v>38</v>
      </c>
      <c r="O2473">
        <v>259</v>
      </c>
      <c r="P2473">
        <v>38</v>
      </c>
      <c r="Q2473">
        <v>259</v>
      </c>
      <c r="R2473" t="s">
        <v>21</v>
      </c>
      <c r="S2473" t="s">
        <v>21</v>
      </c>
    </row>
    <row r="2474" spans="1:19" hidden="1" x14ac:dyDescent="0.25">
      <c r="A2474">
        <v>21600053</v>
      </c>
      <c r="B2474" t="s">
        <v>26</v>
      </c>
      <c r="C2474" t="s">
        <v>19</v>
      </c>
      <c r="D2474">
        <v>37</v>
      </c>
      <c r="E2474">
        <v>47</v>
      </c>
      <c r="F2474">
        <v>10</v>
      </c>
      <c r="G2474">
        <v>2</v>
      </c>
      <c r="H2474" s="1">
        <v>4.2245370370370371E-3</v>
      </c>
      <c r="I2474">
        <v>2016</v>
      </c>
      <c r="J2474" t="s">
        <v>20</v>
      </c>
      <c r="K2474" s="2" t="str">
        <f>HYPERLINK("https://www.nba.com/stats/events?CFID=&amp;CFPARAMS=&amp;GameEventID=171&amp;GameID=0021600053&amp;Season=2016-17&amp;flag=1&amp;title=Leonard%2026'%203PT%20Jump%20Shot%20(11%20PTS)%20(Parker%204%20AST)", "Leonard 26' 3PT Jump Shot (11 PTS) (Parker 4 AST)")</f>
        <v>Leonard 26' 3PT Jump Shot (11 PTS) (Parker 4 AST)</v>
      </c>
      <c r="L2474" s="2" t="str">
        <f>HYPERLINK("https://www.nba.com/game/...-vs-...-0021600053/play-by-play?watchFullGame=true", "SAS vs UTA - Q2 06:05.00")</f>
        <v>SAS vs UTA - Q2 06:05.00</v>
      </c>
      <c r="M2474">
        <v>26</v>
      </c>
      <c r="N2474">
        <v>138</v>
      </c>
      <c r="O2474">
        <v>224</v>
      </c>
      <c r="P2474">
        <v>138</v>
      </c>
      <c r="Q2474">
        <v>224</v>
      </c>
      <c r="R2474" t="s">
        <v>21</v>
      </c>
      <c r="S2474" t="s">
        <v>21</v>
      </c>
    </row>
    <row r="2475" spans="1:19" hidden="1" x14ac:dyDescent="0.25">
      <c r="A2475">
        <v>21600525</v>
      </c>
      <c r="B2475" t="s">
        <v>26</v>
      </c>
      <c r="C2475" t="s">
        <v>19</v>
      </c>
      <c r="D2475">
        <v>21</v>
      </c>
      <c r="E2475">
        <v>8</v>
      </c>
      <c r="F2475">
        <v>13</v>
      </c>
      <c r="G2475">
        <v>1</v>
      </c>
      <c r="H2475" s="1">
        <v>4.3287037037037035E-3</v>
      </c>
      <c r="I2475">
        <v>2016</v>
      </c>
      <c r="J2475" t="s">
        <v>20</v>
      </c>
      <c r="K2475" s="2" t="str">
        <f>HYPERLINK("https://www.nba.com/stats/events?CFID=&amp;CFPARAMS=&amp;GameEventID=48&amp;GameID=0021600525&amp;Season=2016-17&amp;flag=1&amp;title=Leonard%2026'%203PT%20Jump%20Shot%20(7%20PTS)%20(Aldridge%202%20AST)", "Leonard 26' 3PT Jump Shot (7 PTS) (Aldridge 2 AST)")</f>
        <v>Leonard 26' 3PT Jump Shot (7 PTS) (Aldridge 2 AST)</v>
      </c>
      <c r="L2475" s="2" t="str">
        <f>HYPERLINK("https://www.nba.com/game/...-vs-...-0021600525/play-by-play?watchFullGame=true", "SAS vs TOR - Q1 06:14.00")</f>
        <v>SAS vs TOR - Q1 06:14.00</v>
      </c>
      <c r="M2475">
        <v>26</v>
      </c>
      <c r="N2475">
        <v>-19</v>
      </c>
      <c r="O2475">
        <v>262</v>
      </c>
      <c r="P2475">
        <v>-19</v>
      </c>
      <c r="Q2475">
        <v>262</v>
      </c>
      <c r="R2475" t="s">
        <v>21</v>
      </c>
      <c r="S2475" t="s">
        <v>21</v>
      </c>
    </row>
    <row r="2476" spans="1:19" hidden="1" x14ac:dyDescent="0.25">
      <c r="A2476">
        <v>21501018</v>
      </c>
      <c r="B2476" t="s">
        <v>26</v>
      </c>
      <c r="C2476" t="s">
        <v>19</v>
      </c>
      <c r="D2476">
        <v>78</v>
      </c>
      <c r="E2476">
        <v>65</v>
      </c>
      <c r="F2476">
        <v>13</v>
      </c>
      <c r="G2476">
        <v>3</v>
      </c>
      <c r="H2476" s="1">
        <v>4.340277777777778E-3</v>
      </c>
      <c r="I2476">
        <v>2015</v>
      </c>
      <c r="J2476" t="s">
        <v>20</v>
      </c>
      <c r="K2476" s="2" t="str">
        <f>HYPERLINK("https://www.nba.com/stats/events?CFID=&amp;CFPARAMS=&amp;GameEventID=346&amp;GameID=0021501018&amp;Season=2015-16&amp;flag=1&amp;title=Leonard%2026'%203PT%20Jump%20Shot%20(14%20PTS)%20(Parker%2015%20AST)", "Leonard 26' 3PT Jump Shot (14 PTS) (Parker 15 AST)")</f>
        <v>Leonard 26' 3PT Jump Shot (14 PTS) (Parker 15 AST)</v>
      </c>
      <c r="L2476" s="2" t="str">
        <f>HYPERLINK("https://www.nba.com/game/...-vs-...-0021501018/play-by-play?watchFullGame=true", "SAS vs POR - Q3 06:15.00")</f>
        <v>SAS vs POR - Q3 06:15.00</v>
      </c>
      <c r="M2476">
        <v>26</v>
      </c>
      <c r="N2476">
        <v>-196</v>
      </c>
      <c r="O2476">
        <v>169</v>
      </c>
      <c r="P2476">
        <v>-196</v>
      </c>
      <c r="Q2476">
        <v>169</v>
      </c>
      <c r="R2476" t="s">
        <v>21</v>
      </c>
      <c r="S2476" t="s">
        <v>21</v>
      </c>
    </row>
    <row r="2477" spans="1:19" hidden="1" x14ac:dyDescent="0.25">
      <c r="A2477">
        <v>41800114</v>
      </c>
      <c r="B2477" t="s">
        <v>26</v>
      </c>
      <c r="C2477" t="s">
        <v>19</v>
      </c>
      <c r="D2477">
        <v>68</v>
      </c>
      <c r="E2477">
        <v>52</v>
      </c>
      <c r="F2477">
        <v>16</v>
      </c>
      <c r="G2477">
        <v>3</v>
      </c>
      <c r="H2477" s="1">
        <v>4.340277777777778E-3</v>
      </c>
      <c r="I2477" t="s">
        <v>60</v>
      </c>
      <c r="J2477" t="s">
        <v>48</v>
      </c>
      <c r="K2477" s="2" t="str">
        <f>HYPERLINK("https://www.nba.com/stats/events?CFID=&amp;CFPARAMS=&amp;GameEventID=362&amp;GameID=0041800114&amp;Season=2018-19&amp;flag=1&amp;title=Leonard%2026'%203PT%20Jump%20Shot%20(25%20PTS)%20(Green%202%20AST)", "Leonard 26' 3PT Jump Shot (25 PTS) (Green 2 AST)")</f>
        <v>Leonard 26' 3PT Jump Shot (25 PTS) (Green 2 AST)</v>
      </c>
      <c r="L2477" s="2" t="str">
        <f>HYPERLINK("https://www.nba.com/game/...-vs-...-0041800114/play-by-play?watchFullGame=true", "TOR vs ORL - Q3 06:15.00")</f>
        <v>TOR vs ORL - Q3 06:15.00</v>
      </c>
      <c r="M2477">
        <v>26</v>
      </c>
      <c r="N2477">
        <v>-138</v>
      </c>
      <c r="O2477">
        <v>225</v>
      </c>
      <c r="P2477">
        <v>-138</v>
      </c>
      <c r="Q2477">
        <v>225</v>
      </c>
      <c r="R2477" t="s">
        <v>21</v>
      </c>
      <c r="S2477" t="s">
        <v>21</v>
      </c>
    </row>
    <row r="2478" spans="1:19" hidden="1" x14ac:dyDescent="0.25">
      <c r="A2478">
        <v>21700573</v>
      </c>
      <c r="B2478" t="s">
        <v>26</v>
      </c>
      <c r="C2478" t="s">
        <v>19</v>
      </c>
      <c r="D2478">
        <v>39</v>
      </c>
      <c r="E2478">
        <v>35</v>
      </c>
      <c r="F2478">
        <v>4</v>
      </c>
      <c r="G2478">
        <v>2</v>
      </c>
      <c r="H2478" s="1">
        <v>4.340277777777778E-3</v>
      </c>
      <c r="I2478">
        <v>2017</v>
      </c>
      <c r="J2478" t="s">
        <v>20</v>
      </c>
      <c r="K2478" s="2" t="str">
        <f>HYPERLINK("https://www.nba.com/stats/events?CFID=&amp;CFPARAMS=&amp;GameEventID=228&amp;GameID=0021700573&amp;Season=2017-18&amp;flag=1&amp;title=Leonard%2026'%203PT%20Jump%20Shot%20(13%20PTS)", "Leonard 26' 3PT Jump Shot (13 PTS)")</f>
        <v>Leonard 26' 3PT Jump Shot (13 PTS)</v>
      </c>
      <c r="L2478" s="2" t="str">
        <f>HYPERLINK("https://www.nba.com/game/...-vs-...-0021700573/play-by-play?watchFullGame=true", "SAS vs PHX - Q2 06:15.00")</f>
        <v>SAS vs PHX - Q2 06:15.00</v>
      </c>
      <c r="M2478">
        <v>26</v>
      </c>
      <c r="N2478">
        <v>119</v>
      </c>
      <c r="O2478">
        <v>227</v>
      </c>
      <c r="P2478">
        <v>119</v>
      </c>
      <c r="Q2478">
        <v>227</v>
      </c>
      <c r="R2478" t="s">
        <v>21</v>
      </c>
      <c r="S2478" t="s">
        <v>21</v>
      </c>
    </row>
    <row r="2479" spans="1:19" hidden="1" x14ac:dyDescent="0.25">
      <c r="A2479">
        <v>21600353</v>
      </c>
      <c r="B2479" t="s">
        <v>26</v>
      </c>
      <c r="C2479" t="s">
        <v>19</v>
      </c>
      <c r="D2479">
        <v>83</v>
      </c>
      <c r="E2479">
        <v>63</v>
      </c>
      <c r="F2479">
        <v>20</v>
      </c>
      <c r="G2479">
        <v>3</v>
      </c>
      <c r="H2479" s="1">
        <v>4.3518518518518515E-3</v>
      </c>
      <c r="I2479">
        <v>2016</v>
      </c>
      <c r="J2479" t="s">
        <v>20</v>
      </c>
      <c r="K2479" s="2" t="str">
        <f>HYPERLINK("https://www.nba.com/stats/events?CFID=&amp;CFPARAMS=&amp;GameEventID=310&amp;GameID=0021600353&amp;Season=2016-17&amp;flag=1&amp;title=Leonard%2026'%203PT%20Jump%20Shot%20(25%20PTS)%20(Parker%207%20AST)", "Leonard 26' 3PT Jump Shot (25 PTS) (Parker 7 AST)")</f>
        <v>Leonard 26' 3PT Jump Shot (25 PTS) (Parker 7 AST)</v>
      </c>
      <c r="L2479" s="2" t="str">
        <f>HYPERLINK("https://www.nba.com/game/...-vs-...-0021600353/play-by-play?watchFullGame=true", "SAS vs BKN - Q3 06:16.00")</f>
        <v>SAS vs BKN - Q3 06:16.00</v>
      </c>
      <c r="M2479">
        <v>26</v>
      </c>
      <c r="N2479">
        <v>9</v>
      </c>
      <c r="O2479">
        <v>264</v>
      </c>
      <c r="P2479">
        <v>9</v>
      </c>
      <c r="Q2479">
        <v>264</v>
      </c>
      <c r="R2479" t="s">
        <v>21</v>
      </c>
      <c r="S2479" t="s">
        <v>21</v>
      </c>
    </row>
    <row r="2480" spans="1:19" hidden="1" x14ac:dyDescent="0.25">
      <c r="A2480">
        <v>21800019</v>
      </c>
      <c r="B2480" t="s">
        <v>26</v>
      </c>
      <c r="C2480" t="s">
        <v>19</v>
      </c>
      <c r="D2480">
        <v>95</v>
      </c>
      <c r="E2480">
        <v>89</v>
      </c>
      <c r="F2480">
        <v>6</v>
      </c>
      <c r="G2480">
        <v>4</v>
      </c>
      <c r="H2480" s="1">
        <v>4.3518518518518515E-3</v>
      </c>
      <c r="I2480">
        <v>2018</v>
      </c>
      <c r="J2480" t="s">
        <v>48</v>
      </c>
      <c r="K2480" s="2" t="str">
        <f>HYPERLINK("https://www.nba.com/stats/events?CFID=&amp;CFPARAMS=&amp;GameEventID=587&amp;GameID=0021800019&amp;Season=2018-19&amp;flag=1&amp;title=Leonard%2026'%203PT%20Jump%20Shot%20(27%20PTS)%20(VanVleet%205%20AST)", "Leonard 26' 3PT Jump Shot (27 PTS) (VanVleet 5 AST)")</f>
        <v>Leonard 26' 3PT Jump Shot (27 PTS) (VanVleet 5 AST)</v>
      </c>
      <c r="L2480" s="2" t="str">
        <f>HYPERLINK("https://www.nba.com/game/...-vs-...-0021800019/play-by-play?watchFullGame=true", "TOR vs BOS - Q4 06:16.00")</f>
        <v>TOR vs BOS - Q4 06:16.00</v>
      </c>
      <c r="M2480">
        <v>26</v>
      </c>
      <c r="N2480">
        <v>32</v>
      </c>
      <c r="O2480">
        <v>256</v>
      </c>
      <c r="P2480">
        <v>32</v>
      </c>
      <c r="Q2480">
        <v>256</v>
      </c>
      <c r="R2480" t="s">
        <v>21</v>
      </c>
      <c r="S2480" t="s">
        <v>21</v>
      </c>
    </row>
    <row r="2481" spans="1:19" hidden="1" x14ac:dyDescent="0.25">
      <c r="A2481">
        <v>41800211</v>
      </c>
      <c r="B2481" t="s">
        <v>26</v>
      </c>
      <c r="C2481" t="s">
        <v>36</v>
      </c>
      <c r="D2481">
        <v>18</v>
      </c>
      <c r="E2481">
        <v>11</v>
      </c>
      <c r="F2481">
        <v>7</v>
      </c>
      <c r="G2481">
        <v>1</v>
      </c>
      <c r="H2481" s="1">
        <v>4.3750000000000004E-3</v>
      </c>
      <c r="I2481" t="s">
        <v>60</v>
      </c>
      <c r="J2481" t="s">
        <v>48</v>
      </c>
      <c r="K2481" s="2" t="str">
        <f>HYPERLINK("https://www.nba.com/stats/events?CFID=&amp;CFPARAMS=&amp;GameEventID=64&amp;GameID=0041800211&amp;Season=2018-19&amp;flag=1&amp;title=Leonard%2026'%203PT%20Pullup%20Jump%20Shot%20(9%20PTS)", "Leonard 26' 3PT Pullup Jump Shot (9 PTS)")</f>
        <v>Leonard 26' 3PT Pullup Jump Shot (9 PTS)</v>
      </c>
      <c r="L2481" s="2" t="str">
        <f>HYPERLINK("https://www.nba.com/game/...-vs-...-0041800211/play-by-play?watchFullGame=true", "TOR vs PHI - Q1 06:18.00")</f>
        <v>TOR vs PHI - Q1 06:18.00</v>
      </c>
      <c r="M2481">
        <v>26</v>
      </c>
      <c r="N2481">
        <v>-101</v>
      </c>
      <c r="O2481">
        <v>239</v>
      </c>
      <c r="P2481">
        <v>-101</v>
      </c>
      <c r="Q2481">
        <v>239</v>
      </c>
      <c r="R2481" t="s">
        <v>21</v>
      </c>
      <c r="S2481" t="s">
        <v>21</v>
      </c>
    </row>
    <row r="2482" spans="1:19" hidden="1" x14ac:dyDescent="0.25">
      <c r="A2482">
        <v>21800506</v>
      </c>
      <c r="B2482" t="s">
        <v>26</v>
      </c>
      <c r="C2482" t="s">
        <v>19</v>
      </c>
      <c r="D2482">
        <v>59</v>
      </c>
      <c r="E2482">
        <v>69</v>
      </c>
      <c r="F2482">
        <v>10</v>
      </c>
      <c r="G2482">
        <v>3</v>
      </c>
      <c r="H2482" s="1">
        <v>4.3981481481481484E-3</v>
      </c>
      <c r="I2482">
        <v>2018</v>
      </c>
      <c r="J2482" t="s">
        <v>48</v>
      </c>
      <c r="K2482" s="2" t="str">
        <f>HYPERLINK("https://www.nba.com/stats/events?CFID=&amp;CFPARAMS=&amp;GameEventID=368&amp;GameID=0021800506&amp;Season=2018-19&amp;flag=1&amp;title=Leonard%2026'%203PT%20Jump%20Shot%20(16%20PTS)", "Leonard 26' 3PT Jump Shot (16 PTS)")</f>
        <v>Leonard 26' 3PT Jump Shot (16 PTS)</v>
      </c>
      <c r="L2482" s="2" t="str">
        <f>HYPERLINK("https://www.nba.com/game/...-vs-...-0021800506/play-by-play?watchFullGame=true", "TOR vs MIA - Q3 06:20.00")</f>
        <v>TOR vs MIA - Q3 06:20.00</v>
      </c>
      <c r="M2482">
        <v>26</v>
      </c>
      <c r="N2482">
        <v>-19</v>
      </c>
      <c r="O2482">
        <v>262</v>
      </c>
      <c r="P2482">
        <v>-19</v>
      </c>
      <c r="Q2482">
        <v>262</v>
      </c>
      <c r="R2482" t="s">
        <v>21</v>
      </c>
      <c r="S2482" t="s">
        <v>21</v>
      </c>
    </row>
    <row r="2483" spans="1:19" hidden="1" x14ac:dyDescent="0.25">
      <c r="A2483">
        <v>41800401</v>
      </c>
      <c r="B2483" t="s">
        <v>26</v>
      </c>
      <c r="C2483" t="s">
        <v>36</v>
      </c>
      <c r="D2483">
        <v>103</v>
      </c>
      <c r="E2483">
        <v>92</v>
      </c>
      <c r="F2483">
        <v>11</v>
      </c>
      <c r="G2483">
        <v>4</v>
      </c>
      <c r="H2483" s="1">
        <v>4.409722222222222E-3</v>
      </c>
      <c r="I2483" t="s">
        <v>60</v>
      </c>
      <c r="J2483" t="s">
        <v>48</v>
      </c>
      <c r="K2483" s="2" t="str">
        <f>HYPERLINK("https://www.nba.com/stats/events?CFID=&amp;CFPARAMS=&amp;GameEventID=599&amp;GameID=0041800401&amp;Season=2018-19&amp;flag=1&amp;title=Leonard%2026'%203PT%20Pullup%20Jump%20Shot%20(21%20PTS)", "Leonard 26' 3PT Pullup Jump Shot (21 PTS)")</f>
        <v>Leonard 26' 3PT Pullup Jump Shot (21 PTS)</v>
      </c>
      <c r="L2483" s="2" t="str">
        <f>HYPERLINK("https://www.nba.com/game/...-vs-...-0041800401/play-by-play?watchFullGame=true", "TOR vs GSW - Q4 06:21.00")</f>
        <v>TOR vs GSW - Q4 06:21.00</v>
      </c>
      <c r="M2483">
        <v>26</v>
      </c>
      <c r="N2483">
        <v>158</v>
      </c>
      <c r="O2483">
        <v>211</v>
      </c>
      <c r="P2483">
        <v>158</v>
      </c>
      <c r="Q2483">
        <v>211</v>
      </c>
      <c r="R2483" t="s">
        <v>21</v>
      </c>
      <c r="S2483" t="s">
        <v>21</v>
      </c>
    </row>
    <row r="2484" spans="1:19" hidden="1" x14ac:dyDescent="0.25">
      <c r="A2484">
        <v>21500909</v>
      </c>
      <c r="B2484" t="s">
        <v>26</v>
      </c>
      <c r="C2484" t="s">
        <v>36</v>
      </c>
      <c r="D2484">
        <v>34</v>
      </c>
      <c r="E2484">
        <v>27</v>
      </c>
      <c r="F2484">
        <v>7</v>
      </c>
      <c r="G2484">
        <v>2</v>
      </c>
      <c r="H2484" s="1">
        <v>4.6990740740740743E-3</v>
      </c>
      <c r="I2484">
        <v>2015</v>
      </c>
      <c r="J2484" t="s">
        <v>20</v>
      </c>
      <c r="K2484" s="2" t="str">
        <f>HYPERLINK("https://www.nba.com/stats/events?CFID=&amp;CFPARAMS=&amp;GameEventID=166&amp;GameID=0021500909&amp;Season=2015-16&amp;flag=1&amp;title=Leonard%2026'%203PT%20Pullup%20Jump%20Shot%20(12%20PTS)", "Leonard 26' 3PT Pullup Jump Shot (12 PTS)")</f>
        <v>Leonard 26' 3PT Pullup Jump Shot (12 PTS)</v>
      </c>
      <c r="L2484" s="2" t="str">
        <f>HYPERLINK("https://www.nba.com/game/...-vs-...-0021500909/play-by-play?watchFullGame=true", "SAS vs NOP - Q2 06:46.00")</f>
        <v>SAS vs NOP - Q2 06:46.00</v>
      </c>
      <c r="M2484">
        <v>26</v>
      </c>
      <c r="N2484">
        <v>78</v>
      </c>
      <c r="O2484">
        <v>244</v>
      </c>
      <c r="P2484">
        <v>78</v>
      </c>
      <c r="Q2484">
        <v>244</v>
      </c>
      <c r="R2484" t="s">
        <v>21</v>
      </c>
      <c r="S2484" t="s">
        <v>21</v>
      </c>
    </row>
    <row r="2485" spans="1:19" hidden="1" x14ac:dyDescent="0.25">
      <c r="A2485">
        <v>21700550</v>
      </c>
      <c r="B2485" t="s">
        <v>26</v>
      </c>
      <c r="C2485" t="s">
        <v>19</v>
      </c>
      <c r="D2485">
        <v>64</v>
      </c>
      <c r="E2485">
        <v>59</v>
      </c>
      <c r="F2485">
        <v>5</v>
      </c>
      <c r="G2485">
        <v>3</v>
      </c>
      <c r="H2485" s="1">
        <v>4.6990740740740743E-3</v>
      </c>
      <c r="I2485">
        <v>2017</v>
      </c>
      <c r="J2485" t="s">
        <v>20</v>
      </c>
      <c r="K2485" s="2" t="str">
        <f>HYPERLINK("https://www.nba.com/stats/events?CFID=&amp;CFPARAMS=&amp;GameEventID=382&amp;GameID=0021700550&amp;Season=2017-18&amp;flag=1&amp;title=Leonard%2026'%203PT%20Jump%20Shot%20(21%20PTS)%20(Anderson%202%20AST)", "Leonard 26' 3PT Jump Shot (21 PTS) (Anderson 2 AST)")</f>
        <v>Leonard 26' 3PT Jump Shot (21 PTS) (Anderson 2 AST)</v>
      </c>
      <c r="L2485" s="2" t="str">
        <f>HYPERLINK("https://www.nba.com/game/...-vs-...-0021700550/play-by-play?watchFullGame=true", "SAS vs NYK - Q3 06:46.00")</f>
        <v>SAS vs NYK - Q3 06:46.00</v>
      </c>
      <c r="M2485">
        <v>26</v>
      </c>
      <c r="N2485">
        <v>170</v>
      </c>
      <c r="O2485">
        <v>193</v>
      </c>
      <c r="P2485">
        <v>170</v>
      </c>
      <c r="Q2485">
        <v>193</v>
      </c>
      <c r="R2485" t="s">
        <v>21</v>
      </c>
      <c r="S2485" t="s">
        <v>21</v>
      </c>
    </row>
    <row r="2486" spans="1:19" hidden="1" x14ac:dyDescent="0.25">
      <c r="A2486">
        <v>41800214</v>
      </c>
      <c r="B2486" t="s">
        <v>26</v>
      </c>
      <c r="C2486" t="s">
        <v>36</v>
      </c>
      <c r="D2486">
        <v>57</v>
      </c>
      <c r="E2486">
        <v>60</v>
      </c>
      <c r="F2486">
        <v>3</v>
      </c>
      <c r="G2486">
        <v>3</v>
      </c>
      <c r="H2486" s="1">
        <v>4.8148148148148152E-3</v>
      </c>
      <c r="I2486" t="s">
        <v>60</v>
      </c>
      <c r="J2486" t="s">
        <v>48</v>
      </c>
      <c r="K2486" s="2" t="str">
        <f>HYPERLINK("https://www.nba.com/stats/events?CFID=&amp;CFPARAMS=&amp;GameEventID=390&amp;GameID=0041800214&amp;Season=2018-19&amp;flag=1&amp;title=Leonard%2026'%203PT%20Pullup%20Jump%20Shot%20(23%20PTS)", "Leonard 26' 3PT Pullup Jump Shot (23 PTS)")</f>
        <v>Leonard 26' 3PT Pullup Jump Shot (23 PTS)</v>
      </c>
      <c r="L2486" s="2" t="str">
        <f>HYPERLINK("https://www.nba.com/game/...-vs-...-0041800214/play-by-play?watchFullGame=true", "TOR vs PHI - Q3 06:56.00")</f>
        <v>TOR vs PHI - Q3 06:56.00</v>
      </c>
      <c r="M2486">
        <v>26</v>
      </c>
      <c r="N2486">
        <v>-73</v>
      </c>
      <c r="O2486">
        <v>246</v>
      </c>
      <c r="P2486">
        <v>-73</v>
      </c>
      <c r="Q2486">
        <v>246</v>
      </c>
      <c r="R2486" t="s">
        <v>21</v>
      </c>
      <c r="S2486" t="s">
        <v>21</v>
      </c>
    </row>
    <row r="2487" spans="1:19" hidden="1" x14ac:dyDescent="0.25">
      <c r="A2487">
        <v>21800519</v>
      </c>
      <c r="B2487" t="s">
        <v>26</v>
      </c>
      <c r="C2487" t="s">
        <v>19</v>
      </c>
      <c r="D2487">
        <v>16</v>
      </c>
      <c r="E2487">
        <v>9</v>
      </c>
      <c r="F2487">
        <v>7</v>
      </c>
      <c r="G2487">
        <v>1</v>
      </c>
      <c r="H2487" s="1">
        <v>4.8148148148148152E-3</v>
      </c>
      <c r="I2487">
        <v>2018</v>
      </c>
      <c r="J2487" t="s">
        <v>48</v>
      </c>
      <c r="K2487" s="2" t="str">
        <f>HYPERLINK("https://www.nba.com/stats/events?CFID=&amp;CFPARAMS=&amp;GameEventID=59&amp;GameID=0021800519&amp;Season=2018-19&amp;flag=1&amp;title=Leonard%2026'%203PT%20Jump%20Shot%20(5%20PTS)%20(Green%202%20AST)", "Leonard 26' 3PT Jump Shot (5 PTS) (Green 2 AST)")</f>
        <v>Leonard 26' 3PT Jump Shot (5 PTS) (Green 2 AST)</v>
      </c>
      <c r="L2487" s="2" t="str">
        <f>HYPERLINK("https://www.nba.com/game/...-vs-...-0021800519/play-by-play?watchFullGame=true", "TOR vs ORL - Q1 06:56.00")</f>
        <v>TOR vs ORL - Q1 06:56.00</v>
      </c>
      <c r="M2487">
        <v>26</v>
      </c>
      <c r="N2487">
        <v>47</v>
      </c>
      <c r="O2487">
        <v>254</v>
      </c>
      <c r="P2487">
        <v>47</v>
      </c>
      <c r="Q2487">
        <v>254</v>
      </c>
      <c r="R2487" t="s">
        <v>21</v>
      </c>
      <c r="S2487" t="s">
        <v>21</v>
      </c>
    </row>
    <row r="2488" spans="1:19" hidden="1" x14ac:dyDescent="0.25">
      <c r="A2488">
        <v>41200402</v>
      </c>
      <c r="B2488" t="s">
        <v>26</v>
      </c>
      <c r="C2488" t="s">
        <v>19</v>
      </c>
      <c r="D2488">
        <v>56</v>
      </c>
      <c r="E2488">
        <v>56</v>
      </c>
      <c r="F2488">
        <v>0</v>
      </c>
      <c r="G2488">
        <v>3</v>
      </c>
      <c r="H2488" s="1">
        <v>4.9768518518518521E-3</v>
      </c>
      <c r="I2488" t="s">
        <v>53</v>
      </c>
      <c r="J2488" t="s">
        <v>20</v>
      </c>
      <c r="K2488" s="2" t="str">
        <f>HYPERLINK("https://www.nba.com/stats/events?CFID=&amp;CFPARAMS=&amp;GameEventID=270&amp;GameID=0041200402&amp;Season=2012-13&amp;flag=1&amp;title=Leonard%2026'%203PT%20Jump%20Shot%20(7%20PTS)%20(Parker%205%20AST)", "Leonard 26' 3PT Jump Shot (7 PTS) (Parker 5 AST)")</f>
        <v>Leonard 26' 3PT Jump Shot (7 PTS) (Parker 5 AST)</v>
      </c>
      <c r="L2488" s="2" t="str">
        <f>HYPERLINK("https://www.nba.com/game/...-vs-...-0041200402/play-by-play?watchFullGame=true", "SAS vs MIA - Q3 07:10.00")</f>
        <v>SAS vs MIA - Q3 07:10.00</v>
      </c>
      <c r="M2488">
        <v>26</v>
      </c>
      <c r="N2488">
        <v>-34</v>
      </c>
      <c r="O2488">
        <v>255</v>
      </c>
      <c r="P2488">
        <v>-34</v>
      </c>
      <c r="Q2488">
        <v>255</v>
      </c>
      <c r="R2488" t="s">
        <v>21</v>
      </c>
      <c r="S2488" t="s">
        <v>21</v>
      </c>
    </row>
    <row r="2489" spans="1:19" hidden="1" x14ac:dyDescent="0.25">
      <c r="A2489">
        <v>41300403</v>
      </c>
      <c r="B2489" t="s">
        <v>26</v>
      </c>
      <c r="C2489" t="s">
        <v>19</v>
      </c>
      <c r="D2489">
        <v>18</v>
      </c>
      <c r="E2489">
        <v>10</v>
      </c>
      <c r="F2489">
        <v>8</v>
      </c>
      <c r="G2489">
        <v>1</v>
      </c>
      <c r="H2489" s="1">
        <v>5.1273148148148146E-3</v>
      </c>
      <c r="I2489" t="s">
        <v>55</v>
      </c>
      <c r="J2489" t="s">
        <v>20</v>
      </c>
      <c r="K2489" s="2" t="str">
        <f>HYPERLINK("https://www.nba.com/stats/events?CFID=&amp;CFPARAMS=&amp;GameEventID=39&amp;GameID=0041300403&amp;Season=2013-14&amp;flag=1&amp;title=Leonard%2026'%203PT%20Jump%20Shot%20(10%20PTS)%20(Green%202%20AST)", "Leonard 26' 3PT Jump Shot (10 PTS) (Green 2 AST)")</f>
        <v>Leonard 26' 3PT Jump Shot (10 PTS) (Green 2 AST)</v>
      </c>
      <c r="L2489" s="2" t="str">
        <f>HYPERLINK("https://www.nba.com/game/...-vs-...-0041300403/play-by-play?watchFullGame=true", "SAS vs MIA - Q1 07:23.00")</f>
        <v>SAS vs MIA - Q1 07:23.00</v>
      </c>
      <c r="M2489">
        <v>26</v>
      </c>
      <c r="N2489">
        <v>176</v>
      </c>
      <c r="O2489">
        <v>186</v>
      </c>
      <c r="P2489">
        <v>176</v>
      </c>
      <c r="Q2489">
        <v>186</v>
      </c>
      <c r="R2489" t="s">
        <v>21</v>
      </c>
      <c r="S2489" t="s">
        <v>21</v>
      </c>
    </row>
    <row r="2490" spans="1:19" hidden="1" x14ac:dyDescent="0.25">
      <c r="A2490">
        <v>21800100</v>
      </c>
      <c r="B2490" t="s">
        <v>26</v>
      </c>
      <c r="C2490" t="s">
        <v>19</v>
      </c>
      <c r="D2490">
        <v>10</v>
      </c>
      <c r="E2490">
        <v>11</v>
      </c>
      <c r="F2490">
        <v>1</v>
      </c>
      <c r="G2490">
        <v>1</v>
      </c>
      <c r="H2490" s="1">
        <v>5.2314814814814811E-3</v>
      </c>
      <c r="I2490">
        <v>2018</v>
      </c>
      <c r="J2490" t="s">
        <v>48</v>
      </c>
      <c r="K2490" s="2" t="str">
        <f>HYPERLINK("https://www.nba.com/stats/events?CFID=&amp;CFPARAMS=&amp;GameEventID=61&amp;GameID=0021800100&amp;Season=2018-19&amp;flag=1&amp;title=Leonard%2026'%203PT%20Jump%20Shot%20(6%20PTS)%20(Lowry%201%20AST)", "Leonard 26' 3PT Jump Shot (6 PTS) (Lowry 1 AST)")</f>
        <v>Leonard 26' 3PT Jump Shot (6 PTS) (Lowry 1 AST)</v>
      </c>
      <c r="L2490" s="2" t="str">
        <f>HYPERLINK("https://www.nba.com/game/...-vs-...-0021800100/play-by-play?watchFullGame=true", "TOR vs PHI - Q1 07:32.00")</f>
        <v>TOR vs PHI - Q1 07:32.00</v>
      </c>
      <c r="M2490">
        <v>26</v>
      </c>
      <c r="N2490">
        <v>-157</v>
      </c>
      <c r="O2490">
        <v>204</v>
      </c>
      <c r="P2490">
        <v>-157</v>
      </c>
      <c r="Q2490">
        <v>204</v>
      </c>
      <c r="R2490" t="s">
        <v>21</v>
      </c>
      <c r="S2490" t="s">
        <v>21</v>
      </c>
    </row>
    <row r="2491" spans="1:19" hidden="1" x14ac:dyDescent="0.25">
      <c r="A2491">
        <v>21400774</v>
      </c>
      <c r="B2491" t="s">
        <v>26</v>
      </c>
      <c r="C2491" t="s">
        <v>19</v>
      </c>
      <c r="D2491">
        <v>18</v>
      </c>
      <c r="E2491">
        <v>10</v>
      </c>
      <c r="F2491">
        <v>8</v>
      </c>
      <c r="G2491">
        <v>1</v>
      </c>
      <c r="H2491" s="1">
        <v>5.2314814814814811E-3</v>
      </c>
      <c r="I2491">
        <v>2014</v>
      </c>
      <c r="J2491" t="s">
        <v>20</v>
      </c>
      <c r="K2491" s="2" t="str">
        <f>HYPERLINK("https://www.nba.com/stats/events?CFID=&amp;CFPARAMS=&amp;GameEventID=31&amp;GameID=0021400774&amp;Season=2014-15&amp;flag=1&amp;title=Leonard%2026'%203PT%20Jump%20Shot%20(5%20PTS)%20(Parker%203%20AST)", "Leonard 26' 3PT Jump Shot (5 PTS) (Parker 3 AST)")</f>
        <v>Leonard 26' 3PT Jump Shot (5 PTS) (Parker 3 AST)</v>
      </c>
      <c r="L2491" s="2" t="str">
        <f>HYPERLINK("https://www.nba.com/game/...-vs-...-0021400774/play-by-play?watchFullGame=true", "SAS vs IND - Q1 07:32.00")</f>
        <v>SAS vs IND - Q1 07:32.00</v>
      </c>
      <c r="M2491">
        <v>26</v>
      </c>
      <c r="N2491">
        <v>203</v>
      </c>
      <c r="O2491">
        <v>164</v>
      </c>
      <c r="P2491">
        <v>203</v>
      </c>
      <c r="Q2491">
        <v>164</v>
      </c>
      <c r="R2491" t="s">
        <v>21</v>
      </c>
      <c r="S2491" t="s">
        <v>21</v>
      </c>
    </row>
    <row r="2492" spans="1:19" hidden="1" x14ac:dyDescent="0.25">
      <c r="A2492">
        <v>21300888</v>
      </c>
      <c r="B2492" t="s">
        <v>26</v>
      </c>
      <c r="C2492" t="s">
        <v>19</v>
      </c>
      <c r="D2492">
        <v>62</v>
      </c>
      <c r="E2492">
        <v>55</v>
      </c>
      <c r="F2492">
        <v>7</v>
      </c>
      <c r="G2492">
        <v>3</v>
      </c>
      <c r="H2492" s="1">
        <v>5.347222222222222E-3</v>
      </c>
      <c r="I2492">
        <v>2013</v>
      </c>
      <c r="J2492" t="s">
        <v>20</v>
      </c>
      <c r="K2492" s="2" t="str">
        <f>HYPERLINK("https://www.nba.com/stats/events?CFID=&amp;CFPARAMS=&amp;GameEventID=280&amp;GameID=0021300888&amp;Season=2013-14&amp;flag=1&amp;title=Leonard%2026'%203PT%20Jump%20Shot%20(13%20PTS)%20(Duncan%202%20AST)", "Leonard 26' 3PT Jump Shot (13 PTS) (Duncan 2 AST)")</f>
        <v>Leonard 26' 3PT Jump Shot (13 PTS) (Duncan 2 AST)</v>
      </c>
      <c r="L2492" s="2" t="str">
        <f>HYPERLINK("https://www.nba.com/game/...-vs-...-0021300888/play-by-play?watchFullGame=true", "SAS vs DAL - Q3 07:42.00")</f>
        <v>SAS vs DAL - Q3 07:42.00</v>
      </c>
      <c r="M2492">
        <v>26</v>
      </c>
      <c r="N2492">
        <v>-217</v>
      </c>
      <c r="O2492">
        <v>146</v>
      </c>
      <c r="P2492">
        <v>-217</v>
      </c>
      <c r="Q2492">
        <v>146</v>
      </c>
      <c r="R2492" t="s">
        <v>21</v>
      </c>
      <c r="S2492" t="s">
        <v>21</v>
      </c>
    </row>
    <row r="2493" spans="1:19" hidden="1" x14ac:dyDescent="0.25">
      <c r="A2493">
        <v>21601161</v>
      </c>
      <c r="B2493" t="s">
        <v>26</v>
      </c>
      <c r="C2493" t="s">
        <v>19</v>
      </c>
      <c r="D2493">
        <v>12</v>
      </c>
      <c r="E2493">
        <v>4</v>
      </c>
      <c r="F2493">
        <v>8</v>
      </c>
      <c r="G2493">
        <v>1</v>
      </c>
      <c r="H2493" s="1">
        <v>5.347222222222222E-3</v>
      </c>
      <c r="I2493">
        <v>2016</v>
      </c>
      <c r="J2493" t="s">
        <v>20</v>
      </c>
      <c r="K2493" s="2" t="str">
        <f>HYPERLINK("https://www.nba.com/stats/events?CFID=&amp;CFPARAMS=&amp;GameEventID=34&amp;GameID=0021601161&amp;Season=2016-17&amp;flag=1&amp;title=Leonard%2026'%203PT%20Jump%20Shot%20(3%20PTS)%20(Simmons%201%20AST)", "Leonard 26' 3PT Jump Shot (3 PTS) (Simmons 1 AST)")</f>
        <v>Leonard 26' 3PT Jump Shot (3 PTS) (Simmons 1 AST)</v>
      </c>
      <c r="L2493" s="2" t="str">
        <f>HYPERLINK("https://www.nba.com/game/...-vs-...-0021601161/play-by-play?watchFullGame=true", "SAS vs MEM - Q1 07:42.00")</f>
        <v>SAS vs MEM - Q1 07:42.00</v>
      </c>
      <c r="M2493">
        <v>26</v>
      </c>
      <c r="N2493">
        <v>10</v>
      </c>
      <c r="O2493">
        <v>262</v>
      </c>
      <c r="P2493">
        <v>10</v>
      </c>
      <c r="Q2493">
        <v>262</v>
      </c>
      <c r="R2493" t="s">
        <v>21</v>
      </c>
      <c r="S2493" t="s">
        <v>21</v>
      </c>
    </row>
    <row r="2494" spans="1:19" hidden="1" x14ac:dyDescent="0.25">
      <c r="A2494">
        <v>21800290</v>
      </c>
      <c r="B2494" t="s">
        <v>26</v>
      </c>
      <c r="C2494" t="s">
        <v>19</v>
      </c>
      <c r="D2494">
        <v>84</v>
      </c>
      <c r="E2494">
        <v>61</v>
      </c>
      <c r="F2494">
        <v>23</v>
      </c>
      <c r="G2494">
        <v>3</v>
      </c>
      <c r="H2494" s="1">
        <v>5.5671296296296293E-3</v>
      </c>
      <c r="I2494">
        <v>2018</v>
      </c>
      <c r="J2494" t="s">
        <v>48</v>
      </c>
      <c r="K2494" s="2" t="str">
        <f>HYPERLINK("https://www.nba.com/stats/events?CFID=&amp;CFPARAMS=&amp;GameEventID=386&amp;GameID=0021800290&amp;Season=2018-19&amp;flag=1&amp;title=Leonard%2026'%203PT%20Jump%20Shot%20(24%20PTS)", "Leonard 26' 3PT Jump Shot (24 PTS)")</f>
        <v>Leonard 26' 3PT Jump Shot (24 PTS)</v>
      </c>
      <c r="L2494" s="2" t="str">
        <f>HYPERLINK("https://www.nba.com/game/...-vs-...-0021800290/play-by-play?watchFullGame=true", "TOR vs MIA - Q3 08:01.00")</f>
        <v>TOR vs MIA - Q3 08:01.00</v>
      </c>
      <c r="M2494">
        <v>26</v>
      </c>
      <c r="N2494">
        <v>-163</v>
      </c>
      <c r="O2494">
        <v>203</v>
      </c>
      <c r="P2494">
        <v>-163</v>
      </c>
      <c r="Q2494">
        <v>203</v>
      </c>
      <c r="R2494" t="s">
        <v>21</v>
      </c>
      <c r="S2494" t="s">
        <v>21</v>
      </c>
    </row>
    <row r="2495" spans="1:19" hidden="1" x14ac:dyDescent="0.25">
      <c r="A2495">
        <v>21800359</v>
      </c>
      <c r="B2495" t="s">
        <v>26</v>
      </c>
      <c r="C2495" t="s">
        <v>19</v>
      </c>
      <c r="D2495">
        <v>32</v>
      </c>
      <c r="E2495">
        <v>33</v>
      </c>
      <c r="F2495">
        <v>1</v>
      </c>
      <c r="G2495">
        <v>2</v>
      </c>
      <c r="H2495" s="1">
        <v>5.5671296296296293E-3</v>
      </c>
      <c r="I2495">
        <v>2018</v>
      </c>
      <c r="J2495" t="s">
        <v>48</v>
      </c>
      <c r="K2495" s="2" t="str">
        <f>HYPERLINK("https://www.nba.com/stats/events?CFID=&amp;CFPARAMS=&amp;GameEventID=229&amp;GameID=0021800359&amp;Season=2018-19&amp;flag=1&amp;title=Leonard%2026'%203PT%20Jump%20Shot%20(14%20PTS)%20(VanVleet%201%20AST)", "Leonard 26' 3PT Jump Shot (14 PTS) (VanVleet 1 AST)")</f>
        <v>Leonard 26' 3PT Jump Shot (14 PTS) (VanVleet 1 AST)</v>
      </c>
      <c r="L2495" s="2" t="str">
        <f>HYPERLINK("https://www.nba.com/game/...-vs-...-0021800359/play-by-play?watchFullGame=true", "TOR vs PHI - Q2 08:01.00")</f>
        <v>TOR vs PHI - Q2 08:01.00</v>
      </c>
      <c r="M2495">
        <v>26</v>
      </c>
      <c r="N2495">
        <v>21</v>
      </c>
      <c r="O2495">
        <v>256</v>
      </c>
      <c r="P2495">
        <v>21</v>
      </c>
      <c r="Q2495">
        <v>256</v>
      </c>
      <c r="R2495" t="s">
        <v>21</v>
      </c>
      <c r="S2495" t="s">
        <v>21</v>
      </c>
    </row>
    <row r="2496" spans="1:19" hidden="1" x14ac:dyDescent="0.25">
      <c r="A2496">
        <v>21801072</v>
      </c>
      <c r="B2496" t="s">
        <v>26</v>
      </c>
      <c r="C2496" t="s">
        <v>39</v>
      </c>
      <c r="D2496">
        <v>10</v>
      </c>
      <c r="E2496">
        <v>8</v>
      </c>
      <c r="F2496">
        <v>2</v>
      </c>
      <c r="G2496">
        <v>1</v>
      </c>
      <c r="H2496" s="1">
        <v>5.7060185185185183E-3</v>
      </c>
      <c r="I2496">
        <v>2018</v>
      </c>
      <c r="J2496" t="s">
        <v>48</v>
      </c>
      <c r="K2496" s="2" t="str">
        <f>HYPERLINK("https://www.nba.com/stats/events?CFID=&amp;CFPARAMS=&amp;GameEventID=41&amp;GameID=0021801072&amp;Season=2018-19&amp;flag=1&amp;title=Leonard%2026'%203PT%20Step%20Back%20Jump%20Shot%20(3%20PTS)", "Leonard 26' 3PT Step Back Jump Shot (3 PTS)")</f>
        <v>Leonard 26' 3PT Step Back Jump Shot (3 PTS)</v>
      </c>
      <c r="L2496" s="2" t="str">
        <f>HYPERLINK("https://www.nba.com/game/...-vs-...-0021801072/play-by-play?watchFullGame=true", "TOR vs OKC - Q1 08:13.00")</f>
        <v>TOR vs OKC - Q1 08:13.00</v>
      </c>
      <c r="M2496">
        <v>26</v>
      </c>
      <c r="N2496">
        <v>-44</v>
      </c>
      <c r="O2496">
        <v>259</v>
      </c>
      <c r="P2496">
        <v>-44</v>
      </c>
      <c r="Q2496">
        <v>259</v>
      </c>
      <c r="R2496" t="s">
        <v>21</v>
      </c>
      <c r="S2496" t="s">
        <v>21</v>
      </c>
    </row>
    <row r="2497" spans="1:19" hidden="1" x14ac:dyDescent="0.25">
      <c r="A2497">
        <v>21500450</v>
      </c>
      <c r="B2497" t="s">
        <v>26</v>
      </c>
      <c r="C2497" t="s">
        <v>19</v>
      </c>
      <c r="D2497">
        <v>64</v>
      </c>
      <c r="E2497">
        <v>46</v>
      </c>
      <c r="F2497">
        <v>18</v>
      </c>
      <c r="G2497">
        <v>3</v>
      </c>
      <c r="H2497" s="1">
        <v>5.7060185185185183E-3</v>
      </c>
      <c r="I2497">
        <v>2015</v>
      </c>
      <c r="J2497" t="s">
        <v>20</v>
      </c>
      <c r="K2497" s="2" t="str">
        <f>HYPERLINK("https://www.nba.com/stats/events?CFID=&amp;CFPARAMS=&amp;GameEventID=268&amp;GameID=0021500450&amp;Season=2015-16&amp;flag=1&amp;title=Leonard%2026'%203PT%20Jump%20Shot%20(14%20PTS)%20(Green%201%20AST)", "Leonard 26' 3PT Jump Shot (14 PTS) (Green 1 AST)")</f>
        <v>Leonard 26' 3PT Jump Shot (14 PTS) (Green 1 AST)</v>
      </c>
      <c r="L2497" s="2" t="str">
        <f>HYPERLINK("https://www.nba.com/game/...-vs-...-0021500450/play-by-play?watchFullGame=true", "SAS vs DEN - Q3 08:13.00")</f>
        <v>SAS vs DEN - Q3 08:13.00</v>
      </c>
      <c r="M2497">
        <v>26</v>
      </c>
      <c r="N2497">
        <v>197</v>
      </c>
      <c r="O2497">
        <v>164</v>
      </c>
      <c r="P2497">
        <v>197</v>
      </c>
      <c r="Q2497">
        <v>164</v>
      </c>
      <c r="R2497" t="s">
        <v>21</v>
      </c>
      <c r="S2497" t="s">
        <v>21</v>
      </c>
    </row>
    <row r="2498" spans="1:19" hidden="1" x14ac:dyDescent="0.25">
      <c r="A2498">
        <v>21500960</v>
      </c>
      <c r="B2498" t="s">
        <v>26</v>
      </c>
      <c r="C2498" t="s">
        <v>36</v>
      </c>
      <c r="D2498">
        <v>39</v>
      </c>
      <c r="E2498">
        <v>33</v>
      </c>
      <c r="F2498">
        <v>6</v>
      </c>
      <c r="G2498">
        <v>2</v>
      </c>
      <c r="H2498" s="1">
        <v>5.7291666666666663E-3</v>
      </c>
      <c r="I2498">
        <v>2015</v>
      </c>
      <c r="J2498" t="s">
        <v>20</v>
      </c>
      <c r="K2498" s="2" t="str">
        <f>HYPERLINK("https://www.nba.com/stats/events?CFID=&amp;CFPARAMS=&amp;GameEventID=155&amp;GameID=0021500960&amp;Season=2015-16&amp;flag=1&amp;title=Leonard%2026'%203PT%20Pullup%20Jump%20Shot%20(14%20PTS)", "Leonard 26' 3PT Pullup Jump Shot (14 PTS)")</f>
        <v>Leonard 26' 3PT Pullup Jump Shot (14 PTS)</v>
      </c>
      <c r="L2498" s="2" t="str">
        <f>HYPERLINK("https://www.nba.com/game/...-vs-...-0021500960/play-by-play?watchFullGame=true", "SAS vs CHI - Q2 08:15.00")</f>
        <v>SAS vs CHI - Q2 08:15.00</v>
      </c>
      <c r="M2498">
        <v>26</v>
      </c>
      <c r="N2498">
        <v>-183</v>
      </c>
      <c r="O2498">
        <v>185</v>
      </c>
      <c r="P2498">
        <v>-183</v>
      </c>
      <c r="Q2498">
        <v>185</v>
      </c>
      <c r="R2498" t="s">
        <v>21</v>
      </c>
      <c r="S2498" t="s">
        <v>21</v>
      </c>
    </row>
    <row r="2499" spans="1:19" hidden="1" x14ac:dyDescent="0.25">
      <c r="A2499">
        <v>21800290</v>
      </c>
      <c r="B2499" t="s">
        <v>26</v>
      </c>
      <c r="C2499" t="s">
        <v>30</v>
      </c>
      <c r="D2499">
        <v>11</v>
      </c>
      <c r="E2499">
        <v>4</v>
      </c>
      <c r="F2499">
        <v>7</v>
      </c>
      <c r="G2499">
        <v>1</v>
      </c>
      <c r="H2499" s="1">
        <v>5.7291666666666663E-3</v>
      </c>
      <c r="I2499">
        <v>2018</v>
      </c>
      <c r="J2499" t="s">
        <v>48</v>
      </c>
      <c r="K2499" s="2" t="str">
        <f>HYPERLINK("https://www.nba.com/stats/events?CFID=&amp;CFPARAMS=&amp;GameEventID=35&amp;GameID=0021800290&amp;Season=2018-19&amp;flag=1&amp;title=Leonard%2026'%203PT%20Running%20Jump%20Shot%20(5%20PTS)%20(Lowry%201%20AST)", "Leonard 26' 3PT Running Jump Shot (5 PTS) (Lowry 1 AST)")</f>
        <v>Leonard 26' 3PT Running Jump Shot (5 PTS) (Lowry 1 AST)</v>
      </c>
      <c r="L2499" s="2" t="str">
        <f>HYPERLINK("https://www.nba.com/game/...-vs-...-0021800290/play-by-play?watchFullGame=true", "TOR vs MIA - Q1 08:15.00")</f>
        <v>TOR vs MIA - Q1 08:15.00</v>
      </c>
      <c r="M2499">
        <v>26</v>
      </c>
      <c r="N2499">
        <v>120</v>
      </c>
      <c r="O2499">
        <v>232</v>
      </c>
      <c r="P2499">
        <v>120</v>
      </c>
      <c r="Q2499">
        <v>232</v>
      </c>
      <c r="R2499" t="s">
        <v>21</v>
      </c>
      <c r="S2499" t="s">
        <v>21</v>
      </c>
    </row>
    <row r="2500" spans="1:19" hidden="1" x14ac:dyDescent="0.25">
      <c r="A2500">
        <v>21600309</v>
      </c>
      <c r="B2500" t="s">
        <v>26</v>
      </c>
      <c r="C2500" t="s">
        <v>19</v>
      </c>
      <c r="D2500">
        <v>11</v>
      </c>
      <c r="E2500">
        <v>8</v>
      </c>
      <c r="F2500">
        <v>3</v>
      </c>
      <c r="G2500">
        <v>1</v>
      </c>
      <c r="H2500" s="1">
        <v>5.7407407407407407E-3</v>
      </c>
      <c r="I2500">
        <v>2016</v>
      </c>
      <c r="J2500" t="s">
        <v>20</v>
      </c>
      <c r="K2500" s="2" t="str">
        <f>HYPERLINK("https://www.nba.com/stats/events?CFID=&amp;CFPARAMS=&amp;GameEventID=29&amp;GameID=0021600309&amp;Season=2016-17&amp;flag=1&amp;title=Leonard%2026'%203PT%20Jump%20Shot%20(5%20PTS)%20(Aldridge%202%20AST)", "Leonard 26' 3PT Jump Shot (5 PTS) (Aldridge 2 AST)")</f>
        <v>Leonard 26' 3PT Jump Shot (5 PTS) (Aldridge 2 AST)</v>
      </c>
      <c r="L2500" s="2" t="str">
        <f>HYPERLINK("https://www.nba.com/game/...-vs-...-0021600309/play-by-play?watchFullGame=true", "SAS vs MIL - Q1 08:16.00")</f>
        <v>SAS vs MIL - Q1 08:16.00</v>
      </c>
      <c r="M2500">
        <v>26</v>
      </c>
      <c r="N2500">
        <v>112</v>
      </c>
      <c r="O2500">
        <v>232</v>
      </c>
      <c r="P2500">
        <v>112</v>
      </c>
      <c r="Q2500">
        <v>232</v>
      </c>
      <c r="R2500" t="s">
        <v>21</v>
      </c>
      <c r="S2500" t="s">
        <v>21</v>
      </c>
    </row>
    <row r="2501" spans="1:19" hidden="1" x14ac:dyDescent="0.25">
      <c r="A2501">
        <v>21800371</v>
      </c>
      <c r="B2501" t="s">
        <v>26</v>
      </c>
      <c r="C2501" t="s">
        <v>39</v>
      </c>
      <c r="D2501">
        <v>64</v>
      </c>
      <c r="E2501">
        <v>59</v>
      </c>
      <c r="F2501">
        <v>5</v>
      </c>
      <c r="G2501">
        <v>3</v>
      </c>
      <c r="H2501" s="1">
        <v>5.7638888888888887E-3</v>
      </c>
      <c r="I2501">
        <v>2018</v>
      </c>
      <c r="J2501" t="s">
        <v>48</v>
      </c>
      <c r="K2501" s="2" t="str">
        <f>HYPERLINK("https://www.nba.com/stats/events?CFID=&amp;CFPARAMS=&amp;GameEventID=369&amp;GameID=0021800371&amp;Season=2018-19&amp;flag=1&amp;title=Leonard%2026'%203PT%20Step%20Back%20Jump%20Shot%20(17%20PTS)", "Leonard 26' 3PT Step Back Jump Shot (17 PTS)")</f>
        <v>Leonard 26' 3PT Step Back Jump Shot (17 PTS)</v>
      </c>
      <c r="L2501" s="2" t="str">
        <f>HYPERLINK("https://www.nba.com/game/...-vs-...-0021800371/play-by-play?watchFullGame=true", "TOR vs BKN - Q3 08:18.00")</f>
        <v>TOR vs BKN - Q3 08:18.00</v>
      </c>
      <c r="M2501">
        <v>26</v>
      </c>
      <c r="N2501">
        <v>-19</v>
      </c>
      <c r="O2501">
        <v>259</v>
      </c>
      <c r="P2501">
        <v>-19</v>
      </c>
      <c r="Q2501">
        <v>259</v>
      </c>
      <c r="R2501" t="s">
        <v>21</v>
      </c>
      <c r="S2501" t="s">
        <v>21</v>
      </c>
    </row>
    <row r="2502" spans="1:19" hidden="1" x14ac:dyDescent="0.25">
      <c r="A2502">
        <v>21801214</v>
      </c>
      <c r="B2502" t="s">
        <v>26</v>
      </c>
      <c r="C2502" t="s">
        <v>36</v>
      </c>
      <c r="D2502">
        <v>78</v>
      </c>
      <c r="E2502">
        <v>58</v>
      </c>
      <c r="F2502">
        <v>20</v>
      </c>
      <c r="G2502">
        <v>3</v>
      </c>
      <c r="H2502" s="1">
        <v>5.8101851851851856E-3</v>
      </c>
      <c r="I2502">
        <v>2018</v>
      </c>
      <c r="J2502" t="s">
        <v>48</v>
      </c>
      <c r="K2502" s="2" t="str">
        <f>HYPERLINK("https://www.nba.com/stats/events?CFID=&amp;CFPARAMS=&amp;GameEventID=361&amp;GameID=0021801214&amp;Season=2018-19&amp;flag=1&amp;title=Leonard%2026'%203PT%20Pullup%20Jump%20Shot%20(17%20PTS)", "Leonard 26' 3PT Pullup Jump Shot (17 PTS)")</f>
        <v>Leonard 26' 3PT Pullup Jump Shot (17 PTS)</v>
      </c>
      <c r="L2502" s="2" t="str">
        <f>HYPERLINK("https://www.nba.com/game/...-vs-...-0021801214/play-by-play?watchFullGame=true", "TOR vs MIN - Q3 08:22.00")</f>
        <v>TOR vs MIN - Q3 08:22.00</v>
      </c>
      <c r="M2502">
        <v>26</v>
      </c>
      <c r="N2502">
        <v>148</v>
      </c>
      <c r="O2502">
        <v>208</v>
      </c>
      <c r="P2502">
        <v>148</v>
      </c>
      <c r="Q2502">
        <v>208</v>
      </c>
      <c r="R2502" t="s">
        <v>21</v>
      </c>
      <c r="S2502" t="s">
        <v>21</v>
      </c>
    </row>
    <row r="2503" spans="1:19" hidden="1" x14ac:dyDescent="0.25">
      <c r="A2503">
        <v>21500379</v>
      </c>
      <c r="B2503" t="s">
        <v>26</v>
      </c>
      <c r="C2503" t="s">
        <v>19</v>
      </c>
      <c r="D2503">
        <v>66</v>
      </c>
      <c r="E2503">
        <v>56</v>
      </c>
      <c r="F2503">
        <v>10</v>
      </c>
      <c r="G2503">
        <v>3</v>
      </c>
      <c r="H2503" s="1">
        <v>5.9027777777777776E-3</v>
      </c>
      <c r="I2503">
        <v>2015</v>
      </c>
      <c r="J2503" t="s">
        <v>20</v>
      </c>
      <c r="K2503" s="2" t="str">
        <f>HYPERLINK("https://www.nba.com/stats/events?CFID=&amp;CFPARAMS=&amp;GameEventID=313&amp;GameID=0021500379&amp;Season=2015-16&amp;flag=1&amp;title=Leonard%2026'%203PT%20Jump%20Shot%20(20%20PTS)%20(Parker%206%20AST)", "Leonard 26' 3PT Jump Shot (20 PTS) (Parker 6 AST)")</f>
        <v>Leonard 26' 3PT Jump Shot (20 PTS) (Parker 6 AST)</v>
      </c>
      <c r="L2503" s="2" t="str">
        <f>HYPERLINK("https://www.nba.com/game/...-vs-...-0021500379/play-by-play?watchFullGame=true", "SAS vs WAS - Q3 08:30.00")</f>
        <v>SAS vs WAS - Q3 08:30.00</v>
      </c>
      <c r="M2503">
        <v>26</v>
      </c>
      <c r="N2503">
        <v>-114</v>
      </c>
      <c r="O2503">
        <v>229</v>
      </c>
      <c r="P2503">
        <v>-114</v>
      </c>
      <c r="Q2503">
        <v>229</v>
      </c>
      <c r="R2503" t="s">
        <v>21</v>
      </c>
      <c r="S2503" t="s">
        <v>21</v>
      </c>
    </row>
    <row r="2504" spans="1:19" hidden="1" x14ac:dyDescent="0.25">
      <c r="A2504">
        <v>21601193</v>
      </c>
      <c r="B2504" t="s">
        <v>26</v>
      </c>
      <c r="C2504" t="s">
        <v>36</v>
      </c>
      <c r="D2504">
        <v>53</v>
      </c>
      <c r="E2504">
        <v>60</v>
      </c>
      <c r="F2504">
        <v>7</v>
      </c>
      <c r="G2504">
        <v>3</v>
      </c>
      <c r="H2504" s="1">
        <v>6.099537037037037E-3</v>
      </c>
      <c r="I2504">
        <v>2016</v>
      </c>
      <c r="J2504" t="s">
        <v>20</v>
      </c>
      <c r="K2504" s="2" t="str">
        <f>HYPERLINK("https://www.nba.com/stats/events?CFID=&amp;CFPARAMS=&amp;GameEventID=258&amp;GameID=0021601193&amp;Season=2016-17&amp;flag=1&amp;title=Leonard%2026'%203PT%20Pullup%20Jump%20Shot%20(18%20PTS)", "Leonard 26' 3PT Pullup Jump Shot (18 PTS)")</f>
        <v>Leonard 26' 3PT Pullup Jump Shot (18 PTS)</v>
      </c>
      <c r="L2504" s="2" t="str">
        <f>HYPERLINK("https://www.nba.com/game/...-vs-...-0021601193/play-by-play?watchFullGame=true", "SAS vs LAC - Q3 08:47.00")</f>
        <v>SAS vs LAC - Q3 08:47.00</v>
      </c>
      <c r="M2504">
        <v>26</v>
      </c>
      <c r="N2504">
        <v>-86</v>
      </c>
      <c r="O2504">
        <v>242</v>
      </c>
      <c r="P2504">
        <v>-86</v>
      </c>
      <c r="Q2504">
        <v>242</v>
      </c>
      <c r="R2504" t="s">
        <v>21</v>
      </c>
      <c r="S2504" t="s">
        <v>21</v>
      </c>
    </row>
    <row r="2505" spans="1:19" hidden="1" x14ac:dyDescent="0.25">
      <c r="A2505">
        <v>41800111</v>
      </c>
      <c r="B2505" t="s">
        <v>26</v>
      </c>
      <c r="C2505" t="s">
        <v>36</v>
      </c>
      <c r="D2505">
        <v>9</v>
      </c>
      <c r="E2505">
        <v>6</v>
      </c>
      <c r="F2505">
        <v>3</v>
      </c>
      <c r="G2505">
        <v>1</v>
      </c>
      <c r="H2505" s="1">
        <v>6.099537037037037E-3</v>
      </c>
      <c r="I2505" t="s">
        <v>60</v>
      </c>
      <c r="J2505" t="s">
        <v>48</v>
      </c>
      <c r="K2505" s="2" t="str">
        <f>HYPERLINK("https://www.nba.com/stats/events?CFID=&amp;CFPARAMS=&amp;GameEventID=46&amp;GameID=0041800111&amp;Season=2018-19&amp;flag=1&amp;title=Leonard%2026'%203PT%20Pullup%20Jump%20Shot%20(7%20PTS)", "Leonard 26' 3PT Pullup Jump Shot (7 PTS)")</f>
        <v>Leonard 26' 3PT Pullup Jump Shot (7 PTS)</v>
      </c>
      <c r="L2505" s="2" t="str">
        <f>HYPERLINK("https://www.nba.com/game/...-vs-...-0041800111/play-by-play?watchFullGame=true", "TOR vs ORL - Q1 08:47.00")</f>
        <v>TOR vs ORL - Q1 08:47.00</v>
      </c>
      <c r="M2505">
        <v>26</v>
      </c>
      <c r="N2505">
        <v>46</v>
      </c>
      <c r="O2505">
        <v>259</v>
      </c>
      <c r="P2505">
        <v>46</v>
      </c>
      <c r="Q2505">
        <v>259</v>
      </c>
      <c r="R2505" t="s">
        <v>21</v>
      </c>
      <c r="S2505" t="s">
        <v>21</v>
      </c>
    </row>
    <row r="2506" spans="1:19" hidden="1" x14ac:dyDescent="0.25">
      <c r="A2506">
        <v>21600458</v>
      </c>
      <c r="B2506" t="s">
        <v>26</v>
      </c>
      <c r="C2506" t="s">
        <v>19</v>
      </c>
      <c r="D2506">
        <v>11</v>
      </c>
      <c r="E2506">
        <v>2</v>
      </c>
      <c r="F2506">
        <v>9</v>
      </c>
      <c r="G2506">
        <v>1</v>
      </c>
      <c r="H2506" s="1">
        <v>6.1111111111111114E-3</v>
      </c>
      <c r="I2506">
        <v>2016</v>
      </c>
      <c r="J2506" t="s">
        <v>20</v>
      </c>
      <c r="K2506" s="2" t="str">
        <f>HYPERLINK("https://www.nba.com/stats/events?CFID=&amp;CFPARAMS=&amp;GameEventID=22&amp;GameID=0021600458&amp;Season=2016-17&amp;flag=1&amp;title=Leonard%2026'%203PT%20Jump%20Shot%20(3%20PTS)%20(Parker%204%20AST)", "Leonard 26' 3PT Jump Shot (3 PTS) (Parker 4 AST)")</f>
        <v>Leonard 26' 3PT Jump Shot (3 PTS) (Parker 4 AST)</v>
      </c>
      <c r="L2506" s="2" t="str">
        <f>HYPERLINK("https://www.nba.com/game/...-vs-...-0021600458/play-by-play?watchFullGame=true", "SAS vs CHI - Q1 08:48.00")</f>
        <v>SAS vs CHI - Q1 08:48.00</v>
      </c>
      <c r="M2506">
        <v>26</v>
      </c>
      <c r="N2506">
        <v>210</v>
      </c>
      <c r="O2506">
        <v>149</v>
      </c>
      <c r="P2506">
        <v>210</v>
      </c>
      <c r="Q2506">
        <v>149</v>
      </c>
      <c r="R2506" t="s">
        <v>21</v>
      </c>
      <c r="S2506" t="s">
        <v>21</v>
      </c>
    </row>
    <row r="2507" spans="1:19" hidden="1" x14ac:dyDescent="0.25">
      <c r="A2507">
        <v>21800789</v>
      </c>
      <c r="B2507" t="s">
        <v>26</v>
      </c>
      <c r="C2507" t="s">
        <v>19</v>
      </c>
      <c r="D2507">
        <v>74</v>
      </c>
      <c r="E2507">
        <v>58</v>
      </c>
      <c r="F2507">
        <v>16</v>
      </c>
      <c r="G2507">
        <v>3</v>
      </c>
      <c r="H2507" s="1">
        <v>6.145833333333333E-3</v>
      </c>
      <c r="I2507">
        <v>2018</v>
      </c>
      <c r="J2507" t="s">
        <v>48</v>
      </c>
      <c r="K2507" s="2" t="str">
        <f>HYPERLINK("https://www.nba.com/stats/events?CFID=&amp;CFPARAMS=&amp;GameEventID=389&amp;GameID=0021800789&amp;Season=2018-19&amp;flag=1&amp;title=Leonard%2026'%203PT%20Jump%20Shot%20(18%20PTS)%20(Green%204%20AST)", "Leonard 26' 3PT Jump Shot (18 PTS) (Green 4 AST)")</f>
        <v>Leonard 26' 3PT Jump Shot (18 PTS) (Green 4 AST)</v>
      </c>
      <c r="L2507" s="2" t="str">
        <f>HYPERLINK("https://www.nba.com/game/...-vs-...-0021800789/play-by-play?watchFullGame=true", "TOR vs LAC - Q3 08:51.00")</f>
        <v>TOR vs LAC - Q3 08:51.00</v>
      </c>
      <c r="M2507">
        <v>26</v>
      </c>
      <c r="N2507">
        <v>161</v>
      </c>
      <c r="O2507">
        <v>203</v>
      </c>
      <c r="P2507">
        <v>161</v>
      </c>
      <c r="Q2507">
        <v>203</v>
      </c>
      <c r="R2507" t="s">
        <v>21</v>
      </c>
      <c r="S2507" t="s">
        <v>21</v>
      </c>
    </row>
    <row r="2508" spans="1:19" hidden="1" x14ac:dyDescent="0.25">
      <c r="A2508">
        <v>21800248</v>
      </c>
      <c r="B2508" t="s">
        <v>26</v>
      </c>
      <c r="C2508" t="s">
        <v>19</v>
      </c>
      <c r="D2508">
        <v>10</v>
      </c>
      <c r="E2508">
        <v>7</v>
      </c>
      <c r="F2508">
        <v>3</v>
      </c>
      <c r="G2508">
        <v>1</v>
      </c>
      <c r="H2508" s="1">
        <v>6.145833333333333E-3</v>
      </c>
      <c r="I2508">
        <v>2018</v>
      </c>
      <c r="J2508" t="s">
        <v>48</v>
      </c>
      <c r="K2508" s="2" t="str">
        <f>HYPERLINK("https://www.nba.com/stats/events?CFID=&amp;CFPARAMS=&amp;GameEventID=43&amp;GameID=0021800248&amp;Season=2018-19&amp;flag=1&amp;title=Leonard%2026'%203PT%20Jump%20Shot%20(3%20PTS)", "Leonard 26' 3PT Jump Shot (3 PTS)")</f>
        <v>Leonard 26' 3PT Jump Shot (3 PTS)</v>
      </c>
      <c r="L2508" s="2" t="str">
        <f>HYPERLINK("https://www.nba.com/game/...-vs-...-0021800248/play-by-play?watchFullGame=true", "TOR vs ORL - Q1 08:51.00")</f>
        <v>TOR vs ORL - Q1 08:51.00</v>
      </c>
      <c r="M2508">
        <v>26</v>
      </c>
      <c r="N2508">
        <v>174</v>
      </c>
      <c r="O2508">
        <v>191</v>
      </c>
      <c r="P2508">
        <v>174</v>
      </c>
      <c r="Q2508">
        <v>191</v>
      </c>
      <c r="R2508" t="s">
        <v>21</v>
      </c>
      <c r="S2508" t="s">
        <v>21</v>
      </c>
    </row>
    <row r="2509" spans="1:19" hidden="1" x14ac:dyDescent="0.25">
      <c r="A2509">
        <v>21500960</v>
      </c>
      <c r="B2509" t="s">
        <v>26</v>
      </c>
      <c r="C2509" t="s">
        <v>19</v>
      </c>
      <c r="D2509">
        <v>9</v>
      </c>
      <c r="E2509">
        <v>5</v>
      </c>
      <c r="F2509">
        <v>4</v>
      </c>
      <c r="G2509">
        <v>1</v>
      </c>
      <c r="H2509" s="1">
        <v>6.1574074074074074E-3</v>
      </c>
      <c r="I2509">
        <v>2015</v>
      </c>
      <c r="J2509" t="s">
        <v>20</v>
      </c>
      <c r="K2509" s="2" t="str">
        <f>HYPERLINK("https://www.nba.com/stats/events?CFID=&amp;CFPARAMS=&amp;GameEventID=27&amp;GameID=0021500960&amp;Season=2015-16&amp;flag=1&amp;title=Leonard%2026'%203PT%20Jump%20Shot%20(5%20PTS)%20(Parker%201%20AST)", "Leonard 26' 3PT Jump Shot (5 PTS) (Parker 1 AST)")</f>
        <v>Leonard 26' 3PT Jump Shot (5 PTS) (Parker 1 AST)</v>
      </c>
      <c r="L2509" s="2" t="str">
        <f>HYPERLINK("https://www.nba.com/game/...-vs-...-0021500960/play-by-play?watchFullGame=true", "SAS vs CHI - Q1 08:52.00")</f>
        <v>SAS vs CHI - Q1 08:52.00</v>
      </c>
      <c r="M2509">
        <v>26</v>
      </c>
      <c r="N2509">
        <v>78</v>
      </c>
      <c r="O2509">
        <v>247</v>
      </c>
      <c r="P2509">
        <v>78</v>
      </c>
      <c r="Q2509">
        <v>247</v>
      </c>
      <c r="R2509" t="s">
        <v>21</v>
      </c>
      <c r="S2509" t="s">
        <v>21</v>
      </c>
    </row>
    <row r="2510" spans="1:19" hidden="1" x14ac:dyDescent="0.25">
      <c r="A2510">
        <v>21600657</v>
      </c>
      <c r="B2510" t="s">
        <v>26</v>
      </c>
      <c r="C2510" t="s">
        <v>19</v>
      </c>
      <c r="D2510">
        <v>96</v>
      </c>
      <c r="E2510">
        <v>90</v>
      </c>
      <c r="F2510">
        <v>6</v>
      </c>
      <c r="G2510">
        <v>4</v>
      </c>
      <c r="H2510" s="1">
        <v>6.2962962962962964E-3</v>
      </c>
      <c r="I2510">
        <v>2016</v>
      </c>
      <c r="J2510" t="s">
        <v>20</v>
      </c>
      <c r="K2510" s="2" t="str">
        <f>HYPERLINK("https://www.nba.com/stats/events?CFID=&amp;CFPARAMS=&amp;GameEventID=401&amp;GameID=0021600657&amp;Season=2016-17&amp;flag=1&amp;title=Leonard%2026'%203PT%20Jump%20Shot%20(33%20PTS)", "Leonard 26' 3PT Jump Shot (33 PTS)")</f>
        <v>Leonard 26' 3PT Jump Shot (33 PTS)</v>
      </c>
      <c r="L2510" s="2" t="str">
        <f>HYPERLINK("https://www.nba.com/game/...-vs-...-0021600657/play-by-play?watchFullGame=true", "SAS vs CLE - Q4 09:04.00")</f>
        <v>SAS vs CLE - Q4 09:04.00</v>
      </c>
      <c r="M2510">
        <v>26</v>
      </c>
      <c r="N2510">
        <v>-2</v>
      </c>
      <c r="O2510">
        <v>259</v>
      </c>
      <c r="P2510">
        <v>-2</v>
      </c>
      <c r="Q2510">
        <v>259</v>
      </c>
      <c r="R2510" t="s">
        <v>21</v>
      </c>
      <c r="S2510" t="s">
        <v>21</v>
      </c>
    </row>
    <row r="2511" spans="1:19" hidden="1" x14ac:dyDescent="0.25">
      <c r="A2511">
        <v>21800316</v>
      </c>
      <c r="B2511" t="s">
        <v>26</v>
      </c>
      <c r="C2511" t="s">
        <v>36</v>
      </c>
      <c r="D2511">
        <v>12</v>
      </c>
      <c r="E2511">
        <v>6</v>
      </c>
      <c r="F2511">
        <v>6</v>
      </c>
      <c r="G2511">
        <v>1</v>
      </c>
      <c r="H2511" s="1">
        <v>6.2962962962962964E-3</v>
      </c>
      <c r="I2511">
        <v>2018</v>
      </c>
      <c r="J2511" t="s">
        <v>48</v>
      </c>
      <c r="K2511" s="2" t="str">
        <f>HYPERLINK("https://www.nba.com/stats/events?CFID=&amp;CFPARAMS=&amp;GameEventID=26&amp;GameID=0021800316&amp;Season=2018-19&amp;flag=1&amp;title=Leonard%2026'%203PT%20Pullup%20Jump%20Shot%20(5%20PTS)", "Leonard 26' 3PT Pullup Jump Shot (5 PTS)")</f>
        <v>Leonard 26' 3PT Pullup Jump Shot (5 PTS)</v>
      </c>
      <c r="L2511" s="2" t="str">
        <f>HYPERLINK("https://www.nba.com/game/...-vs-...-0021800316/play-by-play?watchFullGame=true", "TOR vs GSW - Q1 09:04.00")</f>
        <v>TOR vs GSW - Q1 09:04.00</v>
      </c>
      <c r="M2511">
        <v>26</v>
      </c>
      <c r="N2511">
        <v>80</v>
      </c>
      <c r="O2511">
        <v>251</v>
      </c>
      <c r="P2511">
        <v>80</v>
      </c>
      <c r="Q2511">
        <v>251</v>
      </c>
      <c r="R2511" t="s">
        <v>21</v>
      </c>
      <c r="S2511" t="s">
        <v>21</v>
      </c>
    </row>
    <row r="2512" spans="1:19" hidden="1" x14ac:dyDescent="0.25">
      <c r="A2512">
        <v>21800290</v>
      </c>
      <c r="B2512" t="s">
        <v>26</v>
      </c>
      <c r="C2512" t="s">
        <v>19</v>
      </c>
      <c r="D2512">
        <v>79</v>
      </c>
      <c r="E2512">
        <v>61</v>
      </c>
      <c r="F2512">
        <v>18</v>
      </c>
      <c r="G2512">
        <v>3</v>
      </c>
      <c r="H2512" s="1">
        <v>6.3078703703703708E-3</v>
      </c>
      <c r="I2512">
        <v>2018</v>
      </c>
      <c r="J2512" t="s">
        <v>48</v>
      </c>
      <c r="K2512" s="2" t="str">
        <f>HYPERLINK("https://www.nba.com/stats/events?CFID=&amp;CFPARAMS=&amp;GameEventID=370&amp;GameID=0021800290&amp;Season=2018-19&amp;flag=1&amp;title=Leonard%2026'%203PT%20Jump%20Shot%20(19%20PTS)%20(Siakam%202%20AST)", "Leonard 26' 3PT Jump Shot (19 PTS) (Siakam 2 AST)")</f>
        <v>Leonard 26' 3PT Jump Shot (19 PTS) (Siakam 2 AST)</v>
      </c>
      <c r="L2512" s="2" t="str">
        <f>HYPERLINK("https://www.nba.com/game/...-vs-...-0021800290/play-by-play?watchFullGame=true", "TOR vs MIA - Q3 09:05.00")</f>
        <v>TOR vs MIA - Q3 09:05.00</v>
      </c>
      <c r="M2512">
        <v>26</v>
      </c>
      <c r="N2512">
        <v>177</v>
      </c>
      <c r="O2512">
        <v>194</v>
      </c>
      <c r="P2512">
        <v>177</v>
      </c>
      <c r="Q2512">
        <v>194</v>
      </c>
      <c r="R2512" t="s">
        <v>21</v>
      </c>
      <c r="S2512" t="s">
        <v>21</v>
      </c>
    </row>
    <row r="2513" spans="1:19" hidden="1" x14ac:dyDescent="0.25">
      <c r="A2513">
        <v>21400102</v>
      </c>
      <c r="B2513" t="s">
        <v>26</v>
      </c>
      <c r="C2513" t="s">
        <v>19</v>
      </c>
      <c r="D2513">
        <v>50</v>
      </c>
      <c r="E2513">
        <v>51</v>
      </c>
      <c r="F2513">
        <v>1</v>
      </c>
      <c r="G2513">
        <v>3</v>
      </c>
      <c r="H2513" s="1">
        <v>6.4004629629629628E-3</v>
      </c>
      <c r="I2513">
        <v>2014</v>
      </c>
      <c r="J2513" t="s">
        <v>20</v>
      </c>
      <c r="K2513" s="2" t="str">
        <f>HYPERLINK("https://www.nba.com/stats/events?CFID=&amp;CFPARAMS=&amp;GameEventID=271&amp;GameID=0021400102&amp;Season=2014-15&amp;flag=1&amp;title=Leonard%2026'%203PT%20Jump%20Shot%20(20%20PTS)%20(Bonner%202%20AST)", "Leonard 26' 3PT Jump Shot (20 PTS) (Bonner 2 AST)")</f>
        <v>Leonard 26' 3PT Jump Shot (20 PTS) (Bonner 2 AST)</v>
      </c>
      <c r="L2513" s="2" t="str">
        <f>HYPERLINK("https://www.nba.com/game/...-vs-...-0021400102/play-by-play?watchFullGame=true", "SAS vs LAC - Q3 09:13.00")</f>
        <v>SAS vs LAC - Q3 09:13.00</v>
      </c>
      <c r="M2513">
        <v>26</v>
      </c>
      <c r="N2513">
        <v>152</v>
      </c>
      <c r="O2513">
        <v>217</v>
      </c>
      <c r="P2513">
        <v>152</v>
      </c>
      <c r="Q2513">
        <v>217</v>
      </c>
      <c r="R2513" t="s">
        <v>21</v>
      </c>
      <c r="S2513" t="s">
        <v>21</v>
      </c>
    </row>
    <row r="2514" spans="1:19" hidden="1" x14ac:dyDescent="0.25">
      <c r="A2514">
        <v>21600605</v>
      </c>
      <c r="B2514" t="s">
        <v>26</v>
      </c>
      <c r="C2514" t="s">
        <v>19</v>
      </c>
      <c r="D2514">
        <v>37</v>
      </c>
      <c r="E2514">
        <v>32</v>
      </c>
      <c r="F2514">
        <v>5</v>
      </c>
      <c r="G2514">
        <v>2</v>
      </c>
      <c r="H2514" s="1">
        <v>6.5972222222222222E-3</v>
      </c>
      <c r="I2514">
        <v>2016</v>
      </c>
      <c r="J2514" t="s">
        <v>20</v>
      </c>
      <c r="K2514" s="2" t="str">
        <f>HYPERLINK("https://www.nba.com/stats/events?CFID=&amp;CFPARAMS=&amp;GameEventID=159&amp;GameID=0021600605&amp;Season=2016-17&amp;flag=1&amp;title=Leonard%2026'%203PT%20Jump%20Shot%20(7%20PTS)%20(Aldridge%201%20AST)", "Leonard 26' 3PT Jump Shot (7 PTS) (Aldridge 1 AST)")</f>
        <v>Leonard 26' 3PT Jump Shot (7 PTS) (Aldridge 1 AST)</v>
      </c>
      <c r="L2514" s="2" t="str">
        <f>HYPERLINK("https://www.nba.com/game/...-vs-...-0021600605/play-by-play?watchFullGame=true", "SAS vs PHX - Q2 09:30.00")</f>
        <v>SAS vs PHX - Q2 09:30.00</v>
      </c>
      <c r="M2514">
        <v>26</v>
      </c>
      <c r="N2514">
        <v>173</v>
      </c>
      <c r="O2514">
        <v>198</v>
      </c>
      <c r="P2514">
        <v>173</v>
      </c>
      <c r="Q2514">
        <v>198</v>
      </c>
      <c r="R2514" t="s">
        <v>21</v>
      </c>
      <c r="S2514" t="s">
        <v>21</v>
      </c>
    </row>
    <row r="2515" spans="1:19" hidden="1" x14ac:dyDescent="0.25">
      <c r="A2515">
        <v>41600232</v>
      </c>
      <c r="B2515" t="s">
        <v>26</v>
      </c>
      <c r="C2515" t="s">
        <v>19</v>
      </c>
      <c r="D2515">
        <v>10</v>
      </c>
      <c r="E2515">
        <v>4</v>
      </c>
      <c r="F2515">
        <v>6</v>
      </c>
      <c r="G2515">
        <v>1</v>
      </c>
      <c r="H2515" s="1">
        <v>6.8402777777777776E-3</v>
      </c>
      <c r="I2515" t="s">
        <v>58</v>
      </c>
      <c r="J2515" t="s">
        <v>20</v>
      </c>
      <c r="K2515" s="2" t="str">
        <f>HYPERLINK("https://www.nba.com/stats/events?CFID=&amp;CFPARAMS=&amp;GameEventID=13&amp;GameID=0041600232&amp;Season=2016-17&amp;flag=1&amp;title=Leonard%2026'%203PT%20Jump%20Shot%20(8%20PTS)%20(Parker%202%20AST)", "Leonard 26' 3PT Jump Shot (8 PTS) (Parker 2 AST)")</f>
        <v>Leonard 26' 3PT Jump Shot (8 PTS) (Parker 2 AST)</v>
      </c>
      <c r="L2515" s="2" t="str">
        <f>HYPERLINK("https://www.nba.com/game/...-vs-...-0041600232/play-by-play?watchFullGame=true", "SAS vs HOU - Q1 09:51.00")</f>
        <v>SAS vs HOU - Q1 09:51.00</v>
      </c>
      <c r="M2515">
        <v>26</v>
      </c>
      <c r="N2515">
        <v>230</v>
      </c>
      <c r="O2515">
        <v>120</v>
      </c>
      <c r="P2515">
        <v>230</v>
      </c>
      <c r="Q2515">
        <v>120</v>
      </c>
      <c r="R2515" t="s">
        <v>21</v>
      </c>
      <c r="S2515" t="s">
        <v>21</v>
      </c>
    </row>
    <row r="2516" spans="1:19" hidden="1" x14ac:dyDescent="0.25">
      <c r="A2516">
        <v>21801001</v>
      </c>
      <c r="B2516" t="s">
        <v>26</v>
      </c>
      <c r="C2516" t="s">
        <v>19</v>
      </c>
      <c r="D2516">
        <v>58</v>
      </c>
      <c r="E2516">
        <v>66</v>
      </c>
      <c r="F2516">
        <v>8</v>
      </c>
      <c r="G2516">
        <v>3</v>
      </c>
      <c r="H2516" s="1">
        <v>6.851851851851852E-3</v>
      </c>
      <c r="I2516">
        <v>2018</v>
      </c>
      <c r="J2516" t="s">
        <v>48</v>
      </c>
      <c r="K2516" s="2" t="str">
        <f>HYPERLINK("https://www.nba.com/stats/events?CFID=&amp;CFPARAMS=&amp;GameEventID=378&amp;GameID=0021801001&amp;Season=2018-19&amp;flag=1&amp;title=Leonard%2026'%203PT%20Jump%20Shot%20(16%20PTS)%20(Siakam%202%20AST)", "Leonard 26' 3PT Jump Shot (16 PTS) (Siakam 2 AST)")</f>
        <v>Leonard 26' 3PT Jump Shot (16 PTS) (Siakam 2 AST)</v>
      </c>
      <c r="L2516" s="2" t="str">
        <f>HYPERLINK("https://www.nba.com/game/...-vs-...-0021801001/play-by-play?watchFullGame=true", "TOR vs CLE - Q3 09:52.00")</f>
        <v>TOR vs CLE - Q3 09:52.00</v>
      </c>
      <c r="M2516">
        <v>26</v>
      </c>
      <c r="N2516">
        <v>-17</v>
      </c>
      <c r="O2516">
        <v>258</v>
      </c>
      <c r="P2516">
        <v>-17</v>
      </c>
      <c r="Q2516">
        <v>258</v>
      </c>
      <c r="R2516" t="s">
        <v>21</v>
      </c>
      <c r="S2516" t="s">
        <v>21</v>
      </c>
    </row>
    <row r="2517" spans="1:19" hidden="1" x14ac:dyDescent="0.25">
      <c r="A2517">
        <v>21800658</v>
      </c>
      <c r="B2517" t="s">
        <v>26</v>
      </c>
      <c r="C2517" t="s">
        <v>36</v>
      </c>
      <c r="D2517">
        <v>7</v>
      </c>
      <c r="E2517">
        <v>2</v>
      </c>
      <c r="F2517">
        <v>5</v>
      </c>
      <c r="G2517">
        <v>1</v>
      </c>
      <c r="H2517" s="1">
        <v>6.9328703703703705E-3</v>
      </c>
      <c r="I2517">
        <v>2018</v>
      </c>
      <c r="J2517" t="s">
        <v>48</v>
      </c>
      <c r="K2517" s="2" t="str">
        <f>HYPERLINK("https://www.nba.com/stats/events?CFID=&amp;CFPARAMS=&amp;GameEventID=22&amp;GameID=0021800658&amp;Season=2018-19&amp;flag=1&amp;title=Leonard%2026'%203PT%20Pullup%20Jump%20Shot%20(5%20PTS)", "Leonard 26' 3PT Pullup Jump Shot (5 PTS)")</f>
        <v>Leonard 26' 3PT Pullup Jump Shot (5 PTS)</v>
      </c>
      <c r="L2517" s="2" t="str">
        <f>HYPERLINK("https://www.nba.com/game/...-vs-...-0021800658/play-by-play?watchFullGame=true", "TOR vs BOS - Q1 09:59.00")</f>
        <v>TOR vs BOS - Q1 09:59.00</v>
      </c>
      <c r="M2517">
        <v>26</v>
      </c>
      <c r="N2517">
        <v>-129</v>
      </c>
      <c r="O2517">
        <v>224</v>
      </c>
      <c r="P2517">
        <v>-129</v>
      </c>
      <c r="Q2517">
        <v>224</v>
      </c>
      <c r="R2517" t="s">
        <v>21</v>
      </c>
      <c r="S2517" t="s">
        <v>21</v>
      </c>
    </row>
    <row r="2518" spans="1:19" hidden="1" x14ac:dyDescent="0.25">
      <c r="A2518">
        <v>21600225</v>
      </c>
      <c r="B2518" t="s">
        <v>26</v>
      </c>
      <c r="C2518" t="s">
        <v>19</v>
      </c>
      <c r="D2518">
        <v>3</v>
      </c>
      <c r="E2518">
        <v>2</v>
      </c>
      <c r="F2518">
        <v>1</v>
      </c>
      <c r="G2518">
        <v>1</v>
      </c>
      <c r="H2518" s="1">
        <v>6.9328703703703705E-3</v>
      </c>
      <c r="I2518">
        <v>2016</v>
      </c>
      <c r="J2518" t="s">
        <v>20</v>
      </c>
      <c r="K2518" s="2" t="str">
        <f>HYPERLINK("https://www.nba.com/stats/events?CFID=&amp;CFPARAMS=&amp;GameEventID=13&amp;GameID=0021600225&amp;Season=2016-17&amp;flag=1&amp;title=Leonard%2026'%203PT%20Jump%20Shot%20(3%20PTS)%20(Parker%201%20AST)", "Leonard 26' 3PT Jump Shot (3 PTS) (Parker 1 AST)")</f>
        <v>Leonard 26' 3PT Jump Shot (3 PTS) (Parker 1 AST)</v>
      </c>
      <c r="L2518" s="2" t="str">
        <f>HYPERLINK("https://www.nba.com/game/...-vs-...-0021600225/play-by-play?watchFullGame=true", "SAS vs BOS - Q1 09:59.00")</f>
        <v>SAS vs BOS - Q1 09:59.00</v>
      </c>
      <c r="M2518">
        <v>26</v>
      </c>
      <c r="N2518">
        <v>71</v>
      </c>
      <c r="O2518">
        <v>247</v>
      </c>
      <c r="P2518">
        <v>71</v>
      </c>
      <c r="Q2518">
        <v>247</v>
      </c>
      <c r="R2518" t="s">
        <v>21</v>
      </c>
      <c r="S2518" t="s">
        <v>21</v>
      </c>
    </row>
    <row r="2519" spans="1:19" hidden="1" x14ac:dyDescent="0.25">
      <c r="A2519">
        <v>21600942</v>
      </c>
      <c r="B2519" t="s">
        <v>26</v>
      </c>
      <c r="C2519" t="s">
        <v>19</v>
      </c>
      <c r="D2519">
        <v>5</v>
      </c>
      <c r="E2519">
        <v>4</v>
      </c>
      <c r="F2519">
        <v>1</v>
      </c>
      <c r="G2519">
        <v>1</v>
      </c>
      <c r="H2519" s="1">
        <v>6.9675925925925929E-3</v>
      </c>
      <c r="I2519">
        <v>2016</v>
      </c>
      <c r="J2519" t="s">
        <v>20</v>
      </c>
      <c r="K2519" s="2" t="str">
        <f>HYPERLINK("https://www.nba.com/stats/events?CFID=&amp;CFPARAMS=&amp;GameEventID=11&amp;GameID=0021600942&amp;Season=2016-17&amp;flag=1&amp;title=Leonard%2026'%203PT%20Jump%20Shot%20(5%20PTS)%20(Green%201%20AST)", "Leonard 26' 3PT Jump Shot (5 PTS) (Green 1 AST)")</f>
        <v>Leonard 26' 3PT Jump Shot (5 PTS) (Green 1 AST)</v>
      </c>
      <c r="L2519" s="2" t="str">
        <f>HYPERLINK("https://www.nba.com/game/...-vs-...-0021600942/play-by-play?watchFullGame=true", "SAS vs HOU - Q1 10:02.00")</f>
        <v>SAS vs HOU - Q1 10:02.00</v>
      </c>
      <c r="M2519">
        <v>26</v>
      </c>
      <c r="N2519">
        <v>186</v>
      </c>
      <c r="O2519">
        <v>183</v>
      </c>
      <c r="P2519">
        <v>186</v>
      </c>
      <c r="Q2519">
        <v>183</v>
      </c>
      <c r="R2519" t="s">
        <v>21</v>
      </c>
      <c r="S2519" t="s">
        <v>21</v>
      </c>
    </row>
    <row r="2520" spans="1:19" hidden="1" x14ac:dyDescent="0.25">
      <c r="A2520">
        <v>21600657</v>
      </c>
      <c r="B2520" t="s">
        <v>26</v>
      </c>
      <c r="C2520" t="s">
        <v>19</v>
      </c>
      <c r="D2520">
        <v>91</v>
      </c>
      <c r="E2520">
        <v>89</v>
      </c>
      <c r="F2520">
        <v>2</v>
      </c>
      <c r="G2520">
        <v>4</v>
      </c>
      <c r="H2520" s="1">
        <v>7.0023148148148145E-3</v>
      </c>
      <c r="I2520">
        <v>2016</v>
      </c>
      <c r="J2520" t="s">
        <v>20</v>
      </c>
      <c r="K2520" s="2" t="str">
        <f>HYPERLINK("https://www.nba.com/stats/events?CFID=&amp;CFPARAMS=&amp;GameEventID=386&amp;GameID=0021600657&amp;Season=2016-17&amp;flag=1&amp;title=Leonard%2026'%203PT%20Jump%20Shot%20(30%20PTS)%20(Anderson%202%20AST)", "Leonard 26' 3PT Jump Shot (30 PTS) (Anderson 2 AST)")</f>
        <v>Leonard 26' 3PT Jump Shot (30 PTS) (Anderson 2 AST)</v>
      </c>
      <c r="L2520" s="2" t="str">
        <f>HYPERLINK("https://www.nba.com/game/...-vs-...-0021600657/play-by-play?watchFullGame=true", "SAS vs CLE - Q4 10:05.00")</f>
        <v>SAS vs CLE - Q4 10:05.00</v>
      </c>
      <c r="M2520">
        <v>26</v>
      </c>
      <c r="N2520">
        <v>-161</v>
      </c>
      <c r="O2520">
        <v>200</v>
      </c>
      <c r="P2520">
        <v>-161</v>
      </c>
      <c r="Q2520">
        <v>200</v>
      </c>
      <c r="R2520" t="s">
        <v>21</v>
      </c>
      <c r="S2520" t="s">
        <v>21</v>
      </c>
    </row>
    <row r="2521" spans="1:19" hidden="1" x14ac:dyDescent="0.25">
      <c r="A2521">
        <v>41800214</v>
      </c>
      <c r="B2521" t="s">
        <v>26</v>
      </c>
      <c r="C2521" t="s">
        <v>36</v>
      </c>
      <c r="D2521">
        <v>52</v>
      </c>
      <c r="E2521">
        <v>49</v>
      </c>
      <c r="F2521">
        <v>3</v>
      </c>
      <c r="G2521">
        <v>3</v>
      </c>
      <c r="H2521" s="1">
        <v>7.0486111111111114E-3</v>
      </c>
      <c r="I2521" t="s">
        <v>60</v>
      </c>
      <c r="J2521" t="s">
        <v>48</v>
      </c>
      <c r="K2521" s="2" t="str">
        <f>HYPERLINK("https://www.nba.com/stats/events?CFID=&amp;CFPARAMS=&amp;GameEventID=359&amp;GameID=0041800214&amp;Season=2018-19&amp;flag=1&amp;title=Leonard%2026'%203PT%20Pullup%20Jump%20Shot%20(20%20PTS)", "Leonard 26' 3PT Pullup Jump Shot (20 PTS)")</f>
        <v>Leonard 26' 3PT Pullup Jump Shot (20 PTS)</v>
      </c>
      <c r="L2521" s="2" t="str">
        <f>HYPERLINK("https://www.nba.com/game/...-vs-...-0041800214/play-by-play?watchFullGame=true", "TOR vs PHI - Q3 10:09.00")</f>
        <v>TOR vs PHI - Q3 10:09.00</v>
      </c>
      <c r="M2521">
        <v>26</v>
      </c>
      <c r="N2521">
        <v>29</v>
      </c>
      <c r="O2521">
        <v>254</v>
      </c>
      <c r="P2521">
        <v>29</v>
      </c>
      <c r="Q2521">
        <v>254</v>
      </c>
      <c r="R2521" t="s">
        <v>21</v>
      </c>
      <c r="S2521" t="s">
        <v>21</v>
      </c>
    </row>
    <row r="2522" spans="1:19" hidden="1" x14ac:dyDescent="0.25">
      <c r="A2522">
        <v>21500790</v>
      </c>
      <c r="B2522" t="s">
        <v>26</v>
      </c>
      <c r="C2522" t="s">
        <v>19</v>
      </c>
      <c r="D2522">
        <v>55</v>
      </c>
      <c r="E2522">
        <v>51</v>
      </c>
      <c r="F2522">
        <v>4</v>
      </c>
      <c r="G2522">
        <v>3</v>
      </c>
      <c r="H2522" s="1">
        <v>7.1064814814814819E-3</v>
      </c>
      <c r="I2522">
        <v>2015</v>
      </c>
      <c r="J2522" t="s">
        <v>20</v>
      </c>
      <c r="K2522" s="2" t="str">
        <f>HYPERLINK("https://www.nba.com/stats/events?CFID=&amp;CFPARAMS=&amp;GameEventID=267&amp;GameID=0021500790&amp;Season=2015-16&amp;flag=1&amp;title=Leonard%2026'%203PT%20Jump%20Shot%20(18%20PTS)%20(Aldridge%202%20AST)", "Leonard 26' 3PT Jump Shot (18 PTS) (Aldridge 2 AST)")</f>
        <v>Leonard 26' 3PT Jump Shot (18 PTS) (Aldridge 2 AST)</v>
      </c>
      <c r="L2522" s="2" t="str">
        <f>HYPERLINK("https://www.nba.com/game/...-vs-...-0021500790/play-by-play?watchFullGame=true", "SAS vs ORL - Q3 10:14.00")</f>
        <v>SAS vs ORL - Q3 10:14.00</v>
      </c>
      <c r="M2522">
        <v>26</v>
      </c>
      <c r="N2522">
        <v>-32</v>
      </c>
      <c r="O2522">
        <v>254</v>
      </c>
      <c r="P2522">
        <v>-32</v>
      </c>
      <c r="Q2522">
        <v>254</v>
      </c>
      <c r="R2522" t="s">
        <v>21</v>
      </c>
      <c r="S2522" t="s">
        <v>21</v>
      </c>
    </row>
    <row r="2523" spans="1:19" hidden="1" x14ac:dyDescent="0.25">
      <c r="A2523">
        <v>41800401</v>
      </c>
      <c r="B2523" t="s">
        <v>26</v>
      </c>
      <c r="C2523" t="s">
        <v>36</v>
      </c>
      <c r="D2523">
        <v>6</v>
      </c>
      <c r="E2523">
        <v>4</v>
      </c>
      <c r="F2523">
        <v>2</v>
      </c>
      <c r="G2523">
        <v>1</v>
      </c>
      <c r="H2523" s="1">
        <v>7.1180555555555554E-3</v>
      </c>
      <c r="I2523" t="s">
        <v>60</v>
      </c>
      <c r="J2523" t="s">
        <v>48</v>
      </c>
      <c r="K2523" s="2" t="str">
        <f>HYPERLINK("https://www.nba.com/stats/events?CFID=&amp;CFPARAMS=&amp;GameEventID=24&amp;GameID=0041800401&amp;Season=2018-19&amp;flag=1&amp;title=Leonard%2026'%203PT%20Pullup%20Jump%20Shot%20(3%20PTS)", "Leonard 26' 3PT Pullup Jump Shot (3 PTS)")</f>
        <v>Leonard 26' 3PT Pullup Jump Shot (3 PTS)</v>
      </c>
      <c r="L2523" s="2" t="str">
        <f>HYPERLINK("https://www.nba.com/game/...-vs-...-0041800401/play-by-play?watchFullGame=true", "TOR vs GSW - Q1 10:15.00")</f>
        <v>TOR vs GSW - Q1 10:15.00</v>
      </c>
      <c r="M2523">
        <v>26</v>
      </c>
      <c r="N2523">
        <v>81</v>
      </c>
      <c r="O2523">
        <v>247</v>
      </c>
      <c r="P2523">
        <v>81</v>
      </c>
      <c r="Q2523">
        <v>247</v>
      </c>
      <c r="R2523" t="s">
        <v>21</v>
      </c>
      <c r="S2523" t="s">
        <v>21</v>
      </c>
    </row>
    <row r="2524" spans="1:19" hidden="1" x14ac:dyDescent="0.25">
      <c r="A2524">
        <v>21600264</v>
      </c>
      <c r="B2524" t="s">
        <v>26</v>
      </c>
      <c r="C2524" t="s">
        <v>19</v>
      </c>
      <c r="D2524">
        <v>48</v>
      </c>
      <c r="E2524">
        <v>49</v>
      </c>
      <c r="F2524">
        <v>1</v>
      </c>
      <c r="G2524">
        <v>3</v>
      </c>
      <c r="H2524" s="1">
        <v>7.1759259259259259E-3</v>
      </c>
      <c r="I2524">
        <v>2016</v>
      </c>
      <c r="J2524" t="s">
        <v>20</v>
      </c>
      <c r="K2524" s="2" t="str">
        <f>HYPERLINK("https://www.nba.com/stats/events?CFID=&amp;CFPARAMS=&amp;GameEventID=256&amp;GameID=0021600264&amp;Season=2016-17&amp;flag=1&amp;title=Leonard%2026'%203PT%20Jump%20Shot%20(12%20PTS)%20(Gasol%203%20AST)", "Leonard 26' 3PT Jump Shot (12 PTS) (Gasol 3 AST)")</f>
        <v>Leonard 26' 3PT Jump Shot (12 PTS) (Gasol 3 AST)</v>
      </c>
      <c r="L2524" s="2" t="str">
        <f>HYPERLINK("https://www.nba.com/game/...-vs-...-0021600264/play-by-play?watchFullGame=true", "SAS vs ORL - Q3 10:20.00")</f>
        <v>SAS vs ORL - Q3 10:20.00</v>
      </c>
      <c r="M2524">
        <v>26</v>
      </c>
      <c r="N2524">
        <v>17</v>
      </c>
      <c r="O2524">
        <v>259</v>
      </c>
      <c r="P2524">
        <v>17</v>
      </c>
      <c r="Q2524">
        <v>259</v>
      </c>
      <c r="R2524" t="s">
        <v>21</v>
      </c>
      <c r="S2524" t="s">
        <v>21</v>
      </c>
    </row>
    <row r="2525" spans="1:19" hidden="1" x14ac:dyDescent="0.25">
      <c r="A2525">
        <v>21600917</v>
      </c>
      <c r="B2525" t="s">
        <v>26</v>
      </c>
      <c r="C2525" t="s">
        <v>19</v>
      </c>
      <c r="D2525">
        <v>7</v>
      </c>
      <c r="E2525">
        <v>6</v>
      </c>
      <c r="F2525">
        <v>1</v>
      </c>
      <c r="G2525">
        <v>1</v>
      </c>
      <c r="H2525" s="1">
        <v>7.2222222222222219E-3</v>
      </c>
      <c r="I2525">
        <v>2016</v>
      </c>
      <c r="J2525" t="s">
        <v>20</v>
      </c>
      <c r="K2525" s="2" t="str">
        <f>HYPERLINK("https://www.nba.com/stats/events?CFID=&amp;CFPARAMS=&amp;GameEventID=14&amp;GameID=0021600917&amp;Season=2016-17&amp;flag=1&amp;title=Leonard%2026'%203PT%20Jump%20Shot%20(3%20PTS)", "Leonard 26' 3PT Jump Shot (3 PTS)")</f>
        <v>Leonard 26' 3PT Jump Shot (3 PTS)</v>
      </c>
      <c r="L2525" s="2" t="str">
        <f>HYPERLINK("https://www.nba.com/game/...-vs-...-0021600917/play-by-play?watchFullGame=true", "SAS vs NOP - Q1 10:24.00")</f>
        <v>SAS vs NOP - Q1 10:24.00</v>
      </c>
      <c r="M2525">
        <v>26</v>
      </c>
      <c r="N2525">
        <v>-142</v>
      </c>
      <c r="O2525">
        <v>223</v>
      </c>
      <c r="P2525">
        <v>-142</v>
      </c>
      <c r="Q2525">
        <v>223</v>
      </c>
      <c r="R2525" t="s">
        <v>21</v>
      </c>
      <c r="S2525" t="s">
        <v>21</v>
      </c>
    </row>
    <row r="2526" spans="1:19" hidden="1" x14ac:dyDescent="0.25">
      <c r="A2526">
        <v>21800739</v>
      </c>
      <c r="B2526" t="s">
        <v>26</v>
      </c>
      <c r="C2526" t="s">
        <v>19</v>
      </c>
      <c r="D2526">
        <v>6</v>
      </c>
      <c r="E2526">
        <v>5</v>
      </c>
      <c r="F2526">
        <v>1</v>
      </c>
      <c r="G2526">
        <v>1</v>
      </c>
      <c r="H2526" s="1">
        <v>7.4305555555555557E-3</v>
      </c>
      <c r="I2526">
        <v>2018</v>
      </c>
      <c r="J2526" t="s">
        <v>48</v>
      </c>
      <c r="K2526" s="2" t="str">
        <f>HYPERLINK("https://www.nba.com/stats/events?CFID=&amp;CFPARAMS=&amp;GameEventID=14&amp;GameID=0021800739&amp;Season=2018-19&amp;flag=1&amp;title=Leonard%2026'%203PT%20Jump%20Shot%20(3%20PTS)%20(Lowry%202%20AST)", "Leonard 26' 3PT Jump Shot (3 PTS) (Lowry 2 AST)")</f>
        <v>Leonard 26' 3PT Jump Shot (3 PTS) (Lowry 2 AST)</v>
      </c>
      <c r="L2526" s="2" t="str">
        <f>HYPERLINK("https://www.nba.com/game/...-vs-...-0021800739/play-by-play?watchFullGame=true", "TOR vs DAL - Q1 10:42.00")</f>
        <v>TOR vs DAL - Q1 10:42.00</v>
      </c>
      <c r="M2526">
        <v>26</v>
      </c>
      <c r="N2526">
        <v>195</v>
      </c>
      <c r="O2526">
        <v>168</v>
      </c>
      <c r="P2526">
        <v>195</v>
      </c>
      <c r="Q2526">
        <v>168</v>
      </c>
      <c r="R2526" t="s">
        <v>21</v>
      </c>
      <c r="S2526" t="s">
        <v>21</v>
      </c>
    </row>
    <row r="2527" spans="1:19" hidden="1" x14ac:dyDescent="0.25">
      <c r="A2527">
        <v>21400282</v>
      </c>
      <c r="B2527" t="s">
        <v>26</v>
      </c>
      <c r="C2527" t="s">
        <v>19</v>
      </c>
      <c r="D2527">
        <v>5</v>
      </c>
      <c r="E2527">
        <v>0</v>
      </c>
      <c r="F2527">
        <v>5</v>
      </c>
      <c r="G2527">
        <v>1</v>
      </c>
      <c r="H2527" s="1">
        <v>7.4999999999999997E-3</v>
      </c>
      <c r="I2527">
        <v>2014</v>
      </c>
      <c r="J2527" t="s">
        <v>20</v>
      </c>
      <c r="K2527" s="2" t="str">
        <f>HYPERLINK("https://www.nba.com/stats/events?CFID=&amp;CFPARAMS=&amp;GameEventID=11&amp;GameID=0021400282&amp;Season=2014-15&amp;flag=1&amp;title=Leonard%2026'%203PT%20Jump%20Shot%20(3%20PTS)%20(Parker%201%20AST)", "Leonard 26' 3PT Jump Shot (3 PTS) (Parker 1 AST)")</f>
        <v>Leonard 26' 3PT Jump Shot (3 PTS) (Parker 1 AST)</v>
      </c>
      <c r="L2527" s="2" t="str">
        <f>HYPERLINK("https://www.nba.com/game/...-vs-...-0021400282/play-by-play?watchFullGame=true", "SAS vs MEM - Q1 10:48.00")</f>
        <v>SAS vs MEM - Q1 10:48.00</v>
      </c>
      <c r="M2527">
        <v>26</v>
      </c>
      <c r="N2527">
        <v>147</v>
      </c>
      <c r="O2527">
        <v>211</v>
      </c>
      <c r="P2527">
        <v>147</v>
      </c>
      <c r="Q2527">
        <v>211</v>
      </c>
      <c r="R2527" t="s">
        <v>21</v>
      </c>
      <c r="S2527" t="s">
        <v>21</v>
      </c>
    </row>
    <row r="2528" spans="1:19" hidden="1" x14ac:dyDescent="0.25">
      <c r="A2528">
        <v>21800639</v>
      </c>
      <c r="B2528" t="s">
        <v>26</v>
      </c>
      <c r="C2528" t="s">
        <v>19</v>
      </c>
      <c r="D2528">
        <v>3</v>
      </c>
      <c r="E2528">
        <v>0</v>
      </c>
      <c r="F2528">
        <v>3</v>
      </c>
      <c r="G2528">
        <v>1</v>
      </c>
      <c r="H2528" s="1">
        <v>7.4999999999999997E-3</v>
      </c>
      <c r="I2528">
        <v>2018</v>
      </c>
      <c r="J2528" t="s">
        <v>48</v>
      </c>
      <c r="K2528" s="2" t="str">
        <f>HYPERLINK("https://www.nba.com/stats/events?CFID=&amp;CFPARAMS=&amp;GameEventID=15&amp;GameID=0021800639&amp;Season=2018-19&amp;flag=1&amp;title=Leonard%2026'%203PT%20Jump%20Shot%20(3%20PTS)%20(Lowry%201%20AST)", "Leonard 26' 3PT Jump Shot (3 PTS) (Lowry 1 AST)")</f>
        <v>Leonard 26' 3PT Jump Shot (3 PTS) (Lowry 1 AST)</v>
      </c>
      <c r="L2528" s="2" t="str">
        <f>HYPERLINK("https://www.nba.com/game/...-vs-...-0021800639/play-by-play?watchFullGame=true", "TOR vs WAS - Q1 10:48.00")</f>
        <v>TOR vs WAS - Q1 10:48.00</v>
      </c>
      <c r="M2528">
        <v>26</v>
      </c>
      <c r="N2528">
        <v>152</v>
      </c>
      <c r="O2528">
        <v>215</v>
      </c>
      <c r="P2528">
        <v>152</v>
      </c>
      <c r="Q2528">
        <v>215</v>
      </c>
      <c r="R2528" t="s">
        <v>21</v>
      </c>
      <c r="S2528" t="s">
        <v>21</v>
      </c>
    </row>
    <row r="2529" spans="1:19" hidden="1" x14ac:dyDescent="0.25">
      <c r="A2529">
        <v>21501043</v>
      </c>
      <c r="B2529" t="s">
        <v>26</v>
      </c>
      <c r="C2529" t="s">
        <v>19</v>
      </c>
      <c r="D2529">
        <v>5</v>
      </c>
      <c r="E2529">
        <v>2</v>
      </c>
      <c r="F2529">
        <v>3</v>
      </c>
      <c r="G2529">
        <v>1</v>
      </c>
      <c r="H2529" s="1">
        <v>7.5578703703703702E-3</v>
      </c>
      <c r="I2529">
        <v>2015</v>
      </c>
      <c r="J2529" t="s">
        <v>20</v>
      </c>
      <c r="K2529" s="2" t="str">
        <f>HYPERLINK("https://www.nba.com/stats/events?CFID=&amp;CFPARAMS=&amp;GameEventID=13&amp;GameID=0021501043&amp;Season=2015-16&amp;flag=1&amp;title=Leonard%2026'%203PT%20Jump%20Shot%20(3%20PTS)%20(Parker%202%20AST)", "Leonard 26' 3PT Jump Shot (3 PTS) (Parker 2 AST)")</f>
        <v>Leonard 26' 3PT Jump Shot (3 PTS) (Parker 2 AST)</v>
      </c>
      <c r="L2529" s="2" t="str">
        <f>HYPERLINK("https://www.nba.com/game/...-vs-...-0021501043/play-by-play?watchFullGame=true", "SAS vs CHA - Q1 10:53.00")</f>
        <v>SAS vs CHA - Q1 10:53.00</v>
      </c>
      <c r="M2529">
        <v>26</v>
      </c>
      <c r="N2529">
        <v>107</v>
      </c>
      <c r="O2529">
        <v>232</v>
      </c>
      <c r="P2529">
        <v>107</v>
      </c>
      <c r="Q2529">
        <v>232</v>
      </c>
      <c r="R2529" t="s">
        <v>21</v>
      </c>
      <c r="S2529" t="s">
        <v>21</v>
      </c>
    </row>
    <row r="2530" spans="1:19" hidden="1" x14ac:dyDescent="0.25">
      <c r="A2530">
        <v>21300082</v>
      </c>
      <c r="B2530" t="s">
        <v>26</v>
      </c>
      <c r="C2530" t="s">
        <v>19</v>
      </c>
      <c r="D2530">
        <v>5</v>
      </c>
      <c r="E2530">
        <v>0</v>
      </c>
      <c r="F2530">
        <v>5</v>
      </c>
      <c r="G2530">
        <v>1</v>
      </c>
      <c r="H2530" s="1">
        <v>7.5925925925925926E-3</v>
      </c>
      <c r="I2530">
        <v>2013</v>
      </c>
      <c r="J2530" t="s">
        <v>20</v>
      </c>
      <c r="K2530" s="2" t="str">
        <f>HYPERLINK("https://www.nba.com/stats/events?CFID=&amp;CFPARAMS=&amp;GameEventID=8&amp;GameID=0021300082&amp;Season=2013-14&amp;flag=1&amp;title=Leonard%2026'%203PT%20Jump%20Shot%20(3%20PTS)%20(Duncan%201%20AST)", "Leonard 26' 3PT Jump Shot (3 PTS) (Duncan 1 AST)")</f>
        <v>Leonard 26' 3PT Jump Shot (3 PTS) (Duncan 1 AST)</v>
      </c>
      <c r="L2530" s="2" t="str">
        <f>HYPERLINK("https://www.nba.com/game/...-vs-...-0021300082/play-by-play?watchFullGame=true", "SAS vs GSW - Q1 10:56.00")</f>
        <v>SAS vs GSW - Q1 10:56.00</v>
      </c>
      <c r="M2530">
        <v>26</v>
      </c>
      <c r="N2530">
        <v>80</v>
      </c>
      <c r="O2530">
        <v>250</v>
      </c>
      <c r="P2530">
        <v>80</v>
      </c>
      <c r="Q2530">
        <v>250</v>
      </c>
      <c r="R2530" t="s">
        <v>21</v>
      </c>
      <c r="S2530" t="s">
        <v>21</v>
      </c>
    </row>
    <row r="2531" spans="1:19" hidden="1" x14ac:dyDescent="0.25">
      <c r="A2531">
        <v>21600032</v>
      </c>
      <c r="B2531" t="s">
        <v>26</v>
      </c>
      <c r="C2531" t="s">
        <v>19</v>
      </c>
      <c r="D2531">
        <v>58</v>
      </c>
      <c r="E2531">
        <v>47</v>
      </c>
      <c r="F2531">
        <v>11</v>
      </c>
      <c r="G2531">
        <v>3</v>
      </c>
      <c r="H2531" s="1">
        <v>7.6851851851851855E-3</v>
      </c>
      <c r="I2531">
        <v>2016</v>
      </c>
      <c r="J2531" t="s">
        <v>20</v>
      </c>
      <c r="K2531" s="2" t="str">
        <f>HYPERLINK("https://www.nba.com/stats/events?CFID=&amp;CFPARAMS=&amp;GameEventID=268&amp;GameID=0021600032&amp;Season=2016-17&amp;flag=1&amp;title=Leonard%2026'%203PT%20Jump%20Shot%20(7%20PTS)%20(Mills%204%20AST)", "Leonard 26' 3PT Jump Shot (7 PTS) (Mills 4 AST)")</f>
        <v>Leonard 26' 3PT Jump Shot (7 PTS) (Mills 4 AST)</v>
      </c>
      <c r="L2531" s="2" t="str">
        <f>HYPERLINK("https://www.nba.com/game/...-vs-...-0021600032/play-by-play?watchFullGame=true", "SAS vs NOP - Q3 11:04.00")</f>
        <v>SAS vs NOP - Q3 11:04.00</v>
      </c>
      <c r="M2531">
        <v>26</v>
      </c>
      <c r="N2531">
        <v>-155</v>
      </c>
      <c r="O2531">
        <v>203</v>
      </c>
      <c r="P2531">
        <v>-155</v>
      </c>
      <c r="Q2531">
        <v>203</v>
      </c>
      <c r="R2531" t="s">
        <v>21</v>
      </c>
      <c r="S2531" t="s">
        <v>21</v>
      </c>
    </row>
    <row r="2532" spans="1:19" hidden="1" x14ac:dyDescent="0.25">
      <c r="A2532">
        <v>21500280</v>
      </c>
      <c r="B2532" t="s">
        <v>26</v>
      </c>
      <c r="C2532" t="s">
        <v>30</v>
      </c>
      <c r="D2532">
        <v>48</v>
      </c>
      <c r="E2532">
        <v>36</v>
      </c>
      <c r="F2532">
        <v>12</v>
      </c>
      <c r="G2532">
        <v>3</v>
      </c>
      <c r="H2532" s="1">
        <v>7.7314814814814815E-3</v>
      </c>
      <c r="I2532">
        <v>2015</v>
      </c>
      <c r="J2532" t="s">
        <v>20</v>
      </c>
      <c r="K2532" s="2" t="str">
        <f>HYPERLINK("https://www.nba.com/stats/events?CFID=&amp;CFPARAMS=&amp;GameEventID=247&amp;GameID=0021500280&amp;Season=2015-16&amp;flag=1&amp;title=Leonard%2026'%203PT%20Running%20Jump%20Shot%20(10%20PTS)%20(Parker%202%20AST)", "Leonard 26' 3PT Running Jump Shot (10 PTS) (Parker 2 AST)")</f>
        <v>Leonard 26' 3PT Running Jump Shot (10 PTS) (Parker 2 AST)</v>
      </c>
      <c r="L2532" s="2" t="str">
        <f>HYPERLINK("https://www.nba.com/game/...-vs-...-0021500280/play-by-play?watchFullGame=true", "SAS vs MEM - Q3 11:08.00")</f>
        <v>SAS vs MEM - Q3 11:08.00</v>
      </c>
      <c r="M2532">
        <v>26</v>
      </c>
      <c r="N2532">
        <v>-245</v>
      </c>
      <c r="O2532">
        <v>72</v>
      </c>
      <c r="P2532">
        <v>-245</v>
      </c>
      <c r="Q2532">
        <v>72</v>
      </c>
      <c r="R2532" t="s">
        <v>21</v>
      </c>
      <c r="S2532" t="s">
        <v>21</v>
      </c>
    </row>
    <row r="2533" spans="1:19" hidden="1" x14ac:dyDescent="0.25">
      <c r="A2533">
        <v>21601209</v>
      </c>
      <c r="B2533" t="s">
        <v>26</v>
      </c>
      <c r="C2533" t="s">
        <v>36</v>
      </c>
      <c r="D2533">
        <v>46</v>
      </c>
      <c r="E2533">
        <v>50</v>
      </c>
      <c r="F2533">
        <v>4</v>
      </c>
      <c r="G2533">
        <v>3</v>
      </c>
      <c r="H2533" s="1">
        <v>7.743055555555556E-3</v>
      </c>
      <c r="I2533">
        <v>2016</v>
      </c>
      <c r="J2533" t="s">
        <v>20</v>
      </c>
      <c r="K2533" s="2" t="str">
        <f>HYPERLINK("https://www.nba.com/stats/events?CFID=&amp;CFPARAMS=&amp;GameEventID=266&amp;GameID=0021601209&amp;Season=2016-17&amp;flag=1&amp;title=Leonard%2026'%203PT%20Pullup%20Jump%20Shot%20(12%20PTS)", "Leonard 26' 3PT Pullup Jump Shot (12 PTS)")</f>
        <v>Leonard 26' 3PT Pullup Jump Shot (12 PTS)</v>
      </c>
      <c r="L2533" s="2" t="str">
        <f>HYPERLINK("https://www.nba.com/game/...-vs-...-0021601209/play-by-play?watchFullGame=true", "SAS vs POR - Q3 11:09.00")</f>
        <v>SAS vs POR - Q3 11:09.00</v>
      </c>
      <c r="M2533">
        <v>26</v>
      </c>
      <c r="N2533">
        <v>168</v>
      </c>
      <c r="O2533">
        <v>193</v>
      </c>
      <c r="P2533">
        <v>168</v>
      </c>
      <c r="Q2533">
        <v>193</v>
      </c>
      <c r="R2533" t="s">
        <v>21</v>
      </c>
      <c r="S2533" t="s">
        <v>21</v>
      </c>
    </row>
    <row r="2534" spans="1:19" hidden="1" x14ac:dyDescent="0.25">
      <c r="A2534">
        <v>21600825</v>
      </c>
      <c r="B2534" t="s">
        <v>26</v>
      </c>
      <c r="C2534" t="s">
        <v>19</v>
      </c>
      <c r="D2534">
        <v>3</v>
      </c>
      <c r="E2534">
        <v>0</v>
      </c>
      <c r="F2534">
        <v>3</v>
      </c>
      <c r="G2534">
        <v>1</v>
      </c>
      <c r="H2534" s="1">
        <v>7.7777777777777776E-3</v>
      </c>
      <c r="I2534">
        <v>2016</v>
      </c>
      <c r="J2534" t="s">
        <v>20</v>
      </c>
      <c r="K2534" s="2" t="str">
        <f>HYPERLINK("https://www.nba.com/stats/events?CFID=&amp;CFPARAMS=&amp;GameEventID=6&amp;GameID=0021600825&amp;Season=2016-17&amp;flag=1&amp;title=Leonard%2026'%203PT%20Jump%20Shot%20(3%20PTS)%20(Aldridge%201%20AST)", "Leonard 26' 3PT Jump Shot (3 PTS) (Aldridge 1 AST)")</f>
        <v>Leonard 26' 3PT Jump Shot (3 PTS) (Aldridge 1 AST)</v>
      </c>
      <c r="L2534" s="2" t="str">
        <f>HYPERLINK("https://www.nba.com/game/...-vs-...-0021600825/play-by-play?watchFullGame=true", "SAS vs IND - Q1 11:12.00")</f>
        <v>SAS vs IND - Q1 11:12.00</v>
      </c>
      <c r="M2534">
        <v>26</v>
      </c>
      <c r="N2534">
        <v>146</v>
      </c>
      <c r="O2534">
        <v>210</v>
      </c>
      <c r="P2534">
        <v>146</v>
      </c>
      <c r="Q2534">
        <v>210</v>
      </c>
      <c r="R2534" t="s">
        <v>21</v>
      </c>
      <c r="S2534" t="s">
        <v>21</v>
      </c>
    </row>
    <row r="2535" spans="1:19" hidden="1" x14ac:dyDescent="0.25">
      <c r="A2535">
        <v>41800404</v>
      </c>
      <c r="B2535" t="s">
        <v>26</v>
      </c>
      <c r="C2535" t="s">
        <v>19</v>
      </c>
      <c r="D2535">
        <v>48</v>
      </c>
      <c r="E2535">
        <v>46</v>
      </c>
      <c r="F2535">
        <v>2</v>
      </c>
      <c r="G2535">
        <v>3</v>
      </c>
      <c r="H2535" s="1">
        <v>7.8009259259259256E-3</v>
      </c>
      <c r="I2535" t="s">
        <v>60</v>
      </c>
      <c r="J2535" t="s">
        <v>48</v>
      </c>
      <c r="K2535" s="2" t="str">
        <f>HYPERLINK("https://www.nba.com/stats/events?CFID=&amp;CFPARAMS=&amp;GameEventID=329&amp;GameID=0041800404&amp;Season=2018-19&amp;flag=1&amp;title=Leonard%2026'%203PT%20Jump%20Shot%20(20%20PTS)", "Leonard 26' 3PT Jump Shot (20 PTS)")</f>
        <v>Leonard 26' 3PT Jump Shot (20 PTS)</v>
      </c>
      <c r="L2535" s="2" t="str">
        <f>HYPERLINK("https://www.nba.com/game/...-vs-...-0041800404/play-by-play?watchFullGame=true", "TOR vs GSW - Q3 11:14.00")</f>
        <v>TOR vs GSW - Q3 11:14.00</v>
      </c>
      <c r="M2535">
        <v>26</v>
      </c>
      <c r="N2535">
        <v>109</v>
      </c>
      <c r="O2535">
        <v>231</v>
      </c>
      <c r="P2535">
        <v>109</v>
      </c>
      <c r="Q2535">
        <v>231</v>
      </c>
      <c r="R2535" t="s">
        <v>21</v>
      </c>
      <c r="S2535" t="s">
        <v>21</v>
      </c>
    </row>
    <row r="2536" spans="1:19" hidden="1" x14ac:dyDescent="0.25">
      <c r="A2536">
        <v>41600232</v>
      </c>
      <c r="B2536" t="s">
        <v>26</v>
      </c>
      <c r="C2536" t="s">
        <v>19</v>
      </c>
      <c r="D2536">
        <v>3</v>
      </c>
      <c r="E2536">
        <v>0</v>
      </c>
      <c r="F2536">
        <v>3</v>
      </c>
      <c r="G2536">
        <v>1</v>
      </c>
      <c r="H2536" s="1">
        <v>7.8125E-3</v>
      </c>
      <c r="I2536" t="s">
        <v>58</v>
      </c>
      <c r="J2536" t="s">
        <v>20</v>
      </c>
      <c r="K2536" s="2" t="str">
        <f>HYPERLINK("https://www.nba.com/stats/events?CFID=&amp;CFPARAMS=&amp;GameEventID=5&amp;GameID=0041600232&amp;Season=2016-17&amp;flag=1&amp;title=Leonard%2026'%203PT%20Jump%20Shot%20(3%20PTS)%20(Green%201%20AST)", "Leonard 26' 3PT Jump Shot (3 PTS) (Green 1 AST)")</f>
        <v>Leonard 26' 3PT Jump Shot (3 PTS) (Green 1 AST)</v>
      </c>
      <c r="L2536" s="2" t="str">
        <f>HYPERLINK("https://www.nba.com/game/...-vs-...-0041600232/play-by-play?watchFullGame=true", "SAS vs HOU - Q1 11:15.00")</f>
        <v>SAS vs HOU - Q1 11:15.00</v>
      </c>
      <c r="M2536">
        <v>26</v>
      </c>
      <c r="N2536">
        <v>-63</v>
      </c>
      <c r="O2536">
        <v>252</v>
      </c>
      <c r="P2536">
        <v>-63</v>
      </c>
      <c r="Q2536">
        <v>252</v>
      </c>
      <c r="R2536" t="s">
        <v>21</v>
      </c>
      <c r="S2536" t="s">
        <v>21</v>
      </c>
    </row>
    <row r="2537" spans="1:19" hidden="1" x14ac:dyDescent="0.25">
      <c r="A2537">
        <v>21801044</v>
      </c>
      <c r="B2537" t="s">
        <v>26</v>
      </c>
      <c r="C2537" t="s">
        <v>19</v>
      </c>
      <c r="D2537">
        <v>52</v>
      </c>
      <c r="E2537">
        <v>52</v>
      </c>
      <c r="F2537">
        <v>0</v>
      </c>
      <c r="G2537">
        <v>3</v>
      </c>
      <c r="H2537" s="1">
        <v>7.8703703703703696E-3</v>
      </c>
      <c r="I2537">
        <v>2018</v>
      </c>
      <c r="J2537" t="s">
        <v>48</v>
      </c>
      <c r="K2537" s="2" t="str">
        <f>HYPERLINK("https://www.nba.com/stats/events?CFID=&amp;CFPARAMS=&amp;GameEventID=294&amp;GameID=0021801044&amp;Season=2018-19&amp;flag=1&amp;title=Leonard%2026'%203PT%20Jump%20Shot%20(19%20PTS)%20(Gasol%205%20AST)", "Leonard 26' 3PT Jump Shot (19 PTS) (Gasol 5 AST)")</f>
        <v>Leonard 26' 3PT Jump Shot (19 PTS) (Gasol 5 AST)</v>
      </c>
      <c r="L2537" s="2" t="str">
        <f>HYPERLINK("https://www.nba.com/game/...-vs-...-0021801044/play-by-play?watchFullGame=true", "TOR vs DET - Q3 11:20.00")</f>
        <v>TOR vs DET - Q3 11:20.00</v>
      </c>
      <c r="M2537">
        <v>26</v>
      </c>
      <c r="N2537">
        <v>134</v>
      </c>
      <c r="O2537">
        <v>221</v>
      </c>
      <c r="P2537">
        <v>134</v>
      </c>
      <c r="Q2537">
        <v>221</v>
      </c>
      <c r="R2537" t="s">
        <v>21</v>
      </c>
      <c r="S2537" t="s">
        <v>21</v>
      </c>
    </row>
    <row r="2538" spans="1:19" hidden="1" x14ac:dyDescent="0.25">
      <c r="A2538">
        <v>41800404</v>
      </c>
      <c r="B2538" t="s">
        <v>26</v>
      </c>
      <c r="C2538" t="s">
        <v>19</v>
      </c>
      <c r="D2538">
        <v>45</v>
      </c>
      <c r="E2538">
        <v>46</v>
      </c>
      <c r="F2538">
        <v>1</v>
      </c>
      <c r="G2538">
        <v>3</v>
      </c>
      <c r="H2538" s="1">
        <v>7.9861111111111105E-3</v>
      </c>
      <c r="I2538" t="s">
        <v>60</v>
      </c>
      <c r="J2538" t="s">
        <v>48</v>
      </c>
      <c r="K2538" s="2" t="str">
        <f>HYPERLINK("https://www.nba.com/stats/events?CFID=&amp;CFPARAMS=&amp;GameEventID=330&amp;GameID=0041800404&amp;Season=2018-19&amp;flag=1&amp;title=Leonard%2026'%203PT%20Jump%20Shot%20(17%20PTS)%20(VanVleet%202%20AST)", "Leonard 26' 3PT Jump Shot (17 PTS) (VanVleet 2 AST)")</f>
        <v>Leonard 26' 3PT Jump Shot (17 PTS) (VanVleet 2 AST)</v>
      </c>
      <c r="L2538" s="2" t="str">
        <f>HYPERLINK("https://www.nba.com/game/...-vs-...-0041800404/play-by-play?watchFullGame=true", "TOR vs GSW - Q3 11:30.00")</f>
        <v>TOR vs GSW - Q3 11:30.00</v>
      </c>
      <c r="M2538">
        <v>26</v>
      </c>
      <c r="N2538">
        <v>150</v>
      </c>
      <c r="O2538">
        <v>211</v>
      </c>
      <c r="P2538">
        <v>150</v>
      </c>
      <c r="Q2538">
        <v>211</v>
      </c>
      <c r="R2538" t="s">
        <v>21</v>
      </c>
      <c r="S2538" t="s">
        <v>21</v>
      </c>
    </row>
    <row r="2539" spans="1:19" hidden="1" x14ac:dyDescent="0.25">
      <c r="A2539">
        <v>21301102</v>
      </c>
      <c r="B2539" t="s">
        <v>26</v>
      </c>
      <c r="C2539" t="s">
        <v>19</v>
      </c>
      <c r="D2539">
        <v>51</v>
      </c>
      <c r="E2539">
        <v>35</v>
      </c>
      <c r="F2539">
        <v>16</v>
      </c>
      <c r="G2539">
        <v>3</v>
      </c>
      <c r="H2539" s="1">
        <v>8.0787037037037043E-3</v>
      </c>
      <c r="I2539">
        <v>2013</v>
      </c>
      <c r="J2539" t="s">
        <v>20</v>
      </c>
      <c r="K2539" s="2" t="str">
        <f>HYPERLINK("https://www.nba.com/stats/events?CFID=&amp;CFPARAMS=&amp;GameEventID=246&amp;GameID=0021301102&amp;Season=2013-14&amp;flag=1&amp;title=Leonard%2026'%203PT%20Jump%20Shot%20(7%20PTS)%20(Duncan%202%20AST)", "Leonard 26' 3PT Jump Shot (7 PTS) (Duncan 2 AST)")</f>
        <v>Leonard 26' 3PT Jump Shot (7 PTS) (Duncan 2 AST)</v>
      </c>
      <c r="L2539" s="2" t="str">
        <f>HYPERLINK("https://www.nba.com/game/...-vs-...-0021301102/play-by-play?watchFullGame=true", "SAS vs IND - Q3 11:38.00")</f>
        <v>SAS vs IND - Q3 11:38.00</v>
      </c>
      <c r="M2539">
        <v>26</v>
      </c>
      <c r="N2539">
        <v>230</v>
      </c>
      <c r="O2539">
        <v>116</v>
      </c>
      <c r="P2539">
        <v>230</v>
      </c>
      <c r="Q2539">
        <v>116</v>
      </c>
      <c r="R2539" t="s">
        <v>21</v>
      </c>
      <c r="S2539" t="s">
        <v>21</v>
      </c>
    </row>
    <row r="2540" spans="1:19" hidden="1" x14ac:dyDescent="0.25">
      <c r="A2540">
        <v>21801023</v>
      </c>
      <c r="B2540" t="s">
        <v>26</v>
      </c>
      <c r="C2540" t="s">
        <v>30</v>
      </c>
      <c r="D2540">
        <v>65</v>
      </c>
      <c r="E2540">
        <v>54</v>
      </c>
      <c r="F2540">
        <v>11</v>
      </c>
      <c r="G2540">
        <v>2</v>
      </c>
      <c r="H2540" s="1">
        <v>0</v>
      </c>
      <c r="I2540">
        <v>2018</v>
      </c>
      <c r="J2540" t="s">
        <v>48</v>
      </c>
      <c r="K2540" s="2" t="str">
        <f>HYPERLINK("https://www.nba.com/stats/events?CFID=&amp;CFPARAMS=&amp;GameEventID=375&amp;GameID=0021801023&amp;Season=2018-19&amp;flag=1&amp;title=Leonard%2025'%203PT%20Running%20Jump%20Shot%20(16%20PTS)", "Leonard 25' 3PT Running Jump Shot (16 PTS)")</f>
        <v>Leonard 25' 3PT Running Jump Shot (16 PTS)</v>
      </c>
      <c r="L2540" s="2" t="str">
        <f>HYPERLINK("https://www.nba.com/game/...-vs-...-0021801023/play-by-play?watchFullGame=true", "TOR vs LAL - Q2 00:00.00")</f>
        <v>TOR vs LAL - Q2 00:00.00</v>
      </c>
      <c r="M2540">
        <v>25</v>
      </c>
      <c r="N2540">
        <v>-30</v>
      </c>
      <c r="O2540">
        <v>252</v>
      </c>
      <c r="P2540">
        <v>-30</v>
      </c>
      <c r="Q2540">
        <v>252</v>
      </c>
      <c r="R2540" t="s">
        <v>21</v>
      </c>
      <c r="S2540" t="s">
        <v>21</v>
      </c>
    </row>
    <row r="2541" spans="1:19" hidden="1" x14ac:dyDescent="0.25">
      <c r="A2541">
        <v>41400161</v>
      </c>
      <c r="B2541" t="s">
        <v>26</v>
      </c>
      <c r="C2541" t="s">
        <v>19</v>
      </c>
      <c r="D2541">
        <v>64</v>
      </c>
      <c r="E2541">
        <v>79</v>
      </c>
      <c r="F2541">
        <v>15</v>
      </c>
      <c r="G2541">
        <v>3</v>
      </c>
      <c r="H2541" s="1">
        <v>1.1574074074074074E-6</v>
      </c>
      <c r="I2541" t="s">
        <v>56</v>
      </c>
      <c r="J2541" t="s">
        <v>20</v>
      </c>
      <c r="K2541" s="2" t="str">
        <f>HYPERLINK("https://www.nba.com/stats/events?CFID=&amp;CFPARAMS=&amp;GameEventID=472&amp;GameID=0041400161&amp;Season=2014-15&amp;flag=1&amp;title=Leonard%2025'%203PT%20Jump%20Shot%20(16%20PTS)%20(Ginobili%206%20AST)", "Leonard 25' 3PT Jump Shot (16 PTS) (Ginobili 6 AST)")</f>
        <v>Leonard 25' 3PT Jump Shot (16 PTS) (Ginobili 6 AST)</v>
      </c>
      <c r="L2541" s="2" t="str">
        <f>HYPERLINK("https://www.nba.com/game/...-vs-...-0041400161/play-by-play?watchFullGame=true", "SAS vs LAC - Q3 00:00.10")</f>
        <v>SAS vs LAC - Q3 00:00.10</v>
      </c>
      <c r="M2541">
        <v>25</v>
      </c>
      <c r="N2541">
        <v>181</v>
      </c>
      <c r="O2541">
        <v>175</v>
      </c>
      <c r="P2541">
        <v>181</v>
      </c>
      <c r="Q2541">
        <v>175</v>
      </c>
      <c r="R2541" t="s">
        <v>21</v>
      </c>
      <c r="S2541" t="s">
        <v>21</v>
      </c>
    </row>
    <row r="2542" spans="1:19" hidden="1" x14ac:dyDescent="0.25">
      <c r="A2542">
        <v>21301221</v>
      </c>
      <c r="B2542" t="s">
        <v>26</v>
      </c>
      <c r="C2542" t="s">
        <v>19</v>
      </c>
      <c r="D2542">
        <v>23</v>
      </c>
      <c r="E2542">
        <v>33</v>
      </c>
      <c r="F2542">
        <v>10</v>
      </c>
      <c r="G2542">
        <v>1</v>
      </c>
      <c r="H2542" s="1">
        <v>1.8518518518518518E-5</v>
      </c>
      <c r="I2542">
        <v>2013</v>
      </c>
      <c r="J2542" t="s">
        <v>20</v>
      </c>
      <c r="K2542" s="2" t="str">
        <f>HYPERLINK("https://www.nba.com/stats/events?CFID=&amp;CFPARAMS=&amp;GameEventID=124&amp;GameID=0021301221&amp;Season=2013-14&amp;flag=1&amp;title=Leonard%2025'%203PT%20Jump%20Shot%20(5%20PTS)%20(Ginobili%201%20AST)", "Leonard 25' 3PT Jump Shot (5 PTS) (Ginobili 1 AST)")</f>
        <v>Leonard 25' 3PT Jump Shot (5 PTS) (Ginobili 1 AST)</v>
      </c>
      <c r="L2542" s="2" t="str">
        <f>HYPERLINK("https://www.nba.com/game/...-vs-...-0021301221/play-by-play?watchFullGame=true", "SAS vs LAL - Q1 00:01.60")</f>
        <v>SAS vs LAL - Q1 00:01.60</v>
      </c>
      <c r="M2542">
        <v>25</v>
      </c>
      <c r="N2542">
        <v>193</v>
      </c>
      <c r="O2542">
        <v>165</v>
      </c>
      <c r="P2542">
        <v>193</v>
      </c>
      <c r="Q2542">
        <v>165</v>
      </c>
      <c r="R2542" t="s">
        <v>21</v>
      </c>
      <c r="S2542" t="s">
        <v>21</v>
      </c>
    </row>
    <row r="2543" spans="1:19" hidden="1" x14ac:dyDescent="0.25">
      <c r="A2543">
        <v>21600114</v>
      </c>
      <c r="B2543" t="s">
        <v>26</v>
      </c>
      <c r="C2543" t="s">
        <v>19</v>
      </c>
      <c r="D2543">
        <v>24</v>
      </c>
      <c r="E2543">
        <v>33</v>
      </c>
      <c r="F2543">
        <v>9</v>
      </c>
      <c r="G2543">
        <v>1</v>
      </c>
      <c r="H2543" s="1">
        <v>6.4814814814814816E-5</v>
      </c>
      <c r="I2543">
        <v>2016</v>
      </c>
      <c r="J2543" t="s">
        <v>20</v>
      </c>
      <c r="K2543" s="2" t="str">
        <f>HYPERLINK("https://www.nba.com/stats/events?CFID=&amp;CFPARAMS=&amp;GameEventID=131&amp;GameID=0021600114&amp;Season=2016-17&amp;flag=1&amp;title=Leonard%2025'%203PT%20Jump%20Shot%20(10%20PTS)%20(Ginobili%201%20AST)", "Leonard 25' 3PT Jump Shot (10 PTS) (Ginobili 1 AST)")</f>
        <v>Leonard 25' 3PT Jump Shot (10 PTS) (Ginobili 1 AST)</v>
      </c>
      <c r="L2543" s="2" t="str">
        <f>HYPERLINK("https://www.nba.com/game/...-vs-...-0021600114/play-by-play?watchFullGame=true", "SAS vs HOU - Q1 00:05.60")</f>
        <v>SAS vs HOU - Q1 00:05.60</v>
      </c>
      <c r="M2543">
        <v>25</v>
      </c>
      <c r="N2543">
        <v>155</v>
      </c>
      <c r="O2543">
        <v>200</v>
      </c>
      <c r="P2543">
        <v>155</v>
      </c>
      <c r="Q2543">
        <v>200</v>
      </c>
      <c r="R2543" t="s">
        <v>21</v>
      </c>
      <c r="S2543" t="s">
        <v>21</v>
      </c>
    </row>
    <row r="2544" spans="1:19" hidden="1" x14ac:dyDescent="0.25">
      <c r="A2544">
        <v>21700449</v>
      </c>
      <c r="B2544" t="s">
        <v>26</v>
      </c>
      <c r="C2544" t="s">
        <v>36</v>
      </c>
      <c r="D2544">
        <v>57</v>
      </c>
      <c r="E2544">
        <v>47</v>
      </c>
      <c r="F2544">
        <v>10</v>
      </c>
      <c r="G2544">
        <v>2</v>
      </c>
      <c r="H2544" s="1">
        <v>1.0416666666666667E-4</v>
      </c>
      <c r="I2544">
        <v>2017</v>
      </c>
      <c r="J2544" t="s">
        <v>20</v>
      </c>
      <c r="K2544" s="2" t="str">
        <f>HYPERLINK("https://www.nba.com/stats/events?CFID=&amp;CFPARAMS=&amp;GameEventID=332&amp;GameID=0021700449&amp;Season=2017-18&amp;flag=1&amp;title=Leonard%2025'%203PT%20Pullup%20Jump%20Shot%20(7%20PTS)", "Leonard 25' 3PT Pullup Jump Shot (7 PTS)")</f>
        <v>Leonard 25' 3PT Pullup Jump Shot (7 PTS)</v>
      </c>
      <c r="L2544" s="2" t="str">
        <f>HYPERLINK("https://www.nba.com/game/...-vs-...-0021700449/play-by-play?watchFullGame=true", "SAS vs LAC - Q2 00:09.00")</f>
        <v>SAS vs LAC - Q2 00:09.00</v>
      </c>
      <c r="M2544">
        <v>25</v>
      </c>
      <c r="N2544">
        <v>-55</v>
      </c>
      <c r="O2544">
        <v>239</v>
      </c>
      <c r="P2544">
        <v>-55</v>
      </c>
      <c r="Q2544">
        <v>239</v>
      </c>
      <c r="R2544" t="s">
        <v>21</v>
      </c>
      <c r="S2544" t="s">
        <v>21</v>
      </c>
    </row>
    <row r="2545" spans="1:19" hidden="1" x14ac:dyDescent="0.25">
      <c r="A2545">
        <v>41800112</v>
      </c>
      <c r="B2545" t="s">
        <v>26</v>
      </c>
      <c r="C2545" t="s">
        <v>39</v>
      </c>
      <c r="D2545">
        <v>88</v>
      </c>
      <c r="E2545">
        <v>66</v>
      </c>
      <c r="F2545">
        <v>22</v>
      </c>
      <c r="G2545">
        <v>3</v>
      </c>
      <c r="H2545" s="1">
        <v>2.5810185185185186E-4</v>
      </c>
      <c r="I2545" t="s">
        <v>60</v>
      </c>
      <c r="J2545" t="s">
        <v>48</v>
      </c>
      <c r="K2545" s="2" t="str">
        <f>HYPERLINK("https://www.nba.com/stats/events?CFID=&amp;CFPARAMS=&amp;GameEventID=470&amp;GameID=0041800112&amp;Season=2018-19&amp;flag=1&amp;title=Leonard%2025'%203PT%20Step%20Back%20Jump%20Shot%20(34%20PTS)", "Leonard 25' 3PT Step Back Jump Shot (34 PTS)")</f>
        <v>Leonard 25' 3PT Step Back Jump Shot (34 PTS)</v>
      </c>
      <c r="L2545" s="2" t="str">
        <f>HYPERLINK("https://www.nba.com/game/...-vs-...-0041800112/play-by-play?watchFullGame=true", "TOR vs ORL - Q3 00:22.30")</f>
        <v>TOR vs ORL - Q3 00:22.30</v>
      </c>
      <c r="M2545">
        <v>25</v>
      </c>
      <c r="N2545">
        <v>-195</v>
      </c>
      <c r="O2545">
        <v>152</v>
      </c>
      <c r="P2545">
        <v>-195</v>
      </c>
      <c r="Q2545">
        <v>152</v>
      </c>
      <c r="R2545" t="s">
        <v>21</v>
      </c>
      <c r="S2545" t="s">
        <v>21</v>
      </c>
    </row>
    <row r="2546" spans="1:19" hidden="1" x14ac:dyDescent="0.25">
      <c r="A2546">
        <v>21600942</v>
      </c>
      <c r="B2546" t="s">
        <v>26</v>
      </c>
      <c r="C2546" t="s">
        <v>36</v>
      </c>
      <c r="D2546">
        <v>110</v>
      </c>
      <c r="E2546">
        <v>108</v>
      </c>
      <c r="F2546">
        <v>2</v>
      </c>
      <c r="G2546">
        <v>4</v>
      </c>
      <c r="H2546" s="1">
        <v>2.9398148148148149E-4</v>
      </c>
      <c r="I2546">
        <v>2016</v>
      </c>
      <c r="J2546" t="s">
        <v>20</v>
      </c>
      <c r="K2546" s="2" t="str">
        <f>HYPERLINK("https://www.nba.com/stats/events?CFID=&amp;CFPARAMS=&amp;GameEventID=504&amp;GameID=0021600942&amp;Season=2016-17&amp;flag=1&amp;title=Leonard%2025'%203PT%20Pullup%20Jump%20Shot%20(37%20PTS)", "Leonard 25' 3PT Pullup Jump Shot (37 PTS)")</f>
        <v>Leonard 25' 3PT Pullup Jump Shot (37 PTS)</v>
      </c>
      <c r="L2546" s="2" t="str">
        <f>HYPERLINK("https://www.nba.com/game/...-vs-...-0021600942/play-by-play?watchFullGame=true", "SAS vs HOU - Q4 00:25.40")</f>
        <v>SAS vs HOU - Q4 00:25.40</v>
      </c>
      <c r="M2546">
        <v>25</v>
      </c>
      <c r="N2546">
        <v>-79</v>
      </c>
      <c r="O2546">
        <v>242</v>
      </c>
      <c r="P2546">
        <v>-79</v>
      </c>
      <c r="Q2546">
        <v>242</v>
      </c>
      <c r="R2546" t="s">
        <v>21</v>
      </c>
      <c r="S2546" t="s">
        <v>21</v>
      </c>
    </row>
    <row r="2547" spans="1:19" hidden="1" x14ac:dyDescent="0.25">
      <c r="A2547">
        <v>21400231</v>
      </c>
      <c r="B2547" t="s">
        <v>26</v>
      </c>
      <c r="C2547" t="s">
        <v>19</v>
      </c>
      <c r="D2547">
        <v>112</v>
      </c>
      <c r="E2547">
        <v>102</v>
      </c>
      <c r="F2547">
        <v>10</v>
      </c>
      <c r="G2547">
        <v>4</v>
      </c>
      <c r="H2547" s="1">
        <v>3.3449074074074072E-4</v>
      </c>
      <c r="I2547">
        <v>2014</v>
      </c>
      <c r="J2547" t="s">
        <v>20</v>
      </c>
      <c r="K2547" s="2" t="str">
        <f>HYPERLINK("https://www.nba.com/stats/events?CFID=&amp;CFPARAMS=&amp;GameEventID=492&amp;GameID=0021400231&amp;Season=2014-15&amp;flag=1&amp;title=Leonard%2025'%203PT%20Jump%20Shot%20(19%20PTS)%20(Parker%208%20AST)", "Leonard 25' 3PT Jump Shot (19 PTS) (Parker 8 AST)")</f>
        <v>Leonard 25' 3PT Jump Shot (19 PTS) (Parker 8 AST)</v>
      </c>
      <c r="L2547" s="2" t="str">
        <f>HYPERLINK("https://www.nba.com/game/...-vs-...-0021400231/play-by-play?watchFullGame=true", "SAS vs SAC - Q4 00:28.90")</f>
        <v>SAS vs SAC - Q4 00:28.90</v>
      </c>
      <c r="M2547">
        <v>25</v>
      </c>
      <c r="N2547">
        <v>-119</v>
      </c>
      <c r="O2547">
        <v>217</v>
      </c>
      <c r="P2547">
        <v>-119</v>
      </c>
      <c r="Q2547">
        <v>217</v>
      </c>
      <c r="R2547" t="s">
        <v>21</v>
      </c>
      <c r="S2547" t="s">
        <v>21</v>
      </c>
    </row>
    <row r="2548" spans="1:19" hidden="1" x14ac:dyDescent="0.25">
      <c r="A2548">
        <v>21600353</v>
      </c>
      <c r="B2548" t="s">
        <v>26</v>
      </c>
      <c r="C2548" t="s">
        <v>36</v>
      </c>
      <c r="D2548">
        <v>38</v>
      </c>
      <c r="E2548">
        <v>26</v>
      </c>
      <c r="F2548">
        <v>12</v>
      </c>
      <c r="G2548">
        <v>1</v>
      </c>
      <c r="H2548" s="1">
        <v>3.9699074074074072E-4</v>
      </c>
      <c r="I2548">
        <v>2016</v>
      </c>
      <c r="J2548" t="s">
        <v>20</v>
      </c>
      <c r="K2548" s="2" t="str">
        <f>HYPERLINK("https://www.nba.com/stats/events?CFID=&amp;CFPARAMS=&amp;GameEventID=93&amp;GameID=0021600353&amp;Season=2016-17&amp;flag=1&amp;title=Leonard%2025'%203PT%20Pullup%20Jump%20Shot%20(12%20PTS)", "Leonard 25' 3PT Pullup Jump Shot (12 PTS)")</f>
        <v>Leonard 25' 3PT Pullup Jump Shot (12 PTS)</v>
      </c>
      <c r="L2548" s="2" t="str">
        <f>HYPERLINK("https://www.nba.com/game/...-vs-...-0021600353/play-by-play?watchFullGame=true", "SAS vs BKN - Q1 00:34.30")</f>
        <v>SAS vs BKN - Q1 00:34.30</v>
      </c>
      <c r="M2548">
        <v>25</v>
      </c>
      <c r="N2548">
        <v>155</v>
      </c>
      <c r="O2548">
        <v>193</v>
      </c>
      <c r="P2548">
        <v>155</v>
      </c>
      <c r="Q2548">
        <v>193</v>
      </c>
      <c r="R2548" t="s">
        <v>21</v>
      </c>
      <c r="S2548" t="s">
        <v>21</v>
      </c>
    </row>
    <row r="2549" spans="1:19" hidden="1" x14ac:dyDescent="0.25">
      <c r="A2549">
        <v>21500909</v>
      </c>
      <c r="B2549" t="s">
        <v>26</v>
      </c>
      <c r="C2549" t="s">
        <v>36</v>
      </c>
      <c r="D2549">
        <v>94</v>
      </c>
      <c r="E2549">
        <v>86</v>
      </c>
      <c r="F2549">
        <v>8</v>
      </c>
      <c r="G2549">
        <v>4</v>
      </c>
      <c r="H2549" s="1">
        <v>4.0856481481481478E-4</v>
      </c>
      <c r="I2549">
        <v>2015</v>
      </c>
      <c r="J2549" t="s">
        <v>20</v>
      </c>
      <c r="K2549" s="2" t="str">
        <f>HYPERLINK("https://www.nba.com/stats/events?CFID=&amp;CFPARAMS=&amp;GameEventID=461&amp;GameID=0021500909&amp;Season=2015-16&amp;flag=1&amp;title=Leonard%2025'%203PT%20Pullup%20Jump%20Shot%20(30%20PTS)", "Leonard 25' 3PT Pullup Jump Shot (30 PTS)")</f>
        <v>Leonard 25' 3PT Pullup Jump Shot (30 PTS)</v>
      </c>
      <c r="L2549" s="2" t="str">
        <f>HYPERLINK("https://www.nba.com/game/...-vs-...-0021500909/play-by-play?watchFullGame=true", "SAS vs NOP - Q4 00:35.30")</f>
        <v>SAS vs NOP - Q4 00:35.30</v>
      </c>
      <c r="M2549">
        <v>25</v>
      </c>
      <c r="N2549">
        <v>10</v>
      </c>
      <c r="O2549">
        <v>247</v>
      </c>
      <c r="P2549">
        <v>10</v>
      </c>
      <c r="Q2549">
        <v>247</v>
      </c>
      <c r="R2549" t="s">
        <v>21</v>
      </c>
      <c r="S2549" t="s">
        <v>21</v>
      </c>
    </row>
    <row r="2550" spans="1:19" hidden="1" x14ac:dyDescent="0.25">
      <c r="A2550">
        <v>21500939</v>
      </c>
      <c r="B2550" t="s">
        <v>26</v>
      </c>
      <c r="C2550" t="s">
        <v>19</v>
      </c>
      <c r="D2550">
        <v>13</v>
      </c>
      <c r="E2550">
        <v>22</v>
      </c>
      <c r="F2550">
        <v>9</v>
      </c>
      <c r="G2550">
        <v>1</v>
      </c>
      <c r="H2550" s="1">
        <v>4.1203703703703704E-4</v>
      </c>
      <c r="I2550">
        <v>2015</v>
      </c>
      <c r="J2550" t="s">
        <v>20</v>
      </c>
      <c r="K2550" s="2" t="str">
        <f>HYPERLINK("https://www.nba.com/stats/events?CFID=&amp;CFPARAMS=&amp;GameEventID=109&amp;GameID=0021500939&amp;Season=2015-16&amp;flag=1&amp;title=Leonard%2025'%203PT%20Jump%20Shot%20(9%20PTS)%20(Mills%201%20AST)", "Leonard 25' 3PT Jump Shot (9 PTS) (Mills 1 AST)")</f>
        <v>Leonard 25' 3PT Jump Shot (9 PTS) (Mills 1 AST)</v>
      </c>
      <c r="L2550" s="2" t="str">
        <f>HYPERLINK("https://www.nba.com/game/...-vs-...-0021500939/play-by-play?watchFullGame=true", "SAS vs IND - Q1 00:35.60")</f>
        <v>SAS vs IND - Q1 00:35.60</v>
      </c>
      <c r="M2550">
        <v>25</v>
      </c>
      <c r="N2550">
        <v>128</v>
      </c>
      <c r="O2550">
        <v>210</v>
      </c>
      <c r="P2550">
        <v>128</v>
      </c>
      <c r="Q2550">
        <v>210</v>
      </c>
      <c r="R2550" t="s">
        <v>21</v>
      </c>
      <c r="S2550" t="s">
        <v>21</v>
      </c>
    </row>
    <row r="2551" spans="1:19" hidden="1" x14ac:dyDescent="0.25">
      <c r="A2551">
        <v>41600154</v>
      </c>
      <c r="B2551" t="s">
        <v>26</v>
      </c>
      <c r="C2551" t="s">
        <v>19</v>
      </c>
      <c r="D2551">
        <v>48</v>
      </c>
      <c r="E2551">
        <v>51</v>
      </c>
      <c r="F2551">
        <v>3</v>
      </c>
      <c r="G2551">
        <v>2</v>
      </c>
      <c r="H2551" s="1">
        <v>4.259259259259259E-4</v>
      </c>
      <c r="I2551" t="s">
        <v>58</v>
      </c>
      <c r="J2551" t="s">
        <v>20</v>
      </c>
      <c r="K2551" s="2" t="str">
        <f>HYPERLINK("https://www.nba.com/stats/events?CFID=&amp;CFPARAMS=&amp;GameEventID=240&amp;GameID=0041600154&amp;Season=2016-17&amp;flag=1&amp;title=Leonard%2025'%203PT%20Jump%20Shot%20(15%20PTS)%20(Parker%203%20AST)", "Leonard 25' 3PT Jump Shot (15 PTS) (Parker 3 AST)")</f>
        <v>Leonard 25' 3PT Jump Shot (15 PTS) (Parker 3 AST)</v>
      </c>
      <c r="L2551" s="2" t="str">
        <f>HYPERLINK("https://www.nba.com/game/...-vs-...-0041600154/play-by-play?watchFullGame=true", "SAS vs MEM - Q2 00:36.80")</f>
        <v>SAS vs MEM - Q2 00:36.80</v>
      </c>
      <c r="M2551">
        <v>25</v>
      </c>
      <c r="N2551">
        <v>-29</v>
      </c>
      <c r="O2551">
        <v>244</v>
      </c>
      <c r="P2551">
        <v>-29</v>
      </c>
      <c r="Q2551">
        <v>244</v>
      </c>
      <c r="R2551" t="s">
        <v>21</v>
      </c>
      <c r="S2551" t="s">
        <v>21</v>
      </c>
    </row>
    <row r="2552" spans="1:19" hidden="1" x14ac:dyDescent="0.25">
      <c r="A2552">
        <v>41500235</v>
      </c>
      <c r="B2552" t="s">
        <v>26</v>
      </c>
      <c r="C2552" t="s">
        <v>19</v>
      </c>
      <c r="D2552">
        <v>45</v>
      </c>
      <c r="E2552">
        <v>43</v>
      </c>
      <c r="F2552">
        <v>2</v>
      </c>
      <c r="G2552">
        <v>2</v>
      </c>
      <c r="H2552" s="1">
        <v>4.3402777777777775E-4</v>
      </c>
      <c r="I2552" t="s">
        <v>57</v>
      </c>
      <c r="J2552" t="s">
        <v>20</v>
      </c>
      <c r="K2552" s="2" t="str">
        <f>HYPERLINK("https://www.nba.com/stats/events?CFID=&amp;CFPARAMS=&amp;GameEventID=234&amp;GameID=0041500235&amp;Season=2015-16&amp;flag=1&amp;title=Leonard%2025'%203PT%20Jump%20Shot%20(17%20PTS)%20(Aldridge%202%20AST)", "Leonard 25' 3PT Jump Shot (17 PTS) (Aldridge 2 AST)")</f>
        <v>Leonard 25' 3PT Jump Shot (17 PTS) (Aldridge 2 AST)</v>
      </c>
      <c r="L2552" s="2" t="str">
        <f>HYPERLINK("https://www.nba.com/game/...-vs-...-0041500235/play-by-play?watchFullGame=true", "SAS vs OKC - Q2 00:37.50")</f>
        <v>SAS vs OKC - Q2 00:37.50</v>
      </c>
      <c r="M2552">
        <v>25</v>
      </c>
      <c r="N2552">
        <v>27</v>
      </c>
      <c r="O2552">
        <v>252</v>
      </c>
      <c r="P2552">
        <v>27</v>
      </c>
      <c r="Q2552">
        <v>252</v>
      </c>
      <c r="R2552" t="s">
        <v>21</v>
      </c>
      <c r="S2552" t="s">
        <v>21</v>
      </c>
    </row>
    <row r="2553" spans="1:19" hidden="1" x14ac:dyDescent="0.25">
      <c r="A2553">
        <v>21600625</v>
      </c>
      <c r="B2553" t="s">
        <v>26</v>
      </c>
      <c r="C2553" t="s">
        <v>36</v>
      </c>
      <c r="D2553">
        <v>91</v>
      </c>
      <c r="E2553">
        <v>90</v>
      </c>
      <c r="F2553">
        <v>1</v>
      </c>
      <c r="G2553">
        <v>3</v>
      </c>
      <c r="H2553" s="1">
        <v>4.4675925925925927E-4</v>
      </c>
      <c r="I2553">
        <v>2016</v>
      </c>
      <c r="J2553" t="s">
        <v>20</v>
      </c>
      <c r="K2553" s="2" t="str">
        <f>HYPERLINK("https://www.nba.com/stats/events?CFID=&amp;CFPARAMS=&amp;GameEventID=421&amp;GameID=0021600625&amp;Season=2016-17&amp;flag=1&amp;title=Leonard%2025'%203PT%20Pullup%20Jump%20Shot%20(24%20PTS)", "Leonard 25' 3PT Pullup Jump Shot (24 PTS)")</f>
        <v>Leonard 25' 3PT Pullup Jump Shot (24 PTS)</v>
      </c>
      <c r="L2553" s="2" t="str">
        <f>HYPERLINK("https://www.nba.com/game/...-vs-...-0021600625/play-by-play?watchFullGame=true", "SAS vs MIN - Q3 00:38.60")</f>
        <v>SAS vs MIN - Q3 00:38.60</v>
      </c>
      <c r="M2553">
        <v>25</v>
      </c>
      <c r="N2553">
        <v>-104</v>
      </c>
      <c r="O2553">
        <v>232</v>
      </c>
      <c r="P2553">
        <v>-104</v>
      </c>
      <c r="Q2553">
        <v>232</v>
      </c>
      <c r="R2553" t="s">
        <v>21</v>
      </c>
      <c r="S2553" t="s">
        <v>21</v>
      </c>
    </row>
    <row r="2554" spans="1:19" hidden="1" x14ac:dyDescent="0.25">
      <c r="A2554">
        <v>41200314</v>
      </c>
      <c r="B2554" t="s">
        <v>26</v>
      </c>
      <c r="C2554" t="s">
        <v>19</v>
      </c>
      <c r="D2554">
        <v>72</v>
      </c>
      <c r="E2554">
        <v>66</v>
      </c>
      <c r="F2554">
        <v>6</v>
      </c>
      <c r="G2554">
        <v>3</v>
      </c>
      <c r="H2554" s="1">
        <v>6.076388888888889E-4</v>
      </c>
      <c r="I2554" t="s">
        <v>53</v>
      </c>
      <c r="J2554" t="s">
        <v>20</v>
      </c>
      <c r="K2554" s="2" t="str">
        <f>HYPERLINK("https://www.nba.com/stats/events?CFID=&amp;CFPARAMS=&amp;GameEventID=361&amp;GameID=0041200314&amp;Season=2012-13&amp;flag=1&amp;title=Leonard%2025'%203PT%20Jump%20Shot%20(9%20PTS)%20(Bonner%201%20AST)", "Leonard 25' 3PT Jump Shot (9 PTS) (Bonner 1 AST)")</f>
        <v>Leonard 25' 3PT Jump Shot (9 PTS) (Bonner 1 AST)</v>
      </c>
      <c r="L2554" s="2" t="str">
        <f>HYPERLINK("https://www.nba.com/game/...-vs-...-0041200314/play-by-play?watchFullGame=true", "SAS vs MEM - Q3 00:52.50")</f>
        <v>SAS vs MEM - Q3 00:52.50</v>
      </c>
      <c r="M2554">
        <v>25</v>
      </c>
      <c r="N2554">
        <v>174</v>
      </c>
      <c r="O2554">
        <v>181</v>
      </c>
      <c r="P2554">
        <v>174</v>
      </c>
      <c r="Q2554">
        <v>181</v>
      </c>
      <c r="R2554" t="s">
        <v>21</v>
      </c>
      <c r="S2554" t="s">
        <v>21</v>
      </c>
    </row>
    <row r="2555" spans="1:19" hidden="1" x14ac:dyDescent="0.25">
      <c r="A2555">
        <v>21800303</v>
      </c>
      <c r="B2555" t="s">
        <v>26</v>
      </c>
      <c r="C2555" t="s">
        <v>36</v>
      </c>
      <c r="D2555">
        <v>119</v>
      </c>
      <c r="E2555">
        <v>111</v>
      </c>
      <c r="F2555">
        <v>8</v>
      </c>
      <c r="G2555">
        <v>4</v>
      </c>
      <c r="H2555" s="1">
        <v>6.4814814814814813E-4</v>
      </c>
      <c r="I2555">
        <v>2018</v>
      </c>
      <c r="J2555" t="s">
        <v>48</v>
      </c>
      <c r="K2555" s="2" t="str">
        <f>HYPERLINK("https://www.nba.com/stats/events?CFID=&amp;CFPARAMS=&amp;GameEventID=609&amp;GameID=0021800303&amp;Season=2018-19&amp;flag=1&amp;title=Leonard%2025'%203PT%20Pullup%20Jump%20Shot%20(17%20PTS)", "Leonard 25' 3PT Pullup Jump Shot (17 PTS)")</f>
        <v>Leonard 25' 3PT Pullup Jump Shot (17 PTS)</v>
      </c>
      <c r="L2555" s="2" t="str">
        <f>HYPERLINK("https://www.nba.com/game/...-vs-...-0021800303/play-by-play?watchFullGame=true", "TOR vs MEM - Q4 00:56.00")</f>
        <v>TOR vs MEM - Q4 00:56.00</v>
      </c>
      <c r="M2555">
        <v>25</v>
      </c>
      <c r="N2555">
        <v>170</v>
      </c>
      <c r="O2555">
        <v>177</v>
      </c>
      <c r="P2555">
        <v>170</v>
      </c>
      <c r="Q2555">
        <v>177</v>
      </c>
      <c r="R2555" t="s">
        <v>21</v>
      </c>
      <c r="S2555" t="s">
        <v>21</v>
      </c>
    </row>
    <row r="2556" spans="1:19" hidden="1" x14ac:dyDescent="0.25">
      <c r="A2556">
        <v>21600543</v>
      </c>
      <c r="B2556" t="s">
        <v>26</v>
      </c>
      <c r="C2556" t="s">
        <v>19</v>
      </c>
      <c r="D2556">
        <v>56</v>
      </c>
      <c r="E2556">
        <v>49</v>
      </c>
      <c r="F2556">
        <v>7</v>
      </c>
      <c r="G2556">
        <v>2</v>
      </c>
      <c r="H2556" s="1">
        <v>7.407407407407407E-4</v>
      </c>
      <c r="I2556">
        <v>2016</v>
      </c>
      <c r="J2556" t="s">
        <v>20</v>
      </c>
      <c r="K2556" s="2" t="str">
        <f>HYPERLINK("https://www.nba.com/stats/events?CFID=&amp;CFPARAMS=&amp;GameEventID=215&amp;GameID=0021600543&amp;Season=2016-17&amp;flag=1&amp;title=Leonard%2025'%203PT%20Jump%20Shot%20(8%20PTS)%20(Ginobili%203%20AST)", "Leonard 25' 3PT Jump Shot (8 PTS) (Ginobili 3 AST)")</f>
        <v>Leonard 25' 3PT Jump Shot (8 PTS) (Ginobili 3 AST)</v>
      </c>
      <c r="L2556" s="2" t="str">
        <f>HYPERLINK("https://www.nba.com/game/...-vs-...-0021600543/play-by-play?watchFullGame=true", "SAS vs DEN - Q2 01:04.00")</f>
        <v>SAS vs DEN - Q2 01:04.00</v>
      </c>
      <c r="M2556">
        <v>25</v>
      </c>
      <c r="N2556">
        <v>246</v>
      </c>
      <c r="O2556">
        <v>26</v>
      </c>
      <c r="P2556">
        <v>246</v>
      </c>
      <c r="Q2556">
        <v>26</v>
      </c>
      <c r="R2556" t="s">
        <v>21</v>
      </c>
      <c r="S2556" t="s">
        <v>21</v>
      </c>
    </row>
    <row r="2557" spans="1:19" hidden="1" x14ac:dyDescent="0.25">
      <c r="A2557">
        <v>41600231</v>
      </c>
      <c r="B2557" t="s">
        <v>26</v>
      </c>
      <c r="C2557" t="s">
        <v>36</v>
      </c>
      <c r="D2557">
        <v>21</v>
      </c>
      <c r="E2557">
        <v>28</v>
      </c>
      <c r="F2557">
        <v>7</v>
      </c>
      <c r="G2557">
        <v>1</v>
      </c>
      <c r="H2557" s="1">
        <v>9.2592592592592596E-4</v>
      </c>
      <c r="I2557" t="s">
        <v>58</v>
      </c>
      <c r="J2557" t="s">
        <v>20</v>
      </c>
      <c r="K2557" s="2" t="str">
        <f>HYPERLINK("https://www.nba.com/stats/events?CFID=&amp;CFPARAMS=&amp;GameEventID=100&amp;GameID=0041600231&amp;Season=2016-17&amp;flag=1&amp;title=Leonard%2025'%203PT%20Pullup%20Jump%20Shot%20(10%20PTS)", "Leonard 25' 3PT Pullup Jump Shot (10 PTS)")</f>
        <v>Leonard 25' 3PT Pullup Jump Shot (10 PTS)</v>
      </c>
      <c r="L2557" s="2" t="str">
        <f>HYPERLINK("https://www.nba.com/game/...-vs-...-0041600231/play-by-play?watchFullGame=true", "SAS vs HOU - Q1 01:20.00")</f>
        <v>SAS vs HOU - Q1 01:20.00</v>
      </c>
      <c r="M2557">
        <v>25</v>
      </c>
      <c r="N2557">
        <v>96</v>
      </c>
      <c r="O2557">
        <v>232</v>
      </c>
      <c r="P2557">
        <v>96</v>
      </c>
      <c r="Q2557">
        <v>232</v>
      </c>
      <c r="R2557" t="s">
        <v>21</v>
      </c>
      <c r="S2557" t="s">
        <v>21</v>
      </c>
    </row>
    <row r="2558" spans="1:19" hidden="1" x14ac:dyDescent="0.25">
      <c r="A2558">
        <v>21500439</v>
      </c>
      <c r="B2558" t="s">
        <v>26</v>
      </c>
      <c r="C2558" t="s">
        <v>19</v>
      </c>
      <c r="D2558">
        <v>84</v>
      </c>
      <c r="E2558">
        <v>88</v>
      </c>
      <c r="F2558">
        <v>4</v>
      </c>
      <c r="G2558">
        <v>4</v>
      </c>
      <c r="H2558" s="1">
        <v>9.4907407407407408E-4</v>
      </c>
      <c r="I2558">
        <v>2015</v>
      </c>
      <c r="J2558" t="s">
        <v>20</v>
      </c>
      <c r="K2558" s="2" t="str">
        <f>HYPERLINK("https://www.nba.com/stats/events?CFID=&amp;CFPARAMS=&amp;GameEventID=529&amp;GameID=0021500439&amp;Season=2015-16&amp;flag=1&amp;title=Leonard%2025'%203PT%20Jump%20Shot%20(20%20PTS)%20(Duncan%203%20AST)", "Leonard 25' 3PT Jump Shot (20 PTS) (Duncan 3 AST)")</f>
        <v>Leonard 25' 3PT Jump Shot (20 PTS) (Duncan 3 AST)</v>
      </c>
      <c r="L2558" s="2" t="str">
        <f>HYPERLINK("https://www.nba.com/game/...-vs-...-0021500439/play-by-play?watchFullGame=true", "SAS vs HOU - Q4 01:22.00")</f>
        <v>SAS vs HOU - Q4 01:22.00</v>
      </c>
      <c r="M2558">
        <v>25</v>
      </c>
      <c r="N2558">
        <v>-142</v>
      </c>
      <c r="O2558">
        <v>203</v>
      </c>
      <c r="P2558">
        <v>-142</v>
      </c>
      <c r="Q2558">
        <v>203</v>
      </c>
      <c r="R2558" t="s">
        <v>21</v>
      </c>
      <c r="S2558" t="s">
        <v>21</v>
      </c>
    </row>
    <row r="2559" spans="1:19" hidden="1" x14ac:dyDescent="0.25">
      <c r="A2559">
        <v>21300952</v>
      </c>
      <c r="B2559" t="s">
        <v>26</v>
      </c>
      <c r="C2559" t="s">
        <v>19</v>
      </c>
      <c r="D2559">
        <v>33</v>
      </c>
      <c r="E2559">
        <v>14</v>
      </c>
      <c r="F2559">
        <v>19</v>
      </c>
      <c r="G2559">
        <v>1</v>
      </c>
      <c r="H2559" s="1">
        <v>9.7222222222222219E-4</v>
      </c>
      <c r="I2559">
        <v>2013</v>
      </c>
      <c r="J2559" t="s">
        <v>20</v>
      </c>
      <c r="K2559" s="2" t="str">
        <f>HYPERLINK("https://www.nba.com/stats/events?CFID=&amp;CFPARAMS=&amp;GameEventID=87&amp;GameID=0021300952&amp;Season=2013-14&amp;flag=1&amp;title=Leonard%2025'%203PT%20Jump%20Shot%20(10%20PTS)%20(Parker%204%20AST)", "Leonard 25' 3PT Jump Shot (10 PTS) (Parker 4 AST)")</f>
        <v>Leonard 25' 3PT Jump Shot (10 PTS) (Parker 4 AST)</v>
      </c>
      <c r="L2559" s="2" t="str">
        <f>HYPERLINK("https://www.nba.com/game/...-vs-...-0021300952/play-by-play?watchFullGame=true", "SAS vs CHI - Q1 01:24.00")</f>
        <v>SAS vs CHI - Q1 01:24.00</v>
      </c>
      <c r="M2559">
        <v>25</v>
      </c>
      <c r="N2559">
        <v>-166</v>
      </c>
      <c r="O2559">
        <v>187</v>
      </c>
      <c r="P2559">
        <v>-166</v>
      </c>
      <c r="Q2559">
        <v>187</v>
      </c>
      <c r="R2559" t="s">
        <v>21</v>
      </c>
      <c r="S2559" t="s">
        <v>21</v>
      </c>
    </row>
    <row r="2560" spans="1:19" hidden="1" x14ac:dyDescent="0.25">
      <c r="A2560">
        <v>21600782</v>
      </c>
      <c r="B2560" t="s">
        <v>26</v>
      </c>
      <c r="C2560" t="s">
        <v>19</v>
      </c>
      <c r="D2560">
        <v>24</v>
      </c>
      <c r="E2560">
        <v>19</v>
      </c>
      <c r="F2560">
        <v>5</v>
      </c>
      <c r="G2560">
        <v>1</v>
      </c>
      <c r="H2560" s="1">
        <v>1.0069444444444444E-3</v>
      </c>
      <c r="I2560">
        <v>2016</v>
      </c>
      <c r="J2560" t="s">
        <v>20</v>
      </c>
      <c r="K2560" s="2" t="str">
        <f>HYPERLINK("https://www.nba.com/stats/events?CFID=&amp;CFPARAMS=&amp;GameEventID=95&amp;GameID=0021600782&amp;Season=2016-17&amp;flag=1&amp;title=Leonard%2025'%203PT%20Jump%20Shot%20(5%20PTS)%20(Ginobili%201%20AST)", "Leonard 25' 3PT Jump Shot (5 PTS) (Ginobili 1 AST)")</f>
        <v>Leonard 25' 3PT Jump Shot (5 PTS) (Ginobili 1 AST)</v>
      </c>
      <c r="L2560" s="2" t="str">
        <f>HYPERLINK("https://www.nba.com/game/...-vs-...-0021600782/play-by-play?watchFullGame=true", "SAS vs PHI - Q1 01:27.00")</f>
        <v>SAS vs PHI - Q1 01:27.00</v>
      </c>
      <c r="M2560">
        <v>25</v>
      </c>
      <c r="N2560">
        <v>215</v>
      </c>
      <c r="O2560">
        <v>126</v>
      </c>
      <c r="P2560">
        <v>215</v>
      </c>
      <c r="Q2560">
        <v>126</v>
      </c>
      <c r="R2560" t="s">
        <v>21</v>
      </c>
      <c r="S2560" t="s">
        <v>21</v>
      </c>
    </row>
    <row r="2561" spans="1:19" hidden="1" x14ac:dyDescent="0.25">
      <c r="A2561">
        <v>21500502</v>
      </c>
      <c r="B2561" t="s">
        <v>26</v>
      </c>
      <c r="C2561" t="s">
        <v>36</v>
      </c>
      <c r="D2561">
        <v>58</v>
      </c>
      <c r="E2561">
        <v>52</v>
      </c>
      <c r="F2561">
        <v>6</v>
      </c>
      <c r="G2561">
        <v>2</v>
      </c>
      <c r="H2561" s="1">
        <v>1.0532407407407407E-3</v>
      </c>
      <c r="I2561">
        <v>2015</v>
      </c>
      <c r="J2561" t="s">
        <v>20</v>
      </c>
      <c r="K2561" s="2" t="str">
        <f>HYPERLINK("https://www.nba.com/stats/events?CFID=&amp;CFPARAMS=&amp;GameEventID=246&amp;GameID=0021500502&amp;Season=2015-16&amp;flag=1&amp;title=Leonard%2025'%203PT%20Pullup%20Jump%20Shot%20(12%20PTS)%20(Green%203%20AST)", "Leonard 25' 3PT Pullup Jump Shot (12 PTS) (Green 3 AST)")</f>
        <v>Leonard 25' 3PT Pullup Jump Shot (12 PTS) (Green 3 AST)</v>
      </c>
      <c r="L2561" s="2" t="str">
        <f>HYPERLINK("https://www.nba.com/game/...-vs-...-0021500502/play-by-play?watchFullGame=true", "SAS vs HOU - Q2 01:31.00")</f>
        <v>SAS vs HOU - Q2 01:31.00</v>
      </c>
      <c r="M2561">
        <v>25</v>
      </c>
      <c r="N2561">
        <v>-132</v>
      </c>
      <c r="O2561">
        <v>218</v>
      </c>
      <c r="P2561">
        <v>-132</v>
      </c>
      <c r="Q2561">
        <v>218</v>
      </c>
      <c r="R2561" t="s">
        <v>21</v>
      </c>
      <c r="S2561" t="s">
        <v>21</v>
      </c>
    </row>
    <row r="2562" spans="1:19" hidden="1" x14ac:dyDescent="0.25">
      <c r="A2562">
        <v>21800639</v>
      </c>
      <c r="B2562" t="s">
        <v>26</v>
      </c>
      <c r="C2562" t="s">
        <v>36</v>
      </c>
      <c r="D2562">
        <v>129</v>
      </c>
      <c r="E2562">
        <v>126</v>
      </c>
      <c r="F2562">
        <v>3</v>
      </c>
      <c r="G2562">
        <v>5</v>
      </c>
      <c r="H2562" s="1">
        <v>1.1921296296296296E-3</v>
      </c>
      <c r="I2562">
        <v>2018</v>
      </c>
      <c r="J2562" t="s">
        <v>48</v>
      </c>
      <c r="K2562" s="2" t="str">
        <f>HYPERLINK("https://www.nba.com/stats/events?CFID=&amp;CFPARAMS=&amp;GameEventID=716&amp;GameID=0021800639&amp;Season=2018-19&amp;flag=1&amp;title=Leonard%2025'%203PT%20Pullup%20Jump%20Shot%20(36%20PTS)", "Leonard 25' 3PT Pullup Jump Shot (36 PTS)")</f>
        <v>Leonard 25' 3PT Pullup Jump Shot (36 PTS)</v>
      </c>
      <c r="L2562" s="2" t="str">
        <f>HYPERLINK("https://www.nba.com/game/...-vs-...-0021800639/play-by-play?watchFullGame=true", "TOR vs WAS - Q5 01:43.00")</f>
        <v>TOR vs WAS - Q5 01:43.00</v>
      </c>
      <c r="M2562">
        <v>25</v>
      </c>
      <c r="N2562">
        <v>190</v>
      </c>
      <c r="O2562">
        <v>163</v>
      </c>
      <c r="P2562">
        <v>190</v>
      </c>
      <c r="Q2562">
        <v>163</v>
      </c>
      <c r="R2562" t="s">
        <v>21</v>
      </c>
      <c r="S2562" t="s">
        <v>21</v>
      </c>
    </row>
    <row r="2563" spans="1:19" hidden="1" x14ac:dyDescent="0.25">
      <c r="A2563">
        <v>21301084</v>
      </c>
      <c r="B2563" t="s">
        <v>26</v>
      </c>
      <c r="C2563" t="s">
        <v>19</v>
      </c>
      <c r="D2563">
        <v>58</v>
      </c>
      <c r="E2563">
        <v>38</v>
      </c>
      <c r="F2563">
        <v>20</v>
      </c>
      <c r="G2563">
        <v>2</v>
      </c>
      <c r="H2563" s="1">
        <v>1.2962962962962963E-3</v>
      </c>
      <c r="I2563">
        <v>2013</v>
      </c>
      <c r="J2563" t="s">
        <v>20</v>
      </c>
      <c r="K2563" s="2" t="str">
        <f>HYPERLINK("https://www.nba.com/stats/events?CFID=&amp;CFPARAMS=&amp;GameEventID=235&amp;GameID=0021301084&amp;Season=2013-14&amp;flag=1&amp;title=Leonard%2025'%203PT%20Jump%20Shot%20(12%20PTS)%20(Splitter%204%20AST)", "Leonard 25' 3PT Jump Shot (12 PTS) (Splitter 4 AST)")</f>
        <v>Leonard 25' 3PT Jump Shot (12 PTS) (Splitter 4 AST)</v>
      </c>
      <c r="L2563" s="2" t="str">
        <f>HYPERLINK("https://www.nba.com/game/...-vs-...-0021301084/play-by-play?watchFullGame=true", "SAS vs DEN - Q2 01:52.00")</f>
        <v>SAS vs DEN - Q2 01:52.00</v>
      </c>
      <c r="M2563">
        <v>25</v>
      </c>
      <c r="N2563">
        <v>-171</v>
      </c>
      <c r="O2563">
        <v>178</v>
      </c>
      <c r="P2563">
        <v>-171</v>
      </c>
      <c r="Q2563">
        <v>178</v>
      </c>
      <c r="R2563" t="s">
        <v>21</v>
      </c>
      <c r="S2563" t="s">
        <v>21</v>
      </c>
    </row>
    <row r="2564" spans="1:19" hidden="1" x14ac:dyDescent="0.25">
      <c r="A2564">
        <v>21300378</v>
      </c>
      <c r="B2564" t="s">
        <v>26</v>
      </c>
      <c r="C2564" t="s">
        <v>19</v>
      </c>
      <c r="D2564">
        <v>55</v>
      </c>
      <c r="E2564">
        <v>51</v>
      </c>
      <c r="F2564">
        <v>4</v>
      </c>
      <c r="G2564">
        <v>2</v>
      </c>
      <c r="H2564" s="1">
        <v>1.3773148148148147E-3</v>
      </c>
      <c r="I2564">
        <v>2013</v>
      </c>
      <c r="J2564" t="s">
        <v>20</v>
      </c>
      <c r="K2564" s="2" t="str">
        <f>HYPERLINK("https://www.nba.com/stats/events?CFID=&amp;CFPARAMS=&amp;GameEventID=227&amp;GameID=0021300378&amp;Season=2013-14&amp;flag=1&amp;title=Leonard%2025'%203PT%20Jump%20Shot%20(10%20PTS)%20(Ginobili%205%20AST)", "Leonard 25' 3PT Jump Shot (10 PTS) (Ginobili 5 AST)")</f>
        <v>Leonard 25' 3PT Jump Shot (10 PTS) (Ginobili 5 AST)</v>
      </c>
      <c r="L2564" s="2" t="str">
        <f>HYPERLINK("https://www.nba.com/game/...-vs-...-0021300378/play-by-play?watchFullGame=true", "SAS vs PHX - Q2 01:59.00")</f>
        <v>SAS vs PHX - Q2 01:59.00</v>
      </c>
      <c r="M2564">
        <v>25</v>
      </c>
      <c r="N2564">
        <v>-196</v>
      </c>
      <c r="O2564">
        <v>163</v>
      </c>
      <c r="P2564">
        <v>-196</v>
      </c>
      <c r="Q2564">
        <v>163</v>
      </c>
      <c r="R2564" t="s">
        <v>21</v>
      </c>
      <c r="S2564" t="s">
        <v>21</v>
      </c>
    </row>
    <row r="2565" spans="1:19" hidden="1" x14ac:dyDescent="0.25">
      <c r="A2565">
        <v>21500909</v>
      </c>
      <c r="B2565" t="s">
        <v>26</v>
      </c>
      <c r="C2565" t="s">
        <v>19</v>
      </c>
      <c r="D2565">
        <v>64</v>
      </c>
      <c r="E2565">
        <v>68</v>
      </c>
      <c r="F2565">
        <v>4</v>
      </c>
      <c r="G2565">
        <v>3</v>
      </c>
      <c r="H2565" s="1">
        <v>1.3888888888888889E-3</v>
      </c>
      <c r="I2565">
        <v>2015</v>
      </c>
      <c r="J2565" t="s">
        <v>20</v>
      </c>
      <c r="K2565" s="2" t="str">
        <f>HYPERLINK("https://www.nba.com/stats/events?CFID=&amp;CFPARAMS=&amp;GameEventID=323&amp;GameID=0021500909&amp;Season=2015-16&amp;flag=1&amp;title=Leonard%2025'%203PT%20Jump%20Shot%20(21%20PTS)%20(Butler%202%20AST)", "Leonard 25' 3PT Jump Shot (21 PTS) (Butler 2 AST)")</f>
        <v>Leonard 25' 3PT Jump Shot (21 PTS) (Butler 2 AST)</v>
      </c>
      <c r="L2565" s="2" t="str">
        <f>HYPERLINK("https://www.nba.com/game/...-vs-...-0021500909/play-by-play?watchFullGame=true", "SAS vs NOP - Q3 02:00.00")</f>
        <v>SAS vs NOP - Q3 02:00.00</v>
      </c>
      <c r="M2565">
        <v>25</v>
      </c>
      <c r="N2565">
        <v>159</v>
      </c>
      <c r="O2565">
        <v>193</v>
      </c>
      <c r="P2565">
        <v>159</v>
      </c>
      <c r="Q2565">
        <v>193</v>
      </c>
      <c r="R2565" t="s">
        <v>21</v>
      </c>
      <c r="S2565" t="s">
        <v>21</v>
      </c>
    </row>
    <row r="2566" spans="1:19" hidden="1" x14ac:dyDescent="0.25">
      <c r="A2566">
        <v>41200407</v>
      </c>
      <c r="B2566" t="s">
        <v>26</v>
      </c>
      <c r="C2566" t="s">
        <v>19</v>
      </c>
      <c r="D2566">
        <v>88</v>
      </c>
      <c r="E2566">
        <v>90</v>
      </c>
      <c r="F2566">
        <v>2</v>
      </c>
      <c r="G2566">
        <v>4</v>
      </c>
      <c r="H2566" s="1">
        <v>1.3888888888888889E-3</v>
      </c>
      <c r="I2566" t="s">
        <v>53</v>
      </c>
      <c r="J2566" t="s">
        <v>20</v>
      </c>
      <c r="K2566" s="2" t="str">
        <f>HYPERLINK("https://www.nba.com/stats/events?CFID=&amp;CFPARAMS=&amp;GameEventID=503&amp;GameID=0041200407&amp;Season=2012-13&amp;flag=1&amp;title=Leonard%2025'%203PT%20Jump%20Shot%20(19%20PTS)%20(Ginobili%205%20AST)", "Leonard 25' 3PT Jump Shot (19 PTS) (Ginobili 5 AST)")</f>
        <v>Leonard 25' 3PT Jump Shot (19 PTS) (Ginobili 5 AST)</v>
      </c>
      <c r="L2566" s="2" t="str">
        <f>HYPERLINK("https://www.nba.com/game/...-vs-...-0041200407/play-by-play?watchFullGame=true", "SAS vs MIA - Q4 02:00.00")</f>
        <v>SAS vs MIA - Q4 02:00.00</v>
      </c>
      <c r="M2566">
        <v>25</v>
      </c>
      <c r="N2566">
        <v>195</v>
      </c>
      <c r="O2566">
        <v>160</v>
      </c>
      <c r="P2566">
        <v>195</v>
      </c>
      <c r="Q2566">
        <v>160</v>
      </c>
      <c r="R2566" t="s">
        <v>21</v>
      </c>
      <c r="S2566" t="s">
        <v>21</v>
      </c>
    </row>
    <row r="2567" spans="1:19" hidden="1" x14ac:dyDescent="0.25">
      <c r="A2567">
        <v>21300414</v>
      </c>
      <c r="B2567" t="s">
        <v>26</v>
      </c>
      <c r="C2567" t="s">
        <v>19</v>
      </c>
      <c r="D2567">
        <v>103</v>
      </c>
      <c r="E2567">
        <v>95</v>
      </c>
      <c r="F2567">
        <v>8</v>
      </c>
      <c r="G2567">
        <v>4</v>
      </c>
      <c r="H2567" s="1">
        <v>1.4004629629629629E-3</v>
      </c>
      <c r="I2567">
        <v>2013</v>
      </c>
      <c r="J2567" t="s">
        <v>20</v>
      </c>
      <c r="K2567" s="2" t="str">
        <f>HYPERLINK("https://www.nba.com/stats/events?CFID=&amp;CFPARAMS=&amp;GameEventID=525&amp;GameID=0021300414&amp;Season=2013-14&amp;flag=1&amp;title=Leonard%2025'%203PT%20Jump%20Shot%20(10%20PTS)%20(Green%201%20AST)", "Leonard 25' 3PT Jump Shot (10 PTS) (Green 1 AST)")</f>
        <v>Leonard 25' 3PT Jump Shot (10 PTS) (Green 1 AST)</v>
      </c>
      <c r="L2567" s="2" t="str">
        <f>HYPERLINK("https://www.nba.com/game/...-vs-...-0021300414/play-by-play?watchFullGame=true", "SAS vs TOR - Q4 02:01.00")</f>
        <v>SAS vs TOR - Q4 02:01.00</v>
      </c>
      <c r="M2567">
        <v>25</v>
      </c>
      <c r="N2567">
        <v>-182</v>
      </c>
      <c r="O2567">
        <v>165</v>
      </c>
      <c r="P2567">
        <v>-182</v>
      </c>
      <c r="Q2567">
        <v>165</v>
      </c>
      <c r="R2567" t="s">
        <v>21</v>
      </c>
      <c r="S2567" t="s">
        <v>21</v>
      </c>
    </row>
    <row r="2568" spans="1:19" hidden="1" x14ac:dyDescent="0.25">
      <c r="A2568">
        <v>41400163</v>
      </c>
      <c r="B2568" t="s">
        <v>26</v>
      </c>
      <c r="C2568" t="s">
        <v>19</v>
      </c>
      <c r="D2568">
        <v>25</v>
      </c>
      <c r="E2568">
        <v>13</v>
      </c>
      <c r="F2568">
        <v>12</v>
      </c>
      <c r="G2568">
        <v>1</v>
      </c>
      <c r="H2568" s="1">
        <v>1.4467592592592592E-3</v>
      </c>
      <c r="I2568" t="s">
        <v>56</v>
      </c>
      <c r="J2568" t="s">
        <v>20</v>
      </c>
      <c r="K2568" s="2" t="str">
        <f>HYPERLINK("https://www.nba.com/stats/events?CFID=&amp;CFPARAMS=&amp;GameEventID=63&amp;GameID=0041400163&amp;Season=2014-15&amp;flag=1&amp;title=Leonard%2025'%203PT%20Jump%20Shot%20(10%20PTS)%20(Duncan%201%20AST)", "Leonard 25' 3PT Jump Shot (10 PTS) (Duncan 1 AST)")</f>
        <v>Leonard 25' 3PT Jump Shot (10 PTS) (Duncan 1 AST)</v>
      </c>
      <c r="L2568" s="2" t="str">
        <f>HYPERLINK("https://www.nba.com/game/...-vs-...-0041400163/play-by-play?watchFullGame=true", "SAS vs LAC - Q1 02:05.00")</f>
        <v>SAS vs LAC - Q1 02:05.00</v>
      </c>
      <c r="M2568">
        <v>25</v>
      </c>
      <c r="N2568">
        <v>56</v>
      </c>
      <c r="O2568">
        <v>246</v>
      </c>
      <c r="P2568">
        <v>56</v>
      </c>
      <c r="Q2568">
        <v>246</v>
      </c>
      <c r="R2568" t="s">
        <v>21</v>
      </c>
      <c r="S2568" t="s">
        <v>21</v>
      </c>
    </row>
    <row r="2569" spans="1:19" hidden="1" x14ac:dyDescent="0.25">
      <c r="A2569">
        <v>21600127</v>
      </c>
      <c r="B2569" t="s">
        <v>26</v>
      </c>
      <c r="C2569" t="s">
        <v>19</v>
      </c>
      <c r="D2569">
        <v>92</v>
      </c>
      <c r="E2569">
        <v>84</v>
      </c>
      <c r="F2569">
        <v>8</v>
      </c>
      <c r="G2569">
        <v>4</v>
      </c>
      <c r="H2569" s="1">
        <v>1.4699074074074074E-3</v>
      </c>
      <c r="I2569">
        <v>2016</v>
      </c>
      <c r="J2569" t="s">
        <v>20</v>
      </c>
      <c r="K2569" s="2" t="str">
        <f>HYPERLINK("https://www.nba.com/stats/events?CFID=&amp;CFPARAMS=&amp;GameEventID=434&amp;GameID=0021600127&amp;Season=2016-17&amp;flag=1&amp;title=Leonard%2025'%203PT%20Jump%20Shot%20(17%20PTS)", "Leonard 25' 3PT Jump Shot (17 PTS)")</f>
        <v>Leonard 25' 3PT Jump Shot (17 PTS)</v>
      </c>
      <c r="L2569" s="2" t="str">
        <f>HYPERLINK("https://www.nba.com/game/...-vs-...-0021600127/play-by-play?watchFullGame=true", "SAS vs DET - Q4 02:07.00")</f>
        <v>SAS vs DET - Q4 02:07.00</v>
      </c>
      <c r="M2569">
        <v>25</v>
      </c>
      <c r="N2569">
        <v>145</v>
      </c>
      <c r="O2569">
        <v>208</v>
      </c>
      <c r="P2569">
        <v>145</v>
      </c>
      <c r="Q2569">
        <v>208</v>
      </c>
      <c r="R2569" t="s">
        <v>21</v>
      </c>
      <c r="S2569" t="s">
        <v>21</v>
      </c>
    </row>
    <row r="2570" spans="1:19" hidden="1" x14ac:dyDescent="0.25">
      <c r="A2570">
        <v>21800519</v>
      </c>
      <c r="B2570" t="s">
        <v>26</v>
      </c>
      <c r="C2570" t="s">
        <v>19</v>
      </c>
      <c r="D2570">
        <v>25</v>
      </c>
      <c r="E2570">
        <v>16</v>
      </c>
      <c r="F2570">
        <v>9</v>
      </c>
      <c r="G2570">
        <v>1</v>
      </c>
      <c r="H2570" s="1">
        <v>1.5625000000000001E-3</v>
      </c>
      <c r="I2570">
        <v>2018</v>
      </c>
      <c r="J2570" t="s">
        <v>48</v>
      </c>
      <c r="K2570" s="2" t="str">
        <f>HYPERLINK("https://www.nba.com/stats/events?CFID=&amp;CFPARAMS=&amp;GameEventID=125&amp;GameID=0021800519&amp;Season=2018-19&amp;flag=1&amp;title=Leonard%2025'%203PT%20Jump%20Shot%20(10%20PTS)", "Leonard 25' 3PT Jump Shot (10 PTS)")</f>
        <v>Leonard 25' 3PT Jump Shot (10 PTS)</v>
      </c>
      <c r="L2570" s="2" t="str">
        <f>HYPERLINK("https://www.nba.com/game/...-vs-...-0021800519/play-by-play?watchFullGame=true", "TOR vs ORL - Q1 02:15.00")</f>
        <v>TOR vs ORL - Q1 02:15.00</v>
      </c>
      <c r="M2570">
        <v>25</v>
      </c>
      <c r="N2570">
        <v>33</v>
      </c>
      <c r="O2570">
        <v>252</v>
      </c>
      <c r="P2570">
        <v>33</v>
      </c>
      <c r="Q2570">
        <v>252</v>
      </c>
      <c r="R2570" t="s">
        <v>21</v>
      </c>
      <c r="S2570" t="s">
        <v>21</v>
      </c>
    </row>
    <row r="2571" spans="1:19" hidden="1" x14ac:dyDescent="0.25">
      <c r="A2571">
        <v>21800427</v>
      </c>
      <c r="B2571" t="s">
        <v>26</v>
      </c>
      <c r="C2571" t="s">
        <v>39</v>
      </c>
      <c r="D2571">
        <v>116</v>
      </c>
      <c r="E2571">
        <v>120</v>
      </c>
      <c r="F2571">
        <v>4</v>
      </c>
      <c r="G2571">
        <v>4</v>
      </c>
      <c r="H2571" s="1">
        <v>1.5625000000000001E-3</v>
      </c>
      <c r="I2571">
        <v>2018</v>
      </c>
      <c r="J2571" t="s">
        <v>48</v>
      </c>
      <c r="K2571" s="2" t="str">
        <f>HYPERLINK("https://www.nba.com/stats/events?CFID=&amp;CFPARAMS=&amp;GameEventID=555&amp;GameID=0021800427&amp;Season=2018-19&amp;flag=1&amp;title=Leonard%2025'%203PT%20Step%20Back%20Jump%20Shot%20(26%20PTS)", "Leonard 25' 3PT Step Back Jump Shot (26 PTS)")</f>
        <v>Leonard 25' 3PT Step Back Jump Shot (26 PTS)</v>
      </c>
      <c r="L2571" s="2" t="str">
        <f>HYPERLINK("https://www.nba.com/game/...-vs-...-0021800427/play-by-play?watchFullGame=true", "TOR vs POR - Q4 02:15.00")</f>
        <v>TOR vs POR - Q4 02:15.00</v>
      </c>
      <c r="M2571">
        <v>25</v>
      </c>
      <c r="N2571">
        <v>182</v>
      </c>
      <c r="O2571">
        <v>172</v>
      </c>
      <c r="P2571">
        <v>182</v>
      </c>
      <c r="Q2571">
        <v>172</v>
      </c>
      <c r="R2571" t="s">
        <v>21</v>
      </c>
      <c r="S2571" t="s">
        <v>21</v>
      </c>
    </row>
    <row r="2572" spans="1:19" hidden="1" x14ac:dyDescent="0.25">
      <c r="A2572">
        <v>21400986</v>
      </c>
      <c r="B2572" t="s">
        <v>26</v>
      </c>
      <c r="C2572" t="s">
        <v>19</v>
      </c>
      <c r="D2572">
        <v>54</v>
      </c>
      <c r="E2572">
        <v>47</v>
      </c>
      <c r="F2572">
        <v>7</v>
      </c>
      <c r="G2572">
        <v>2</v>
      </c>
      <c r="H2572" s="1">
        <v>1.5740740740740741E-3</v>
      </c>
      <c r="I2572">
        <v>2014</v>
      </c>
      <c r="J2572" t="s">
        <v>20</v>
      </c>
      <c r="K2572" s="2" t="str">
        <f>HYPERLINK("https://www.nba.com/stats/events?CFID=&amp;CFPARAMS=&amp;GameEventID=207&amp;GameID=0021400986&amp;Season=2014-15&amp;flag=1&amp;title=Leonard%2025'%203PT%20Jump%20Shot%20(8%20PTS)%20(Diaw%202%20AST)", "Leonard 25' 3PT Jump Shot (8 PTS) (Diaw 2 AST)")</f>
        <v>Leonard 25' 3PT Jump Shot (8 PTS) (Diaw 2 AST)</v>
      </c>
      <c r="L2572" s="2" t="str">
        <f>HYPERLINK("https://www.nba.com/game/...-vs-...-0021400986/play-by-play?watchFullGame=true", "SAS vs MIN - Q2 02:16.00")</f>
        <v>SAS vs MIN - Q2 02:16.00</v>
      </c>
      <c r="M2572">
        <v>25</v>
      </c>
      <c r="N2572">
        <v>133</v>
      </c>
      <c r="O2572">
        <v>208</v>
      </c>
      <c r="P2572">
        <v>133</v>
      </c>
      <c r="Q2572">
        <v>208</v>
      </c>
      <c r="R2572" t="s">
        <v>21</v>
      </c>
      <c r="S2572" t="s">
        <v>21</v>
      </c>
    </row>
    <row r="2573" spans="1:19" hidden="1" x14ac:dyDescent="0.25">
      <c r="A2573">
        <v>21401001</v>
      </c>
      <c r="B2573" t="s">
        <v>26</v>
      </c>
      <c r="C2573" t="s">
        <v>19</v>
      </c>
      <c r="D2573">
        <v>25</v>
      </c>
      <c r="E2573">
        <v>20</v>
      </c>
      <c r="F2573">
        <v>5</v>
      </c>
      <c r="G2573">
        <v>1</v>
      </c>
      <c r="H2573" s="1">
        <v>1.6087962962962963E-3</v>
      </c>
      <c r="I2573">
        <v>2014</v>
      </c>
      <c r="J2573" t="s">
        <v>20</v>
      </c>
      <c r="K2573" s="2" t="str">
        <f>HYPERLINK("https://www.nba.com/stats/events?CFID=&amp;CFPARAMS=&amp;GameEventID=103&amp;GameID=0021401001&amp;Season=2014-15&amp;flag=1&amp;title=Leonard%2025'%203PT%20Jump%20Shot%20(7%20PTS)%20(Diaw%201%20AST)", "Leonard 25' 3PT Jump Shot (7 PTS) (Diaw 1 AST)")</f>
        <v>Leonard 25' 3PT Jump Shot (7 PTS) (Diaw 1 AST)</v>
      </c>
      <c r="L2573" s="2" t="str">
        <f>HYPERLINK("https://www.nba.com/game/...-vs-...-0021401001/play-by-play?watchFullGame=true", "SAS vs NYK - Q1 02:19.00")</f>
        <v>SAS vs NYK - Q1 02:19.00</v>
      </c>
      <c r="M2573">
        <v>25</v>
      </c>
      <c r="N2573">
        <v>-108</v>
      </c>
      <c r="O2573">
        <v>227</v>
      </c>
      <c r="P2573">
        <v>-108</v>
      </c>
      <c r="Q2573">
        <v>227</v>
      </c>
      <c r="R2573" t="s">
        <v>21</v>
      </c>
      <c r="S2573" t="s">
        <v>21</v>
      </c>
    </row>
    <row r="2574" spans="1:19" hidden="1" x14ac:dyDescent="0.25">
      <c r="A2574">
        <v>21600150</v>
      </c>
      <c r="B2574" t="s">
        <v>26</v>
      </c>
      <c r="C2574" t="s">
        <v>19</v>
      </c>
      <c r="D2574">
        <v>24</v>
      </c>
      <c r="E2574">
        <v>12</v>
      </c>
      <c r="F2574">
        <v>12</v>
      </c>
      <c r="G2574">
        <v>1</v>
      </c>
      <c r="H2574" s="1">
        <v>1.6319444444444445E-3</v>
      </c>
      <c r="I2574">
        <v>2016</v>
      </c>
      <c r="J2574" t="s">
        <v>20</v>
      </c>
      <c r="K2574" s="2" t="str">
        <f>HYPERLINK("https://www.nba.com/stats/events?CFID=&amp;CFPARAMS=&amp;GameEventID=87&amp;GameID=0021600150&amp;Season=2016-17&amp;flag=1&amp;title=Leonard%2025'%203PT%20Jump%20Shot%20(9%20PTS)%20(Lee%201%20AST)", "Leonard 25' 3PT Jump Shot (9 PTS) (Lee 1 AST)")</f>
        <v>Leonard 25' 3PT Jump Shot (9 PTS) (Lee 1 AST)</v>
      </c>
      <c r="L2574" s="2" t="str">
        <f>HYPERLINK("https://www.nba.com/game/...-vs-...-0021600150/play-by-play?watchFullGame=true", "SAS vs MIA - Q1 02:21.00")</f>
        <v>SAS vs MIA - Q1 02:21.00</v>
      </c>
      <c r="M2574">
        <v>25</v>
      </c>
      <c r="N2574">
        <v>228</v>
      </c>
      <c r="O2574">
        <v>105</v>
      </c>
      <c r="P2574">
        <v>228</v>
      </c>
      <c r="Q2574">
        <v>105</v>
      </c>
      <c r="R2574" t="s">
        <v>21</v>
      </c>
      <c r="S2574" t="s">
        <v>21</v>
      </c>
    </row>
    <row r="2575" spans="1:19" hidden="1" x14ac:dyDescent="0.25">
      <c r="A2575">
        <v>21400757</v>
      </c>
      <c r="B2575" t="s">
        <v>26</v>
      </c>
      <c r="C2575" t="s">
        <v>19</v>
      </c>
      <c r="D2575">
        <v>24</v>
      </c>
      <c r="E2575">
        <v>17</v>
      </c>
      <c r="F2575">
        <v>7</v>
      </c>
      <c r="G2575">
        <v>1</v>
      </c>
      <c r="H2575" s="1">
        <v>1.6435185185185185E-3</v>
      </c>
      <c r="I2575">
        <v>2014</v>
      </c>
      <c r="J2575" t="s">
        <v>20</v>
      </c>
      <c r="K2575" s="2" t="str">
        <f>HYPERLINK("https://www.nba.com/stats/events?CFID=&amp;CFPARAMS=&amp;GameEventID=83&amp;GameID=0021400757&amp;Season=2014-15&amp;flag=1&amp;title=Leonard%2025'%203PT%20Jump%20Shot%20(8%20PTS)%20(Ginobili%201%20AST)", "Leonard 25' 3PT Jump Shot (8 PTS) (Ginobili 1 AST)")</f>
        <v>Leonard 25' 3PT Jump Shot (8 PTS) (Ginobili 1 AST)</v>
      </c>
      <c r="L2575" s="2" t="str">
        <f>HYPERLINK("https://www.nba.com/game/...-vs-...-0021400757/play-by-play?watchFullGame=true", "SAS vs MIA - Q1 02:22.00")</f>
        <v>SAS vs MIA - Q1 02:22.00</v>
      </c>
      <c r="M2575">
        <v>25</v>
      </c>
      <c r="N2575">
        <v>-183</v>
      </c>
      <c r="O2575">
        <v>165</v>
      </c>
      <c r="P2575">
        <v>-183</v>
      </c>
      <c r="Q2575">
        <v>165</v>
      </c>
      <c r="R2575" t="s">
        <v>21</v>
      </c>
      <c r="S2575" t="s">
        <v>21</v>
      </c>
    </row>
    <row r="2576" spans="1:19" hidden="1" x14ac:dyDescent="0.25">
      <c r="A2576">
        <v>21600319</v>
      </c>
      <c r="B2576" t="s">
        <v>26</v>
      </c>
      <c r="C2576" t="s">
        <v>19</v>
      </c>
      <c r="D2576">
        <v>96</v>
      </c>
      <c r="E2576">
        <v>80</v>
      </c>
      <c r="F2576">
        <v>16</v>
      </c>
      <c r="G2576">
        <v>4</v>
      </c>
      <c r="H2576" s="1">
        <v>1.6782407407407408E-3</v>
      </c>
      <c r="I2576">
        <v>2016</v>
      </c>
      <c r="J2576" t="s">
        <v>20</v>
      </c>
      <c r="K2576" s="2" t="str">
        <f>HYPERLINK("https://www.nba.com/stats/events?CFID=&amp;CFPARAMS=&amp;GameEventID=435&amp;GameID=0021600319&amp;Season=2016-17&amp;flag=1&amp;title=Leonard%2025'%203PT%20Jump%20Shot%20(31%20PTS)%20(Gasol%201%20AST)", "Leonard 25' 3PT Jump Shot (31 PTS) (Gasol 1 AST)")</f>
        <v>Leonard 25' 3PT Jump Shot (31 PTS) (Gasol 1 AST)</v>
      </c>
      <c r="L2576" s="2" t="str">
        <f>HYPERLINK("https://www.nba.com/game/...-vs-...-0021600319/play-by-play?watchFullGame=true", "SAS vs MIN - Q4 02:25.00")</f>
        <v>SAS vs MIN - Q4 02:25.00</v>
      </c>
      <c r="M2576">
        <v>25</v>
      </c>
      <c r="N2576">
        <v>-127</v>
      </c>
      <c r="O2576">
        <v>213</v>
      </c>
      <c r="P2576">
        <v>-127</v>
      </c>
      <c r="Q2576">
        <v>213</v>
      </c>
      <c r="R2576" t="s">
        <v>21</v>
      </c>
      <c r="S2576" t="s">
        <v>21</v>
      </c>
    </row>
    <row r="2577" spans="1:19" hidden="1" x14ac:dyDescent="0.25">
      <c r="A2577">
        <v>21400814</v>
      </c>
      <c r="B2577" t="s">
        <v>26</v>
      </c>
      <c r="C2577" t="s">
        <v>36</v>
      </c>
      <c r="D2577">
        <v>51</v>
      </c>
      <c r="E2577">
        <v>52</v>
      </c>
      <c r="F2577">
        <v>1</v>
      </c>
      <c r="G2577">
        <v>2</v>
      </c>
      <c r="H2577" s="1">
        <v>1.6782407407407408E-3</v>
      </c>
      <c r="I2577">
        <v>2014</v>
      </c>
      <c r="J2577" t="s">
        <v>20</v>
      </c>
      <c r="K2577" s="2" t="str">
        <f>HYPERLINK("https://www.nba.com/stats/events?CFID=&amp;CFPARAMS=&amp;GameEventID=206&amp;GameID=0021400814&amp;Season=2014-15&amp;flag=1&amp;title=Leonard%2025'%203PT%20Pullup%20Jump%20Shot%20(10%20PTS)%20(Parker%205%20AST)", "Leonard 25' 3PT Pullup Jump Shot (10 PTS) (Parker 5 AST)")</f>
        <v>Leonard 25' 3PT Pullup Jump Shot (10 PTS) (Parker 5 AST)</v>
      </c>
      <c r="L2577" s="2" t="str">
        <f>HYPERLINK("https://www.nba.com/game/...-vs-...-0021400814/play-by-play?watchFullGame=true", "SAS vs GSW - Q2 02:25.00")</f>
        <v>SAS vs GSW - Q2 02:25.00</v>
      </c>
      <c r="M2577">
        <v>25</v>
      </c>
      <c r="N2577">
        <v>67</v>
      </c>
      <c r="O2577">
        <v>246</v>
      </c>
      <c r="P2577">
        <v>67</v>
      </c>
      <c r="Q2577">
        <v>246</v>
      </c>
      <c r="R2577" t="s">
        <v>21</v>
      </c>
      <c r="S2577" t="s">
        <v>21</v>
      </c>
    </row>
    <row r="2578" spans="1:19" hidden="1" x14ac:dyDescent="0.25">
      <c r="A2578">
        <v>21500960</v>
      </c>
      <c r="B2578" t="s">
        <v>26</v>
      </c>
      <c r="C2578" t="s">
        <v>36</v>
      </c>
      <c r="D2578">
        <v>78</v>
      </c>
      <c r="E2578">
        <v>70</v>
      </c>
      <c r="F2578">
        <v>8</v>
      </c>
      <c r="G2578">
        <v>3</v>
      </c>
      <c r="H2578" s="1">
        <v>1.7013888888888888E-3</v>
      </c>
      <c r="I2578">
        <v>2015</v>
      </c>
      <c r="J2578" t="s">
        <v>20</v>
      </c>
      <c r="K2578" s="2" t="str">
        <f>HYPERLINK("https://www.nba.com/stats/events?CFID=&amp;CFPARAMS=&amp;GameEventID=350&amp;GameID=0021500960&amp;Season=2015-16&amp;flag=1&amp;title=Leonard%2025'%203PT%20Pullup%20Jump%20Shot%20(22%20PTS)", "Leonard 25' 3PT Pullup Jump Shot (22 PTS)")</f>
        <v>Leonard 25' 3PT Pullup Jump Shot (22 PTS)</v>
      </c>
      <c r="L2578" s="2" t="str">
        <f>HYPERLINK("https://www.nba.com/game/...-vs-...-0021500960/play-by-play?watchFullGame=true", "SAS vs CHI - Q3 02:27.00")</f>
        <v>SAS vs CHI - Q3 02:27.00</v>
      </c>
      <c r="M2578">
        <v>25</v>
      </c>
      <c r="N2578">
        <v>-112</v>
      </c>
      <c r="O2578">
        <v>218</v>
      </c>
      <c r="P2578">
        <v>-112</v>
      </c>
      <c r="Q2578">
        <v>218</v>
      </c>
      <c r="R2578" t="s">
        <v>21</v>
      </c>
      <c r="S2578" t="s">
        <v>21</v>
      </c>
    </row>
    <row r="2579" spans="1:19" hidden="1" x14ac:dyDescent="0.25">
      <c r="A2579">
        <v>41300311</v>
      </c>
      <c r="B2579" t="s">
        <v>26</v>
      </c>
      <c r="C2579" t="s">
        <v>19</v>
      </c>
      <c r="D2579">
        <v>25</v>
      </c>
      <c r="E2579">
        <v>18</v>
      </c>
      <c r="F2579">
        <v>7</v>
      </c>
      <c r="G2579">
        <v>1</v>
      </c>
      <c r="H2579" s="1">
        <v>1.712962962962963E-3</v>
      </c>
      <c r="I2579" t="s">
        <v>55</v>
      </c>
      <c r="J2579" t="s">
        <v>20</v>
      </c>
      <c r="K2579" s="2" t="str">
        <f>HYPERLINK("https://www.nba.com/stats/events?CFID=&amp;CFPARAMS=&amp;GameEventID=85&amp;GameID=0041300311&amp;Season=2013-14&amp;flag=1&amp;title=Leonard%2025'%203PT%20Jump%20Shot%20(7%20PTS)%20(Diaw%202%20AST)", "Leonard 25' 3PT Jump Shot (7 PTS) (Diaw 2 AST)")</f>
        <v>Leonard 25' 3PT Jump Shot (7 PTS) (Diaw 2 AST)</v>
      </c>
      <c r="L2579" s="2" t="str">
        <f>HYPERLINK("https://www.nba.com/game/...-vs-...-0041300311/play-by-play?watchFullGame=true", "SAS vs OKC - Q1 02:28.00")</f>
        <v>SAS vs OKC - Q1 02:28.00</v>
      </c>
      <c r="M2579">
        <v>25</v>
      </c>
      <c r="N2579">
        <v>-196</v>
      </c>
      <c r="O2579">
        <v>156</v>
      </c>
      <c r="P2579">
        <v>-196</v>
      </c>
      <c r="Q2579">
        <v>156</v>
      </c>
      <c r="R2579" t="s">
        <v>21</v>
      </c>
      <c r="S2579" t="s">
        <v>21</v>
      </c>
    </row>
    <row r="2580" spans="1:19" hidden="1" x14ac:dyDescent="0.25">
      <c r="A2580">
        <v>41400164</v>
      </c>
      <c r="B2580" t="s">
        <v>26</v>
      </c>
      <c r="C2580" t="s">
        <v>19</v>
      </c>
      <c r="D2580">
        <v>98</v>
      </c>
      <c r="E2580">
        <v>106</v>
      </c>
      <c r="F2580">
        <v>8</v>
      </c>
      <c r="G2580">
        <v>4</v>
      </c>
      <c r="H2580" s="1">
        <v>1.724537037037037E-3</v>
      </c>
      <c r="I2580" t="s">
        <v>56</v>
      </c>
      <c r="J2580" t="s">
        <v>20</v>
      </c>
      <c r="K2580" s="2" t="str">
        <f>HYPERLINK("https://www.nba.com/stats/events?CFID=&amp;CFPARAMS=&amp;GameEventID=521&amp;GameID=0041400164&amp;Season=2014-15&amp;flag=1&amp;title=Leonard%2025'%203PT%20Jump%20Shot%20(26%20PTS)%20(Mills%202%20AST)", "Leonard 25' 3PT Jump Shot (26 PTS) (Mills 2 AST)")</f>
        <v>Leonard 25' 3PT Jump Shot (26 PTS) (Mills 2 AST)</v>
      </c>
      <c r="L2580" s="2" t="str">
        <f>HYPERLINK("https://www.nba.com/game/...-vs-...-0041400164/play-by-play?watchFullGame=true", "SAS vs LAC - Q4 02:29.00")</f>
        <v>SAS vs LAC - Q4 02:29.00</v>
      </c>
      <c r="M2580">
        <v>25</v>
      </c>
      <c r="N2580">
        <v>-196</v>
      </c>
      <c r="O2580">
        <v>148</v>
      </c>
      <c r="P2580">
        <v>-196</v>
      </c>
      <c r="Q2580">
        <v>148</v>
      </c>
      <c r="R2580" t="s">
        <v>21</v>
      </c>
      <c r="S2580" t="s">
        <v>21</v>
      </c>
    </row>
    <row r="2581" spans="1:19" hidden="1" x14ac:dyDescent="0.25">
      <c r="A2581">
        <v>41800115</v>
      </c>
      <c r="B2581" t="s">
        <v>26</v>
      </c>
      <c r="C2581" t="s">
        <v>19</v>
      </c>
      <c r="D2581">
        <v>31</v>
      </c>
      <c r="E2581">
        <v>7</v>
      </c>
      <c r="F2581">
        <v>24</v>
      </c>
      <c r="G2581">
        <v>1</v>
      </c>
      <c r="H2581" s="1">
        <v>1.8055555555555555E-3</v>
      </c>
      <c r="I2581" t="s">
        <v>60</v>
      </c>
      <c r="J2581" t="s">
        <v>48</v>
      </c>
      <c r="K2581" s="2" t="str">
        <f>HYPERLINK("https://www.nba.com/stats/events?CFID=&amp;CFPARAMS=&amp;GameEventID=113&amp;GameID=0041800115&amp;Season=2018-19&amp;flag=1&amp;title=Leonard%2025'%203PT%20Jump%20Shot%20(7%20PTS)%20(Lowry%202%20AST)", "Leonard 25' 3PT Jump Shot (7 PTS) (Lowry 2 AST)")</f>
        <v>Leonard 25' 3PT Jump Shot (7 PTS) (Lowry 2 AST)</v>
      </c>
      <c r="L2581" s="2" t="str">
        <f>HYPERLINK("https://www.nba.com/game/...-vs-...-0041800115/play-by-play?watchFullGame=true", "TOR vs ORL - Q1 02:36.00")</f>
        <v>TOR vs ORL - Q1 02:36.00</v>
      </c>
      <c r="M2581">
        <v>25</v>
      </c>
      <c r="N2581">
        <v>2</v>
      </c>
      <c r="O2581">
        <v>254</v>
      </c>
      <c r="P2581">
        <v>2</v>
      </c>
      <c r="Q2581">
        <v>254</v>
      </c>
      <c r="R2581" t="s">
        <v>21</v>
      </c>
      <c r="S2581" t="s">
        <v>21</v>
      </c>
    </row>
    <row r="2582" spans="1:19" hidden="1" x14ac:dyDescent="0.25">
      <c r="A2582">
        <v>21500759</v>
      </c>
      <c r="B2582" t="s">
        <v>26</v>
      </c>
      <c r="C2582" t="s">
        <v>19</v>
      </c>
      <c r="D2582">
        <v>20</v>
      </c>
      <c r="E2582">
        <v>10</v>
      </c>
      <c r="F2582">
        <v>10</v>
      </c>
      <c r="G2582">
        <v>1</v>
      </c>
      <c r="H2582" s="1">
        <v>1.8518518518518519E-3</v>
      </c>
      <c r="I2582">
        <v>2015</v>
      </c>
      <c r="J2582" t="s">
        <v>20</v>
      </c>
      <c r="K2582" s="2" t="str">
        <f>HYPERLINK("https://www.nba.com/stats/events?CFID=&amp;CFPARAMS=&amp;GameEventID=85&amp;GameID=0021500759&amp;Season=2015-16&amp;flag=1&amp;title=Leonard%2025'%203PT%20Jump%20Shot%20(9%20PTS)%20(Diaw%201%20AST)", "Leonard 25' 3PT Jump Shot (9 PTS) (Diaw 1 AST)")</f>
        <v>Leonard 25' 3PT Jump Shot (9 PTS) (Diaw 1 AST)</v>
      </c>
      <c r="L2582" s="2" t="str">
        <f>HYPERLINK("https://www.nba.com/game/...-vs-...-0021500759/play-by-play?watchFullGame=true", "SAS vs DAL - Q1 02:40.00")</f>
        <v>SAS vs DAL - Q1 02:40.00</v>
      </c>
      <c r="M2582">
        <v>25</v>
      </c>
      <c r="N2582">
        <v>97</v>
      </c>
      <c r="O2582">
        <v>228</v>
      </c>
      <c r="P2582">
        <v>97</v>
      </c>
      <c r="Q2582">
        <v>228</v>
      </c>
      <c r="R2582" t="s">
        <v>21</v>
      </c>
      <c r="S2582" t="s">
        <v>21</v>
      </c>
    </row>
    <row r="2583" spans="1:19" hidden="1" x14ac:dyDescent="0.25">
      <c r="A2583">
        <v>21400637</v>
      </c>
      <c r="B2583" t="s">
        <v>26</v>
      </c>
      <c r="C2583" t="s">
        <v>19</v>
      </c>
      <c r="D2583">
        <v>36</v>
      </c>
      <c r="E2583">
        <v>39</v>
      </c>
      <c r="F2583">
        <v>3</v>
      </c>
      <c r="G2583">
        <v>2</v>
      </c>
      <c r="H2583" s="1">
        <v>1.9444444444444444E-3</v>
      </c>
      <c r="I2583">
        <v>2014</v>
      </c>
      <c r="J2583" t="s">
        <v>20</v>
      </c>
      <c r="K2583" s="2" t="str">
        <f>HYPERLINK("https://www.nba.com/stats/events?CFID=&amp;CFPARAMS=&amp;GameEventID=205&amp;GameID=0021400637&amp;Season=2014-15&amp;flag=1&amp;title=Leonard%2025'%203PT%20Jump%20Shot%20(12%20PTS)%20(Mills%201%20AST)", "Leonard 25' 3PT Jump Shot (12 PTS) (Mills 1 AST)")</f>
        <v>Leonard 25' 3PT Jump Shot (12 PTS) (Mills 1 AST)</v>
      </c>
      <c r="L2583" s="2" t="str">
        <f>HYPERLINK("https://www.nba.com/game/...-vs-...-0021400637/play-by-play?watchFullGame=true", "SAS vs CHI - Q2 02:48.00")</f>
        <v>SAS vs CHI - Q2 02:48.00</v>
      </c>
      <c r="M2583">
        <v>25</v>
      </c>
      <c r="N2583">
        <v>-90</v>
      </c>
      <c r="O2583">
        <v>231</v>
      </c>
      <c r="P2583">
        <v>-90</v>
      </c>
      <c r="Q2583">
        <v>231</v>
      </c>
      <c r="R2583" t="s">
        <v>21</v>
      </c>
      <c r="S2583" t="s">
        <v>21</v>
      </c>
    </row>
    <row r="2584" spans="1:19" hidden="1" x14ac:dyDescent="0.25">
      <c r="A2584">
        <v>41300223</v>
      </c>
      <c r="B2584" t="s">
        <v>26</v>
      </c>
      <c r="C2584" t="s">
        <v>19</v>
      </c>
      <c r="D2584">
        <v>114</v>
      </c>
      <c r="E2584">
        <v>97</v>
      </c>
      <c r="F2584">
        <v>17</v>
      </c>
      <c r="G2584">
        <v>4</v>
      </c>
      <c r="H2584" s="1">
        <v>1.9675925925925924E-3</v>
      </c>
      <c r="I2584" t="s">
        <v>55</v>
      </c>
      <c r="J2584" t="s">
        <v>20</v>
      </c>
      <c r="K2584" s="2" t="str">
        <f>HYPERLINK("https://www.nba.com/stats/events?CFID=&amp;CFPARAMS=&amp;GameEventID=519&amp;GameID=0041300223&amp;Season=2013-14&amp;flag=1&amp;title=Leonard%2025'%203PT%20Jump%20Shot%20(16%20PTS)%20(Ginobili%205%20AST)", "Leonard 25' 3PT Jump Shot (16 PTS) (Ginobili 5 AST)")</f>
        <v>Leonard 25' 3PT Jump Shot (16 PTS) (Ginobili 5 AST)</v>
      </c>
      <c r="L2584" s="2" t="str">
        <f>HYPERLINK("https://www.nba.com/game/...-vs-...-0041300223/play-by-play?watchFullGame=true", "SAS vs POR - Q4 02:50.00")</f>
        <v>SAS vs POR - Q4 02:50.00</v>
      </c>
      <c r="M2584">
        <v>25</v>
      </c>
      <c r="N2584">
        <v>190</v>
      </c>
      <c r="O2584">
        <v>160</v>
      </c>
      <c r="P2584">
        <v>190</v>
      </c>
      <c r="Q2584">
        <v>160</v>
      </c>
      <c r="R2584" t="s">
        <v>21</v>
      </c>
      <c r="S2584" t="s">
        <v>21</v>
      </c>
    </row>
    <row r="2585" spans="1:19" hidden="1" x14ac:dyDescent="0.25">
      <c r="A2585">
        <v>21500742</v>
      </c>
      <c r="B2585" t="s">
        <v>26</v>
      </c>
      <c r="C2585" t="s">
        <v>19</v>
      </c>
      <c r="D2585">
        <v>73</v>
      </c>
      <c r="E2585">
        <v>71</v>
      </c>
      <c r="F2585">
        <v>2</v>
      </c>
      <c r="G2585">
        <v>3</v>
      </c>
      <c r="H2585" s="1">
        <v>2.0138888888888888E-3</v>
      </c>
      <c r="I2585">
        <v>2015</v>
      </c>
      <c r="J2585" t="s">
        <v>20</v>
      </c>
      <c r="K2585" s="2" t="str">
        <f>HYPERLINK("https://www.nba.com/stats/events?CFID=&amp;CFPARAMS=&amp;GameEventID=326&amp;GameID=0021500742&amp;Season=2015-16&amp;flag=1&amp;title=Leonard%2025'%203PT%20Jump%20Shot%20(18%20PTS)%20(Mills%203%20AST)", "Leonard 25' 3PT Jump Shot (18 PTS) (Mills 3 AST)")</f>
        <v>Leonard 25' 3PT Jump Shot (18 PTS) (Mills 3 AST)</v>
      </c>
      <c r="L2585" s="2" t="str">
        <f>HYPERLINK("https://www.nba.com/game/...-vs-...-0021500742/play-by-play?watchFullGame=true", "SAS vs NOP - Q3 02:54.00")</f>
        <v>SAS vs NOP - Q3 02:54.00</v>
      </c>
      <c r="M2585">
        <v>25</v>
      </c>
      <c r="N2585">
        <v>-161</v>
      </c>
      <c r="O2585">
        <v>190</v>
      </c>
      <c r="P2585">
        <v>-161</v>
      </c>
      <c r="Q2585">
        <v>190</v>
      </c>
      <c r="R2585" t="s">
        <v>21</v>
      </c>
      <c r="S2585" t="s">
        <v>21</v>
      </c>
    </row>
    <row r="2586" spans="1:19" hidden="1" x14ac:dyDescent="0.25">
      <c r="A2586">
        <v>41600155</v>
      </c>
      <c r="B2586" t="s">
        <v>26</v>
      </c>
      <c r="C2586" t="s">
        <v>19</v>
      </c>
      <c r="D2586">
        <v>81</v>
      </c>
      <c r="E2586">
        <v>63</v>
      </c>
      <c r="F2586">
        <v>18</v>
      </c>
      <c r="G2586">
        <v>3</v>
      </c>
      <c r="H2586" s="1">
        <v>2.0138888888888888E-3</v>
      </c>
      <c r="I2586" t="s">
        <v>58</v>
      </c>
      <c r="J2586" t="s">
        <v>20</v>
      </c>
      <c r="K2586" s="2" t="str">
        <f>HYPERLINK("https://www.nba.com/stats/events?CFID=&amp;CFPARAMS=&amp;GameEventID=329&amp;GameID=0041600155&amp;Season=2016-17&amp;flag=1&amp;title=Leonard%2025'%203PT%20Jump%20Shot%20(20%20PTS)%20(Gasol%202%20AST)", "Leonard 25' 3PT Jump Shot (20 PTS) (Gasol 2 AST)")</f>
        <v>Leonard 25' 3PT Jump Shot (20 PTS) (Gasol 2 AST)</v>
      </c>
      <c r="L2586" s="2" t="str">
        <f>HYPERLINK("https://www.nba.com/game/...-vs-...-0041600155/play-by-play?watchFullGame=true", "SAS vs MEM - Q3 02:54.00")</f>
        <v>SAS vs MEM - Q3 02:54.00</v>
      </c>
      <c r="M2586">
        <v>25</v>
      </c>
      <c r="N2586">
        <v>-47</v>
      </c>
      <c r="O2586">
        <v>244</v>
      </c>
      <c r="P2586">
        <v>-47</v>
      </c>
      <c r="Q2586">
        <v>244</v>
      </c>
      <c r="R2586" t="s">
        <v>21</v>
      </c>
      <c r="S2586" t="s">
        <v>21</v>
      </c>
    </row>
    <row r="2587" spans="1:19" hidden="1" x14ac:dyDescent="0.25">
      <c r="A2587">
        <v>21501018</v>
      </c>
      <c r="B2587" t="s">
        <v>26</v>
      </c>
      <c r="C2587" t="s">
        <v>19</v>
      </c>
      <c r="D2587">
        <v>87</v>
      </c>
      <c r="E2587">
        <v>69</v>
      </c>
      <c r="F2587">
        <v>18</v>
      </c>
      <c r="G2587">
        <v>3</v>
      </c>
      <c r="H2587" s="1">
        <v>2.0601851851851853E-3</v>
      </c>
      <c r="I2587">
        <v>2015</v>
      </c>
      <c r="J2587" t="s">
        <v>20</v>
      </c>
      <c r="K2587" s="2" t="str">
        <f>HYPERLINK("https://www.nba.com/stats/events?CFID=&amp;CFPARAMS=&amp;GameEventID=370&amp;GameID=0021501018&amp;Season=2015-16&amp;flag=1&amp;title=Leonard%2025'%203PT%20Jump%20Shot%20(17%20PTS)%20(Parker%2016%20AST)", "Leonard 25' 3PT Jump Shot (17 PTS) (Parker 16 AST)")</f>
        <v>Leonard 25' 3PT Jump Shot (17 PTS) (Parker 16 AST)</v>
      </c>
      <c r="L2587" s="2" t="str">
        <f>HYPERLINK("https://www.nba.com/game/...-vs-...-0021501018/play-by-play?watchFullGame=true", "SAS vs POR - Q3 02:58.00")</f>
        <v>SAS vs POR - Q3 02:58.00</v>
      </c>
      <c r="M2587">
        <v>25</v>
      </c>
      <c r="N2587">
        <v>174</v>
      </c>
      <c r="O2587">
        <v>178</v>
      </c>
      <c r="P2587">
        <v>174</v>
      </c>
      <c r="Q2587">
        <v>178</v>
      </c>
      <c r="R2587" t="s">
        <v>21</v>
      </c>
      <c r="S2587" t="s">
        <v>21</v>
      </c>
    </row>
    <row r="2588" spans="1:19" hidden="1" x14ac:dyDescent="0.25">
      <c r="A2588">
        <v>21500481</v>
      </c>
      <c r="B2588" t="s">
        <v>26</v>
      </c>
      <c r="C2588" t="s">
        <v>19</v>
      </c>
      <c r="D2588">
        <v>20</v>
      </c>
      <c r="E2588">
        <v>8</v>
      </c>
      <c r="F2588">
        <v>12</v>
      </c>
      <c r="G2588">
        <v>1</v>
      </c>
      <c r="H2588" s="1">
        <v>2.0601851851851853E-3</v>
      </c>
      <c r="I2588">
        <v>2015</v>
      </c>
      <c r="J2588" t="s">
        <v>20</v>
      </c>
      <c r="K2588" s="2" t="str">
        <f>HYPERLINK("https://www.nba.com/stats/events?CFID=&amp;CFPARAMS=&amp;GameEventID=86&amp;GameID=0021500481&amp;Season=2015-16&amp;flag=1&amp;title=Leonard%2025'%203PT%20Jump%20Shot%20(3%20PTS)%20(Aldridge%201%20AST)", "Leonard 25' 3PT Jump Shot (3 PTS) (Aldridge 1 AST)")</f>
        <v>Leonard 25' 3PT Jump Shot (3 PTS) (Aldridge 1 AST)</v>
      </c>
      <c r="L2588" s="2" t="str">
        <f>HYPERLINK("https://www.nba.com/game/...-vs-...-0021500481/play-by-play?watchFullGame=true", "SAS vs PHX - Q1 02:58.00")</f>
        <v>SAS vs PHX - Q1 02:58.00</v>
      </c>
      <c r="M2588">
        <v>25</v>
      </c>
      <c r="N2588">
        <v>210</v>
      </c>
      <c r="O2588">
        <v>144</v>
      </c>
      <c r="P2588">
        <v>210</v>
      </c>
      <c r="Q2588">
        <v>144</v>
      </c>
      <c r="R2588" t="s">
        <v>21</v>
      </c>
      <c r="S2588" t="s">
        <v>21</v>
      </c>
    </row>
    <row r="2589" spans="1:19" hidden="1" x14ac:dyDescent="0.25">
      <c r="A2589">
        <v>21301102</v>
      </c>
      <c r="B2589" t="s">
        <v>26</v>
      </c>
      <c r="C2589" t="s">
        <v>19</v>
      </c>
      <c r="D2589">
        <v>20</v>
      </c>
      <c r="E2589">
        <v>15</v>
      </c>
      <c r="F2589">
        <v>5</v>
      </c>
      <c r="G2589">
        <v>1</v>
      </c>
      <c r="H2589" s="1">
        <v>2.1064814814814813E-3</v>
      </c>
      <c r="I2589">
        <v>2013</v>
      </c>
      <c r="J2589" t="s">
        <v>20</v>
      </c>
      <c r="K2589" s="2" t="str">
        <f>HYPERLINK("https://www.nba.com/stats/events?CFID=&amp;CFPARAMS=&amp;GameEventID=88&amp;GameID=0021301102&amp;Season=2013-14&amp;flag=1&amp;title=Leonard%2025'%203PT%20Jump%20Shot%20(3%20PTS)%20(Diaw%202%20AST)", "Leonard 25' 3PT Jump Shot (3 PTS) (Diaw 2 AST)")</f>
        <v>Leonard 25' 3PT Jump Shot (3 PTS) (Diaw 2 AST)</v>
      </c>
      <c r="L2589" s="2" t="str">
        <f>HYPERLINK("https://www.nba.com/game/...-vs-...-0021301102/play-by-play?watchFullGame=true", "SAS vs IND - Q1 03:02.00")</f>
        <v>SAS vs IND - Q1 03:02.00</v>
      </c>
      <c r="M2589">
        <v>25</v>
      </c>
      <c r="N2589">
        <v>-27</v>
      </c>
      <c r="O2589">
        <v>244</v>
      </c>
      <c r="P2589">
        <v>-27</v>
      </c>
      <c r="Q2589">
        <v>244</v>
      </c>
      <c r="R2589" t="s">
        <v>21</v>
      </c>
      <c r="S2589" t="s">
        <v>21</v>
      </c>
    </row>
    <row r="2590" spans="1:19" hidden="1" x14ac:dyDescent="0.25">
      <c r="A2590">
        <v>21401157</v>
      </c>
      <c r="B2590" t="s">
        <v>26</v>
      </c>
      <c r="C2590" t="s">
        <v>19</v>
      </c>
      <c r="D2590">
        <v>21</v>
      </c>
      <c r="E2590">
        <v>8</v>
      </c>
      <c r="F2590">
        <v>13</v>
      </c>
      <c r="G2590">
        <v>1</v>
      </c>
      <c r="H2590" s="1">
        <v>2.1064814814814813E-3</v>
      </c>
      <c r="I2590">
        <v>2014</v>
      </c>
      <c r="J2590" t="s">
        <v>20</v>
      </c>
      <c r="K2590" s="2" t="str">
        <f>HYPERLINK("https://www.nba.com/stats/events?CFID=&amp;CFPARAMS=&amp;GameEventID=108&amp;GameID=0021401157&amp;Season=2014-15&amp;flag=1&amp;title=Leonard%2025'%203PT%20Jump%20Shot%20(12%20PTS)%20(Diaw%201%20AST)", "Leonard 25' 3PT Jump Shot (12 PTS) (Diaw 1 AST)")</f>
        <v>Leonard 25' 3PT Jump Shot (12 PTS) (Diaw 1 AST)</v>
      </c>
      <c r="L2590" s="2" t="str">
        <f>HYPERLINK("https://www.nba.com/game/...-vs-...-0021401157/play-by-play?watchFullGame=true", "SAS vs OKC - Q1 03:02.00")</f>
        <v>SAS vs OKC - Q1 03:02.00</v>
      </c>
      <c r="M2590">
        <v>25</v>
      </c>
      <c r="N2590">
        <v>149</v>
      </c>
      <c r="O2590">
        <v>203</v>
      </c>
      <c r="P2590">
        <v>149</v>
      </c>
      <c r="Q2590">
        <v>203</v>
      </c>
      <c r="R2590" t="s">
        <v>21</v>
      </c>
      <c r="S2590" t="s">
        <v>21</v>
      </c>
    </row>
    <row r="2591" spans="1:19" hidden="1" x14ac:dyDescent="0.25">
      <c r="A2591">
        <v>21800427</v>
      </c>
      <c r="B2591" t="s">
        <v>26</v>
      </c>
      <c r="C2591" t="s">
        <v>36</v>
      </c>
      <c r="D2591">
        <v>110</v>
      </c>
      <c r="E2591">
        <v>117</v>
      </c>
      <c r="F2591">
        <v>7</v>
      </c>
      <c r="G2591">
        <v>4</v>
      </c>
      <c r="H2591" s="1">
        <v>2.1180555555555558E-3</v>
      </c>
      <c r="I2591">
        <v>2018</v>
      </c>
      <c r="J2591" t="s">
        <v>48</v>
      </c>
      <c r="K2591" s="2" t="str">
        <f>HYPERLINK("https://www.nba.com/stats/events?CFID=&amp;CFPARAMS=&amp;GameEventID=546&amp;GameID=0021800427&amp;Season=2018-19&amp;flag=1&amp;title=Leonard%2025'%203PT%20Pullup%20Jump%20Shot%20(23%20PTS)%20(VanVleet%207%20AST)", "Leonard 25' 3PT Pullup Jump Shot (23 PTS) (VanVleet 7 AST)")</f>
        <v>Leonard 25' 3PT Pullup Jump Shot (23 PTS) (VanVleet 7 AST)</v>
      </c>
      <c r="L2591" s="2" t="str">
        <f>HYPERLINK("https://www.nba.com/game/...-vs-...-0021800427/play-by-play?watchFullGame=true", "TOR vs POR - Q4 03:03.00")</f>
        <v>TOR vs POR - Q4 03:03.00</v>
      </c>
      <c r="M2591">
        <v>25</v>
      </c>
      <c r="N2591">
        <v>112</v>
      </c>
      <c r="O2591">
        <v>223</v>
      </c>
      <c r="P2591">
        <v>112</v>
      </c>
      <c r="Q2591">
        <v>223</v>
      </c>
      <c r="R2591" t="s">
        <v>21</v>
      </c>
      <c r="S2591" t="s">
        <v>21</v>
      </c>
    </row>
    <row r="2592" spans="1:19" hidden="1" x14ac:dyDescent="0.25">
      <c r="A2592">
        <v>21500280</v>
      </c>
      <c r="B2592" t="s">
        <v>26</v>
      </c>
      <c r="C2592" t="s">
        <v>19</v>
      </c>
      <c r="D2592">
        <v>68</v>
      </c>
      <c r="E2592">
        <v>49</v>
      </c>
      <c r="F2592">
        <v>19</v>
      </c>
      <c r="G2592">
        <v>3</v>
      </c>
      <c r="H2592" s="1">
        <v>2.1180555555555558E-3</v>
      </c>
      <c r="I2592">
        <v>2015</v>
      </c>
      <c r="J2592" t="s">
        <v>20</v>
      </c>
      <c r="K2592" s="2" t="str">
        <f>HYPERLINK("https://www.nba.com/stats/events?CFID=&amp;CFPARAMS=&amp;GameEventID=327&amp;GameID=0021500280&amp;Season=2015-16&amp;flag=1&amp;title=Leonard%2025'%203PT%20Jump%20Shot%20(18%20PTS)%20(Mills%201%20AST)", "Leonard 25' 3PT Jump Shot (18 PTS) (Mills 1 AST)")</f>
        <v>Leonard 25' 3PT Jump Shot (18 PTS) (Mills 1 AST)</v>
      </c>
      <c r="L2592" s="2" t="str">
        <f>HYPERLINK("https://www.nba.com/game/...-vs-...-0021500280/play-by-play?watchFullGame=true", "SAS vs MEM - Q3 03:03.00")</f>
        <v>SAS vs MEM - Q3 03:03.00</v>
      </c>
      <c r="M2592">
        <v>25</v>
      </c>
      <c r="N2592">
        <v>233</v>
      </c>
      <c r="O2592">
        <v>82</v>
      </c>
      <c r="P2592">
        <v>233</v>
      </c>
      <c r="Q2592">
        <v>82</v>
      </c>
      <c r="R2592" t="s">
        <v>21</v>
      </c>
      <c r="S2592" t="s">
        <v>21</v>
      </c>
    </row>
    <row r="2593" spans="1:19" hidden="1" x14ac:dyDescent="0.25">
      <c r="A2593">
        <v>21800739</v>
      </c>
      <c r="B2593" t="s">
        <v>26</v>
      </c>
      <c r="C2593" t="s">
        <v>19</v>
      </c>
      <c r="D2593">
        <v>63</v>
      </c>
      <c r="E2593">
        <v>50</v>
      </c>
      <c r="F2593">
        <v>13</v>
      </c>
      <c r="G2593">
        <v>2</v>
      </c>
      <c r="H2593" s="1">
        <v>2.1412037037037038E-3</v>
      </c>
      <c r="I2593">
        <v>2018</v>
      </c>
      <c r="J2593" t="s">
        <v>48</v>
      </c>
      <c r="K2593" s="2" t="str">
        <f>HYPERLINK("https://www.nba.com/stats/events?CFID=&amp;CFPARAMS=&amp;GameEventID=305&amp;GameID=0021800739&amp;Season=2018-19&amp;flag=1&amp;title=Leonard%2025'%203PT%20Jump%20Shot%20(17%20PTS)%20(Siakam%201%20AST)", "Leonard 25' 3PT Jump Shot (17 PTS) (Siakam 1 AST)")</f>
        <v>Leonard 25' 3PT Jump Shot (17 PTS) (Siakam 1 AST)</v>
      </c>
      <c r="L2593" s="2" t="str">
        <f>HYPERLINK("https://www.nba.com/game/...-vs-...-0021800739/play-by-play?watchFullGame=true", "TOR vs DAL - Q2 03:05.00")</f>
        <v>TOR vs DAL - Q2 03:05.00</v>
      </c>
      <c r="M2593">
        <v>25</v>
      </c>
      <c r="N2593">
        <v>198</v>
      </c>
      <c r="O2593">
        <v>156</v>
      </c>
      <c r="P2593">
        <v>198</v>
      </c>
      <c r="Q2593">
        <v>156</v>
      </c>
      <c r="R2593" t="s">
        <v>21</v>
      </c>
      <c r="S2593" t="s">
        <v>21</v>
      </c>
    </row>
    <row r="2594" spans="1:19" hidden="1" x14ac:dyDescent="0.25">
      <c r="A2594">
        <v>21801214</v>
      </c>
      <c r="B2594" t="s">
        <v>26</v>
      </c>
      <c r="C2594" t="s">
        <v>36</v>
      </c>
      <c r="D2594">
        <v>95</v>
      </c>
      <c r="E2594">
        <v>74</v>
      </c>
      <c r="F2594">
        <v>21</v>
      </c>
      <c r="G2594">
        <v>3</v>
      </c>
      <c r="H2594" s="1">
        <v>2.1643518518518518E-3</v>
      </c>
      <c r="I2594">
        <v>2018</v>
      </c>
      <c r="J2594" t="s">
        <v>48</v>
      </c>
      <c r="K2594" s="2" t="str">
        <f>HYPERLINK("https://www.nba.com/stats/events?CFID=&amp;CFPARAMS=&amp;GameEventID=425&amp;GameID=0021801214&amp;Season=2018-19&amp;flag=1&amp;title=Leonard%2025'%203PT%20Pullup%20Jump%20Shot%20(20%20PTS)", "Leonard 25' 3PT Pullup Jump Shot (20 PTS)")</f>
        <v>Leonard 25' 3PT Pullup Jump Shot (20 PTS)</v>
      </c>
      <c r="L2594" s="2" t="str">
        <f>HYPERLINK("https://www.nba.com/game/...-vs-...-0021801214/play-by-play?watchFullGame=true", "TOR vs MIN - Q3 03:07.00")</f>
        <v>TOR vs MIN - Q3 03:07.00</v>
      </c>
      <c r="M2594">
        <v>25</v>
      </c>
      <c r="N2594">
        <v>204</v>
      </c>
      <c r="O2594">
        <v>146</v>
      </c>
      <c r="P2594">
        <v>204</v>
      </c>
      <c r="Q2594">
        <v>146</v>
      </c>
      <c r="R2594" t="s">
        <v>21</v>
      </c>
      <c r="S2594" t="s">
        <v>21</v>
      </c>
    </row>
    <row r="2595" spans="1:19" hidden="1" x14ac:dyDescent="0.25">
      <c r="A2595">
        <v>21600994</v>
      </c>
      <c r="B2595" t="s">
        <v>26</v>
      </c>
      <c r="C2595" t="s">
        <v>36</v>
      </c>
      <c r="D2595">
        <v>44</v>
      </c>
      <c r="E2595">
        <v>33</v>
      </c>
      <c r="F2595">
        <v>11</v>
      </c>
      <c r="G2595">
        <v>2</v>
      </c>
      <c r="H2595" s="1">
        <v>2.1990740740740742E-3</v>
      </c>
      <c r="I2595">
        <v>2016</v>
      </c>
      <c r="J2595" t="s">
        <v>20</v>
      </c>
      <c r="K2595" s="2" t="str">
        <f>HYPERLINK("https://www.nba.com/stats/events?CFID=&amp;CFPARAMS=&amp;GameEventID=231&amp;GameID=0021600994&amp;Season=2016-17&amp;flag=1&amp;title=Leonard%2025'%203PT%20Pullup%20Jump%20Shot%20(19%20PTS)%20(Gasol%202%20AST)", "Leonard 25' 3PT Pullup Jump Shot (19 PTS) (Gasol 2 AST)")</f>
        <v>Leonard 25' 3PT Pullup Jump Shot (19 PTS) (Gasol 2 AST)</v>
      </c>
      <c r="L2595" s="2" t="str">
        <f>HYPERLINK("https://www.nba.com/game/...-vs-...-0021600994/play-by-play?watchFullGame=true", "SAS vs ATL - Q2 03:10.00")</f>
        <v>SAS vs ATL - Q2 03:10.00</v>
      </c>
      <c r="M2595">
        <v>25</v>
      </c>
      <c r="N2595">
        <v>122</v>
      </c>
      <c r="O2595">
        <v>223</v>
      </c>
      <c r="P2595">
        <v>122</v>
      </c>
      <c r="Q2595">
        <v>223</v>
      </c>
      <c r="R2595" t="s">
        <v>21</v>
      </c>
      <c r="S2595" t="s">
        <v>21</v>
      </c>
    </row>
    <row r="2596" spans="1:19" hidden="1" x14ac:dyDescent="0.25">
      <c r="A2596">
        <v>21501018</v>
      </c>
      <c r="B2596" t="s">
        <v>26</v>
      </c>
      <c r="C2596" t="s">
        <v>19</v>
      </c>
      <c r="D2596">
        <v>114</v>
      </c>
      <c r="E2596">
        <v>99</v>
      </c>
      <c r="F2596">
        <v>15</v>
      </c>
      <c r="G2596">
        <v>4</v>
      </c>
      <c r="H2596" s="1">
        <v>2.1990740740740742E-3</v>
      </c>
      <c r="I2596">
        <v>2015</v>
      </c>
      <c r="J2596" t="s">
        <v>20</v>
      </c>
      <c r="K2596" s="2" t="str">
        <f>HYPERLINK("https://www.nba.com/stats/events?CFID=&amp;CFPARAMS=&amp;GameEventID=509&amp;GameID=0021501018&amp;Season=2015-16&amp;flag=1&amp;title=Leonard%2025'%203PT%20Jump%20Shot%20(22%20PTS)%20(Anderson%203%20AST)", "Leonard 25' 3PT Jump Shot (22 PTS) (Anderson 3 AST)")</f>
        <v>Leonard 25' 3PT Jump Shot (22 PTS) (Anderson 3 AST)</v>
      </c>
      <c r="L2596" s="2" t="str">
        <f>HYPERLINK("https://www.nba.com/game/...-vs-...-0021501018/play-by-play?watchFullGame=true", "SAS vs POR - Q4 03:10.00")</f>
        <v>SAS vs POR - Q4 03:10.00</v>
      </c>
      <c r="M2596">
        <v>25</v>
      </c>
      <c r="N2596">
        <v>163</v>
      </c>
      <c r="O2596">
        <v>188</v>
      </c>
      <c r="P2596">
        <v>163</v>
      </c>
      <c r="Q2596">
        <v>188</v>
      </c>
      <c r="R2596" t="s">
        <v>21</v>
      </c>
      <c r="S2596" t="s">
        <v>21</v>
      </c>
    </row>
    <row r="2597" spans="1:19" hidden="1" x14ac:dyDescent="0.25">
      <c r="A2597">
        <v>21800602</v>
      </c>
      <c r="B2597" t="s">
        <v>26</v>
      </c>
      <c r="C2597" t="s">
        <v>19</v>
      </c>
      <c r="D2597">
        <v>51</v>
      </c>
      <c r="E2597">
        <v>51</v>
      </c>
      <c r="F2597">
        <v>0</v>
      </c>
      <c r="G2597">
        <v>2</v>
      </c>
      <c r="H2597" s="1">
        <v>2.1990740740740742E-3</v>
      </c>
      <c r="I2597">
        <v>2018</v>
      </c>
      <c r="J2597" t="s">
        <v>48</v>
      </c>
      <c r="K2597" s="2" t="str">
        <f>HYPERLINK("https://www.nba.com/stats/events?CFID=&amp;CFPARAMS=&amp;GameEventID=304&amp;GameID=0021800602&amp;Season=2018-19&amp;flag=1&amp;title=Leonard%2025'%203PT%20Jump%20Shot%20(15%20PTS)%20(VanVleet%202%20AST)", "Leonard 25' 3PT Jump Shot (15 PTS) (VanVleet 2 AST)")</f>
        <v>Leonard 25' 3PT Jump Shot (15 PTS) (VanVleet 2 AST)</v>
      </c>
      <c r="L2597" s="2" t="str">
        <f>HYPERLINK("https://www.nba.com/game/...-vs-...-0021800602/play-by-play?watchFullGame=true", "TOR vs ATL - Q2 03:10.00")</f>
        <v>TOR vs ATL - Q2 03:10.00</v>
      </c>
      <c r="M2597">
        <v>25</v>
      </c>
      <c r="N2597">
        <v>187</v>
      </c>
      <c r="O2597">
        <v>170</v>
      </c>
      <c r="P2597">
        <v>187</v>
      </c>
      <c r="Q2597">
        <v>170</v>
      </c>
      <c r="R2597" t="s">
        <v>21</v>
      </c>
      <c r="S2597" t="s">
        <v>21</v>
      </c>
    </row>
    <row r="2598" spans="1:19" hidden="1" x14ac:dyDescent="0.25">
      <c r="A2598">
        <v>21600782</v>
      </c>
      <c r="B2598" t="s">
        <v>26</v>
      </c>
      <c r="C2598" t="s">
        <v>36</v>
      </c>
      <c r="D2598">
        <v>55</v>
      </c>
      <c r="E2598">
        <v>42</v>
      </c>
      <c r="F2598">
        <v>13</v>
      </c>
      <c r="G2598">
        <v>2</v>
      </c>
      <c r="H2598" s="1">
        <v>2.2106481481481482E-3</v>
      </c>
      <c r="I2598">
        <v>2016</v>
      </c>
      <c r="J2598" t="s">
        <v>20</v>
      </c>
      <c r="K2598" s="2" t="str">
        <f>HYPERLINK("https://www.nba.com/stats/events?CFID=&amp;CFPARAMS=&amp;GameEventID=205&amp;GameID=0021600782&amp;Season=2016-17&amp;flag=1&amp;title=Leonard%2025'%203PT%20Pullup%20Jump%20Shot%20(17%20PTS)", "Leonard 25' 3PT Pullup Jump Shot (17 PTS)")</f>
        <v>Leonard 25' 3PT Pullup Jump Shot (17 PTS)</v>
      </c>
      <c r="L2598" s="2" t="str">
        <f>HYPERLINK("https://www.nba.com/game/...-vs-...-0021600782/play-by-play?watchFullGame=true", "SAS vs PHI - Q2 03:11.00")</f>
        <v>SAS vs PHI - Q2 03:11.00</v>
      </c>
      <c r="M2598">
        <v>25</v>
      </c>
      <c r="N2598">
        <v>-1</v>
      </c>
      <c r="O2598">
        <v>254</v>
      </c>
      <c r="P2598">
        <v>-1</v>
      </c>
      <c r="Q2598">
        <v>254</v>
      </c>
      <c r="R2598" t="s">
        <v>21</v>
      </c>
      <c r="S2598" t="s">
        <v>21</v>
      </c>
    </row>
    <row r="2599" spans="1:19" hidden="1" x14ac:dyDescent="0.25">
      <c r="A2599">
        <v>21500182</v>
      </c>
      <c r="B2599" t="s">
        <v>26</v>
      </c>
      <c r="C2599" t="s">
        <v>19</v>
      </c>
      <c r="D2599">
        <v>16</v>
      </c>
      <c r="E2599">
        <v>14</v>
      </c>
      <c r="F2599">
        <v>2</v>
      </c>
      <c r="G2599">
        <v>1</v>
      </c>
      <c r="H2599" s="1">
        <v>2.2685185185185187E-3</v>
      </c>
      <c r="I2599">
        <v>2015</v>
      </c>
      <c r="J2599" t="s">
        <v>20</v>
      </c>
      <c r="K2599" s="2" t="str">
        <f>HYPERLINK("https://www.nba.com/stats/events?CFID=&amp;CFPARAMS=&amp;GameEventID=111&amp;GameID=0021500182&amp;Season=2015-16&amp;flag=1&amp;title=Leonard%2025'%203PT%20Jump%20Shot%20(8%20PTS)%20(Mills%201%20AST)", "Leonard 25' 3PT Jump Shot (8 PTS) (Mills 1 AST)")</f>
        <v>Leonard 25' 3PT Jump Shot (8 PTS) (Mills 1 AST)</v>
      </c>
      <c r="L2599" s="2" t="str">
        <f>HYPERLINK("https://www.nba.com/game/...-vs-...-0021500182/play-by-play?watchFullGame=true", "SAS vs NOP - Q1 03:16.00")</f>
        <v>SAS vs NOP - Q1 03:16.00</v>
      </c>
      <c r="M2599">
        <v>25</v>
      </c>
      <c r="N2599">
        <v>82</v>
      </c>
      <c r="O2599">
        <v>234</v>
      </c>
      <c r="P2599">
        <v>82</v>
      </c>
      <c r="Q2599">
        <v>234</v>
      </c>
      <c r="R2599" t="s">
        <v>21</v>
      </c>
      <c r="S2599" t="s">
        <v>21</v>
      </c>
    </row>
    <row r="2600" spans="1:19" hidden="1" x14ac:dyDescent="0.25">
      <c r="A2600">
        <v>21500713</v>
      </c>
      <c r="B2600" t="s">
        <v>26</v>
      </c>
      <c r="C2600" t="s">
        <v>19</v>
      </c>
      <c r="D2600">
        <v>98</v>
      </c>
      <c r="E2600">
        <v>115</v>
      </c>
      <c r="F2600">
        <v>17</v>
      </c>
      <c r="G2600">
        <v>4</v>
      </c>
      <c r="H2600" s="1">
        <v>2.2916666666666667E-3</v>
      </c>
      <c r="I2600">
        <v>2015</v>
      </c>
      <c r="J2600" t="s">
        <v>20</v>
      </c>
      <c r="K2600" s="2" t="str">
        <f>HYPERLINK("https://www.nba.com/stats/events?CFID=&amp;CFPARAMS=&amp;GameEventID=478&amp;GameID=0021500713&amp;Season=2015-16&amp;flag=1&amp;title=Leonard%2025'%203PT%20Jump%20Shot%20(24%20PTS)", "Leonard 25' 3PT Jump Shot (24 PTS)")</f>
        <v>Leonard 25' 3PT Jump Shot (24 PTS)</v>
      </c>
      <c r="L2600" s="2" t="str">
        <f>HYPERLINK("https://www.nba.com/game/...-vs-...-0021500713/play-by-play?watchFullGame=true", "SAS vs CLE - Q4 03:18.00")</f>
        <v>SAS vs CLE - Q4 03:18.00</v>
      </c>
      <c r="M2600">
        <v>25</v>
      </c>
      <c r="N2600">
        <v>-120</v>
      </c>
      <c r="O2600">
        <v>223</v>
      </c>
      <c r="P2600">
        <v>-120</v>
      </c>
      <c r="Q2600">
        <v>223</v>
      </c>
      <c r="R2600" t="s">
        <v>21</v>
      </c>
      <c r="S2600" t="s">
        <v>21</v>
      </c>
    </row>
    <row r="2601" spans="1:19" hidden="1" x14ac:dyDescent="0.25">
      <c r="A2601">
        <v>21800371</v>
      </c>
      <c r="B2601" t="s">
        <v>26</v>
      </c>
      <c r="C2601" t="s">
        <v>36</v>
      </c>
      <c r="D2601">
        <v>38</v>
      </c>
      <c r="E2601">
        <v>44</v>
      </c>
      <c r="F2601">
        <v>6</v>
      </c>
      <c r="G2601">
        <v>2</v>
      </c>
      <c r="H2601" s="1">
        <v>2.3611111111111111E-3</v>
      </c>
      <c r="I2601">
        <v>2018</v>
      </c>
      <c r="J2601" t="s">
        <v>48</v>
      </c>
      <c r="K2601" s="2" t="str">
        <f>HYPERLINK("https://www.nba.com/stats/events?CFID=&amp;CFPARAMS=&amp;GameEventID=276&amp;GameID=0021800371&amp;Season=2018-19&amp;flag=1&amp;title=Leonard%2025'%203PT%20Pullup%20Jump%20Shot%20(7%20PTS)", "Leonard 25' 3PT Pullup Jump Shot (7 PTS)")</f>
        <v>Leonard 25' 3PT Pullup Jump Shot (7 PTS)</v>
      </c>
      <c r="L2601" s="2" t="str">
        <f>HYPERLINK("https://www.nba.com/game/...-vs-...-0021800371/play-by-play?watchFullGame=true", "TOR vs BKN - Q2 03:24.00")</f>
        <v>TOR vs BKN - Q2 03:24.00</v>
      </c>
      <c r="M2601">
        <v>25</v>
      </c>
      <c r="N2601">
        <v>153</v>
      </c>
      <c r="O2601">
        <v>194</v>
      </c>
      <c r="P2601">
        <v>153</v>
      </c>
      <c r="Q2601">
        <v>194</v>
      </c>
      <c r="R2601" t="s">
        <v>21</v>
      </c>
      <c r="S2601" t="s">
        <v>21</v>
      </c>
    </row>
    <row r="2602" spans="1:19" hidden="1" x14ac:dyDescent="0.25">
      <c r="A2602">
        <v>21800069</v>
      </c>
      <c r="B2602" t="s">
        <v>26</v>
      </c>
      <c r="C2602" t="s">
        <v>30</v>
      </c>
      <c r="D2602">
        <v>58</v>
      </c>
      <c r="E2602">
        <v>50</v>
      </c>
      <c r="F2602">
        <v>8</v>
      </c>
      <c r="G2602">
        <v>2</v>
      </c>
      <c r="H2602" s="1">
        <v>2.3611111111111111E-3</v>
      </c>
      <c r="I2602">
        <v>2018</v>
      </c>
      <c r="J2602" t="s">
        <v>48</v>
      </c>
      <c r="K2602" s="2" t="str">
        <f>HYPERLINK("https://www.nba.com/stats/events?CFID=&amp;CFPARAMS=&amp;GameEventID=290&amp;GameID=0021800069&amp;Season=2018-19&amp;flag=1&amp;title=Leonard%2025'%203PT%20Running%20Jump%20Shot%20(11%20PTS)%20(Lowry%208%20AST)", "Leonard 25' 3PT Running Jump Shot (11 PTS) (Lowry 8 AST)")</f>
        <v>Leonard 25' 3PT Running Jump Shot (11 PTS) (Lowry 8 AST)</v>
      </c>
      <c r="L2602" s="2" t="str">
        <f>HYPERLINK("https://www.nba.com/game/...-vs-...-0021800069/play-by-play?watchFullGame=true", "TOR vs DAL - Q2 03:24.00")</f>
        <v>TOR vs DAL - Q2 03:24.00</v>
      </c>
      <c r="M2602">
        <v>25</v>
      </c>
      <c r="N2602">
        <v>231</v>
      </c>
      <c r="O2602">
        <v>89</v>
      </c>
      <c r="P2602">
        <v>231</v>
      </c>
      <c r="Q2602">
        <v>89</v>
      </c>
      <c r="R2602" t="s">
        <v>21</v>
      </c>
      <c r="S2602" t="s">
        <v>21</v>
      </c>
    </row>
    <row r="2603" spans="1:19" hidden="1" x14ac:dyDescent="0.25">
      <c r="A2603">
        <v>21500296</v>
      </c>
      <c r="B2603" t="s">
        <v>26</v>
      </c>
      <c r="C2603" t="s">
        <v>19</v>
      </c>
      <c r="D2603">
        <v>18</v>
      </c>
      <c r="E2603">
        <v>21</v>
      </c>
      <c r="F2603">
        <v>3</v>
      </c>
      <c r="G2603">
        <v>1</v>
      </c>
      <c r="H2603" s="1">
        <v>2.3726851851851851E-3</v>
      </c>
      <c r="I2603">
        <v>2015</v>
      </c>
      <c r="J2603" t="s">
        <v>20</v>
      </c>
      <c r="K2603" s="2" t="str">
        <f>HYPERLINK("https://www.nba.com/stats/events?CFID=&amp;CFPARAMS=&amp;GameEventID=71&amp;GameID=0021500296&amp;Season=2015-16&amp;flag=1&amp;title=Leonard%2025'%203PT%20Jump%20Shot%20(6%20PTS)", "Leonard 25' 3PT Jump Shot (6 PTS)")</f>
        <v>Leonard 25' 3PT Jump Shot (6 PTS)</v>
      </c>
      <c r="L2603" s="2" t="str">
        <f>HYPERLINK("https://www.nba.com/game/...-vs-...-0021500296/play-by-play?watchFullGame=true", "SAS vs BOS - Q1 03:25.00")</f>
        <v>SAS vs BOS - Q1 03:25.00</v>
      </c>
      <c r="M2603">
        <v>25</v>
      </c>
      <c r="N2603">
        <v>155</v>
      </c>
      <c r="O2603">
        <v>193</v>
      </c>
      <c r="P2603">
        <v>155</v>
      </c>
      <c r="Q2603">
        <v>193</v>
      </c>
      <c r="R2603" t="s">
        <v>21</v>
      </c>
      <c r="S2603" t="s">
        <v>21</v>
      </c>
    </row>
    <row r="2604" spans="1:19" hidden="1" x14ac:dyDescent="0.25">
      <c r="A2604">
        <v>21500590</v>
      </c>
      <c r="B2604" t="s">
        <v>26</v>
      </c>
      <c r="C2604" t="s">
        <v>19</v>
      </c>
      <c r="D2604">
        <v>64</v>
      </c>
      <c r="E2604">
        <v>64</v>
      </c>
      <c r="F2604">
        <v>0</v>
      </c>
      <c r="G2604">
        <v>3</v>
      </c>
      <c r="H2604" s="1">
        <v>2.476851851851852E-3</v>
      </c>
      <c r="I2604">
        <v>2015</v>
      </c>
      <c r="J2604" t="s">
        <v>20</v>
      </c>
      <c r="K2604" s="2" t="str">
        <f>HYPERLINK("https://www.nba.com/stats/events?CFID=&amp;CFPARAMS=&amp;GameEventID=327&amp;GameID=0021500590&amp;Season=2015-16&amp;flag=1&amp;title=Leonard%2025'%203PT%20Jump%20Shot%20(14%20PTS)", "Leonard 25' 3PT Jump Shot (14 PTS)")</f>
        <v>Leonard 25' 3PT Jump Shot (14 PTS)</v>
      </c>
      <c r="L2604" s="2" t="str">
        <f>HYPERLINK("https://www.nba.com/game/...-vs-...-0021500590/play-by-play?watchFullGame=true", "SAS vs CLE - Q3 03:34.00")</f>
        <v>SAS vs CLE - Q3 03:34.00</v>
      </c>
      <c r="M2604">
        <v>25</v>
      </c>
      <c r="N2604">
        <v>150</v>
      </c>
      <c r="O2604">
        <v>203</v>
      </c>
      <c r="P2604">
        <v>150</v>
      </c>
      <c r="Q2604">
        <v>203</v>
      </c>
      <c r="R2604" t="s">
        <v>21</v>
      </c>
      <c r="S2604" t="s">
        <v>21</v>
      </c>
    </row>
    <row r="2605" spans="1:19" hidden="1" x14ac:dyDescent="0.25">
      <c r="A2605">
        <v>21800624</v>
      </c>
      <c r="B2605" t="s">
        <v>26</v>
      </c>
      <c r="C2605" t="s">
        <v>19</v>
      </c>
      <c r="D2605">
        <v>49</v>
      </c>
      <c r="E2605">
        <v>48</v>
      </c>
      <c r="F2605">
        <v>1</v>
      </c>
      <c r="G2605">
        <v>2</v>
      </c>
      <c r="H2605" s="1">
        <v>2.5347222222222221E-3</v>
      </c>
      <c r="I2605">
        <v>2018</v>
      </c>
      <c r="J2605" t="s">
        <v>48</v>
      </c>
      <c r="K2605" s="2" t="str">
        <f>HYPERLINK("https://www.nba.com/stats/events?CFID=&amp;CFPARAMS=&amp;GameEventID=278&amp;GameID=0021800624&amp;Season=2018-19&amp;flag=1&amp;title=Leonard%2025'%203PT%20Jump%20Shot%20(11%20PTS)%20(Wright%201%20AST)", "Leonard 25' 3PT Jump Shot (11 PTS) (Wright 1 AST)")</f>
        <v>Leonard 25' 3PT Jump Shot (11 PTS) (Wright 1 AST)</v>
      </c>
      <c r="L2605" s="2" t="str">
        <f>HYPERLINK("https://www.nba.com/game/...-vs-...-0021800624/play-by-play?watchFullGame=true", "TOR vs BKN - Q2 03:39.00")</f>
        <v>TOR vs BKN - Q2 03:39.00</v>
      </c>
      <c r="M2605">
        <v>25</v>
      </c>
      <c r="N2605">
        <v>83</v>
      </c>
      <c r="O2605">
        <v>240</v>
      </c>
      <c r="P2605">
        <v>83</v>
      </c>
      <c r="Q2605">
        <v>240</v>
      </c>
      <c r="R2605" t="s">
        <v>21</v>
      </c>
      <c r="S2605" t="s">
        <v>21</v>
      </c>
    </row>
    <row r="2606" spans="1:19" hidden="1" x14ac:dyDescent="0.25">
      <c r="A2606">
        <v>41400162</v>
      </c>
      <c r="B2606" t="s">
        <v>26</v>
      </c>
      <c r="C2606" t="s">
        <v>19</v>
      </c>
      <c r="D2606">
        <v>68</v>
      </c>
      <c r="E2606">
        <v>61</v>
      </c>
      <c r="F2606">
        <v>7</v>
      </c>
      <c r="G2606">
        <v>3</v>
      </c>
      <c r="H2606" s="1">
        <v>2.5810185185185185E-3</v>
      </c>
      <c r="I2606" t="s">
        <v>56</v>
      </c>
      <c r="J2606" t="s">
        <v>20</v>
      </c>
      <c r="K2606" s="2" t="str">
        <f>HYPERLINK("https://www.nba.com/stats/events?CFID=&amp;CFPARAMS=&amp;GameEventID=321&amp;GameID=0041400162&amp;Season=2014-15&amp;flag=1&amp;title=Leonard%2025'%203PT%20Jump%20Shot%20(18%20PTS)%20(Diaw%202%20AST)", "Leonard 25' 3PT Jump Shot (18 PTS) (Diaw 2 AST)")</f>
        <v>Leonard 25' 3PT Jump Shot (18 PTS) (Diaw 2 AST)</v>
      </c>
      <c r="L2606" s="2" t="str">
        <f>HYPERLINK("https://www.nba.com/game/...-vs-...-0041400162/play-by-play?watchFullGame=true", "SAS vs LAC - Q3 03:43.00")</f>
        <v>SAS vs LAC - Q3 03:43.00</v>
      </c>
      <c r="M2606">
        <v>25</v>
      </c>
      <c r="N2606">
        <v>195</v>
      </c>
      <c r="O2606">
        <v>164</v>
      </c>
      <c r="P2606">
        <v>195</v>
      </c>
      <c r="Q2606">
        <v>164</v>
      </c>
      <c r="R2606" t="s">
        <v>21</v>
      </c>
      <c r="S2606" t="s">
        <v>21</v>
      </c>
    </row>
    <row r="2607" spans="1:19" hidden="1" x14ac:dyDescent="0.25">
      <c r="A2607">
        <v>21500439</v>
      </c>
      <c r="B2607" t="s">
        <v>26</v>
      </c>
      <c r="C2607" t="s">
        <v>19</v>
      </c>
      <c r="D2607">
        <v>14</v>
      </c>
      <c r="E2607">
        <v>13</v>
      </c>
      <c r="F2607">
        <v>1</v>
      </c>
      <c r="G2607">
        <v>1</v>
      </c>
      <c r="H2607" s="1">
        <v>2.5925925925925925E-3</v>
      </c>
      <c r="I2607">
        <v>2015</v>
      </c>
      <c r="J2607" t="s">
        <v>20</v>
      </c>
      <c r="K2607" s="2" t="str">
        <f>HYPERLINK("https://www.nba.com/stats/events?CFID=&amp;CFPARAMS=&amp;GameEventID=72&amp;GameID=0021500439&amp;Season=2015-16&amp;flag=1&amp;title=Leonard%2025'%203PT%20Jump%20Shot%20(5%20PTS)%20(Mills%201%20AST)", "Leonard 25' 3PT Jump Shot (5 PTS) (Mills 1 AST)")</f>
        <v>Leonard 25' 3PT Jump Shot (5 PTS) (Mills 1 AST)</v>
      </c>
      <c r="L2607" s="2" t="str">
        <f>HYPERLINK("https://www.nba.com/game/...-vs-...-0021500439/play-by-play?watchFullGame=true", "SAS vs HOU - Q1 03:44.00")</f>
        <v>SAS vs HOU - Q1 03:44.00</v>
      </c>
      <c r="M2607">
        <v>25</v>
      </c>
      <c r="N2607">
        <v>-241</v>
      </c>
      <c r="O2607">
        <v>70</v>
      </c>
      <c r="P2607">
        <v>-241</v>
      </c>
      <c r="Q2607">
        <v>70</v>
      </c>
      <c r="R2607" t="s">
        <v>21</v>
      </c>
      <c r="S2607" t="s">
        <v>21</v>
      </c>
    </row>
    <row r="2608" spans="1:19" hidden="1" x14ac:dyDescent="0.25">
      <c r="A2608">
        <v>21300477</v>
      </c>
      <c r="B2608" t="s">
        <v>26</v>
      </c>
      <c r="C2608" t="s">
        <v>19</v>
      </c>
      <c r="D2608">
        <v>18</v>
      </c>
      <c r="E2608">
        <v>19</v>
      </c>
      <c r="F2608">
        <v>1</v>
      </c>
      <c r="G2608">
        <v>1</v>
      </c>
      <c r="H2608" s="1">
        <v>2.5925925925925925E-3</v>
      </c>
      <c r="I2608">
        <v>2013</v>
      </c>
      <c r="J2608" t="s">
        <v>20</v>
      </c>
      <c r="K2608" s="2" t="str">
        <f>HYPERLINK("https://www.nba.com/stats/events?CFID=&amp;CFPARAMS=&amp;GameEventID=69&amp;GameID=0021300477&amp;Season=2013-14&amp;flag=1&amp;title=Leonard%2025'%203PT%20Jump%20Shot%20(3%20PTS)", "Leonard 25' 3PT Jump Shot (3 PTS)")</f>
        <v>Leonard 25' 3PT Jump Shot (3 PTS)</v>
      </c>
      <c r="L2608" s="2" t="str">
        <f>HYPERLINK("https://www.nba.com/game/...-vs-...-0021300477/play-by-play?watchFullGame=true", "SAS vs NYK - Q1 03:44.00")</f>
        <v>SAS vs NYK - Q1 03:44.00</v>
      </c>
      <c r="M2608">
        <v>25</v>
      </c>
      <c r="N2608">
        <v>141</v>
      </c>
      <c r="O2608">
        <v>211</v>
      </c>
      <c r="P2608">
        <v>141</v>
      </c>
      <c r="Q2608">
        <v>211</v>
      </c>
      <c r="R2608" t="s">
        <v>21</v>
      </c>
      <c r="S2608" t="s">
        <v>21</v>
      </c>
    </row>
    <row r="2609" spans="1:19" hidden="1" x14ac:dyDescent="0.25">
      <c r="A2609">
        <v>21500909</v>
      </c>
      <c r="B2609" t="s">
        <v>26</v>
      </c>
      <c r="C2609" t="s">
        <v>19</v>
      </c>
      <c r="D2609">
        <v>41</v>
      </c>
      <c r="E2609">
        <v>36</v>
      </c>
      <c r="F2609">
        <v>5</v>
      </c>
      <c r="G2609">
        <v>2</v>
      </c>
      <c r="H2609" s="1">
        <v>2.638888888888889E-3</v>
      </c>
      <c r="I2609">
        <v>2015</v>
      </c>
      <c r="J2609" t="s">
        <v>20</v>
      </c>
      <c r="K2609" s="2" t="str">
        <f>HYPERLINK("https://www.nba.com/stats/events?CFID=&amp;CFPARAMS=&amp;GameEventID=203&amp;GameID=0021500909&amp;Season=2015-16&amp;flag=1&amp;title=Leonard%2025'%203PT%20Jump%20Shot%20(15%20PTS)%20(Butler%201%20AST)", "Leonard 25' 3PT Jump Shot (15 PTS) (Butler 1 AST)")</f>
        <v>Leonard 25' 3PT Jump Shot (15 PTS) (Butler 1 AST)</v>
      </c>
      <c r="L2609" s="2" t="str">
        <f>HYPERLINK("https://www.nba.com/game/...-vs-...-0021500909/play-by-play?watchFullGame=true", "SAS vs NOP - Q2 03:48.00")</f>
        <v>SAS vs NOP - Q2 03:48.00</v>
      </c>
      <c r="M2609">
        <v>25</v>
      </c>
      <c r="N2609">
        <v>84</v>
      </c>
      <c r="O2609">
        <v>232</v>
      </c>
      <c r="P2609">
        <v>84</v>
      </c>
      <c r="Q2609">
        <v>232</v>
      </c>
      <c r="R2609" t="s">
        <v>21</v>
      </c>
      <c r="S2609" t="s">
        <v>21</v>
      </c>
    </row>
    <row r="2610" spans="1:19" hidden="1" x14ac:dyDescent="0.25">
      <c r="A2610">
        <v>41300404</v>
      </c>
      <c r="B2610" t="s">
        <v>26</v>
      </c>
      <c r="C2610" t="s">
        <v>19</v>
      </c>
      <c r="D2610">
        <v>73</v>
      </c>
      <c r="E2610">
        <v>49</v>
      </c>
      <c r="F2610">
        <v>24</v>
      </c>
      <c r="G2610">
        <v>3</v>
      </c>
      <c r="H2610" s="1">
        <v>2.650462962962963E-3</v>
      </c>
      <c r="I2610" t="s">
        <v>55</v>
      </c>
      <c r="J2610" t="s">
        <v>20</v>
      </c>
      <c r="K2610" s="2" t="str">
        <f>HYPERLINK("https://www.nba.com/stats/events?CFID=&amp;CFPARAMS=&amp;GameEventID=320&amp;GameID=0041300404&amp;Season=2013-14&amp;flag=1&amp;title=Leonard%2025'%203PT%20Jump%20Shot%20(13%20PTS)%20(Duncan%201%20AST)", "Leonard 25' 3PT Jump Shot (13 PTS) (Duncan 1 AST)")</f>
        <v>Leonard 25' 3PT Jump Shot (13 PTS) (Duncan 1 AST)</v>
      </c>
      <c r="L2610" s="2" t="str">
        <f>HYPERLINK("https://www.nba.com/game/...-vs-...-0041300404/play-by-play?watchFullGame=true", "SAS vs MIA - Q3 03:49.00")</f>
        <v>SAS vs MIA - Q3 03:49.00</v>
      </c>
      <c r="M2610">
        <v>25</v>
      </c>
      <c r="N2610">
        <v>-193</v>
      </c>
      <c r="O2610">
        <v>153</v>
      </c>
      <c r="P2610">
        <v>-193</v>
      </c>
      <c r="Q2610">
        <v>153</v>
      </c>
      <c r="R2610" t="s">
        <v>21</v>
      </c>
      <c r="S2610" t="s">
        <v>21</v>
      </c>
    </row>
    <row r="2611" spans="1:19" hidden="1" x14ac:dyDescent="0.25">
      <c r="A2611">
        <v>41300143</v>
      </c>
      <c r="B2611" t="s">
        <v>26</v>
      </c>
      <c r="C2611" t="s">
        <v>19</v>
      </c>
      <c r="D2611">
        <v>98</v>
      </c>
      <c r="E2611">
        <v>95</v>
      </c>
      <c r="F2611">
        <v>3</v>
      </c>
      <c r="G2611">
        <v>4</v>
      </c>
      <c r="H2611" s="1">
        <v>2.650462962962963E-3</v>
      </c>
      <c r="I2611" t="s">
        <v>55</v>
      </c>
      <c r="J2611" t="s">
        <v>20</v>
      </c>
      <c r="K2611" s="2" t="str">
        <f>HYPERLINK("https://www.nba.com/stats/events?CFID=&amp;CFPARAMS=&amp;GameEventID=461&amp;GameID=0041300143&amp;Season=2013-14&amp;flag=1&amp;title=Leonard%2025'%203PT%20Jump%20Shot%20(17%20PTS)%20(Diaw%203%20AST)", "Leonard 25' 3PT Jump Shot (17 PTS) (Diaw 3 AST)")</f>
        <v>Leonard 25' 3PT Jump Shot (17 PTS) (Diaw 3 AST)</v>
      </c>
      <c r="L2611" s="2" t="str">
        <f>HYPERLINK("https://www.nba.com/game/...-vs-...-0041300143/play-by-play?watchFullGame=true", "SAS vs DAL - Q4 03:49.00")</f>
        <v>SAS vs DAL - Q4 03:49.00</v>
      </c>
      <c r="M2611">
        <v>25</v>
      </c>
      <c r="N2611">
        <v>203</v>
      </c>
      <c r="O2611">
        <v>143</v>
      </c>
      <c r="P2611">
        <v>203</v>
      </c>
      <c r="Q2611">
        <v>143</v>
      </c>
      <c r="R2611" t="s">
        <v>21</v>
      </c>
      <c r="S2611" t="s">
        <v>21</v>
      </c>
    </row>
    <row r="2612" spans="1:19" hidden="1" x14ac:dyDescent="0.25">
      <c r="A2612">
        <v>21301127</v>
      </c>
      <c r="B2612" t="s">
        <v>26</v>
      </c>
      <c r="C2612" t="s">
        <v>19</v>
      </c>
      <c r="D2612">
        <v>63</v>
      </c>
      <c r="E2612">
        <v>69</v>
      </c>
      <c r="F2612">
        <v>6</v>
      </c>
      <c r="G2612">
        <v>3</v>
      </c>
      <c r="H2612" s="1">
        <v>2.7083333333333334E-3</v>
      </c>
      <c r="I2612">
        <v>2013</v>
      </c>
      <c r="J2612" t="s">
        <v>20</v>
      </c>
      <c r="K2612" s="2" t="str">
        <f>HYPERLINK("https://www.nba.com/stats/events?CFID=&amp;CFPARAMS=&amp;GameEventID=344&amp;GameID=0021301127&amp;Season=2013-14&amp;flag=1&amp;title=Leonard%2025'%203PT%20Jump%20Shot%20(9%20PTS)", "Leonard 25' 3PT Jump Shot (9 PTS)")</f>
        <v>Leonard 25' 3PT Jump Shot (9 PTS)</v>
      </c>
      <c r="L2612" s="2" t="str">
        <f>HYPERLINK("https://www.nba.com/game/...-vs-...-0021301127/play-by-play?watchFullGame=true", "SAS vs OKC - Q3 03:54.00")</f>
        <v>SAS vs OKC - Q3 03:54.00</v>
      </c>
      <c r="M2612">
        <v>25</v>
      </c>
      <c r="N2612">
        <v>-122</v>
      </c>
      <c r="O2612">
        <v>216</v>
      </c>
      <c r="P2612">
        <v>-122</v>
      </c>
      <c r="Q2612">
        <v>216</v>
      </c>
      <c r="R2612" t="s">
        <v>21</v>
      </c>
      <c r="S2612" t="s">
        <v>21</v>
      </c>
    </row>
    <row r="2613" spans="1:19" hidden="1" x14ac:dyDescent="0.25">
      <c r="A2613">
        <v>41600154</v>
      </c>
      <c r="B2613" t="s">
        <v>26</v>
      </c>
      <c r="C2613" t="s">
        <v>19</v>
      </c>
      <c r="D2613">
        <v>83</v>
      </c>
      <c r="E2613">
        <v>88</v>
      </c>
      <c r="F2613">
        <v>5</v>
      </c>
      <c r="G2613">
        <v>4</v>
      </c>
      <c r="H2613" s="1">
        <v>2.7083333333333334E-3</v>
      </c>
      <c r="I2613" t="s">
        <v>58</v>
      </c>
      <c r="J2613" t="s">
        <v>20</v>
      </c>
      <c r="K2613" s="2" t="str">
        <f>HYPERLINK("https://www.nba.com/stats/events?CFID=&amp;CFPARAMS=&amp;GameEventID=454&amp;GameID=0041600154&amp;Season=2016-17&amp;flag=1&amp;title=Leonard%2025'%203PT%20Jump%20Shot%20(22%20PTS)%20(Parker%205%20AST)", "Leonard 25' 3PT Jump Shot (22 PTS) (Parker 5 AST)")</f>
        <v>Leonard 25' 3PT Jump Shot (22 PTS) (Parker 5 AST)</v>
      </c>
      <c r="L2613" s="2" t="str">
        <f>HYPERLINK("https://www.nba.com/game/...-vs-...-0041600154/play-by-play?watchFullGame=true", "SAS vs MEM - Q4 03:54.00")</f>
        <v>SAS vs MEM - Q4 03:54.00</v>
      </c>
      <c r="M2613">
        <v>25</v>
      </c>
      <c r="N2613">
        <v>150</v>
      </c>
      <c r="O2613">
        <v>203</v>
      </c>
      <c r="P2613">
        <v>150</v>
      </c>
      <c r="Q2613">
        <v>203</v>
      </c>
      <c r="R2613" t="s">
        <v>21</v>
      </c>
      <c r="S2613" t="s">
        <v>21</v>
      </c>
    </row>
    <row r="2614" spans="1:19" hidden="1" x14ac:dyDescent="0.25">
      <c r="A2614">
        <v>21800442</v>
      </c>
      <c r="B2614" t="s">
        <v>26</v>
      </c>
      <c r="C2614" t="s">
        <v>36</v>
      </c>
      <c r="D2614">
        <v>70</v>
      </c>
      <c r="E2614">
        <v>57</v>
      </c>
      <c r="F2614">
        <v>13</v>
      </c>
      <c r="G2614">
        <v>3</v>
      </c>
      <c r="H2614" s="1">
        <v>2.7199074074074074E-3</v>
      </c>
      <c r="I2614">
        <v>2018</v>
      </c>
      <c r="J2614" t="s">
        <v>48</v>
      </c>
      <c r="K2614" s="2" t="str">
        <f>HYPERLINK("https://www.nba.com/stats/events?CFID=&amp;CFPARAMS=&amp;GameEventID=372&amp;GameID=0021800442&amp;Season=2018-19&amp;flag=1&amp;title=Leonard%2025'%203PT%20Pullup%20Jump%20Shot%20(23%20PTS)", "Leonard 25' 3PT Pullup Jump Shot (23 PTS)")</f>
        <v>Leonard 25' 3PT Pullup Jump Shot (23 PTS)</v>
      </c>
      <c r="L2614" s="2" t="str">
        <f>HYPERLINK("https://www.nba.com/game/...-vs-...-0021800442/play-by-play?watchFullGame=true", "TOR vs DEN - Q3 03:55.00")</f>
        <v>TOR vs DEN - Q3 03:55.00</v>
      </c>
      <c r="M2614">
        <v>25</v>
      </c>
      <c r="N2614">
        <v>82</v>
      </c>
      <c r="O2614">
        <v>232</v>
      </c>
      <c r="P2614">
        <v>82</v>
      </c>
      <c r="Q2614">
        <v>232</v>
      </c>
      <c r="R2614" t="s">
        <v>21</v>
      </c>
      <c r="S2614" t="s">
        <v>21</v>
      </c>
    </row>
    <row r="2615" spans="1:19" hidden="1" x14ac:dyDescent="0.25">
      <c r="A2615">
        <v>21800161</v>
      </c>
      <c r="B2615" t="s">
        <v>26</v>
      </c>
      <c r="C2615" t="s">
        <v>19</v>
      </c>
      <c r="D2615">
        <v>109</v>
      </c>
      <c r="E2615">
        <v>99</v>
      </c>
      <c r="F2615">
        <v>10</v>
      </c>
      <c r="G2615">
        <v>4</v>
      </c>
      <c r="H2615" s="1">
        <v>2.7199074074074074E-3</v>
      </c>
      <c r="I2615">
        <v>2018</v>
      </c>
      <c r="J2615" t="s">
        <v>48</v>
      </c>
      <c r="K2615" s="2" t="str">
        <f>HYPERLINK("https://www.nba.com/stats/events?CFID=&amp;CFPARAMS=&amp;GameEventID=621&amp;GameID=0021800161&amp;Season=2018-19&amp;flag=1&amp;title=Leonard%2025'%203PT%20Jump%20Shot%20(25%20PTS)", "Leonard 25' 3PT Jump Shot (25 PTS)")</f>
        <v>Leonard 25' 3PT Jump Shot (25 PTS)</v>
      </c>
      <c r="L2615" s="2" t="str">
        <f>HYPERLINK("https://www.nba.com/game/...-vs-...-0021800161/play-by-play?watchFullGame=true", "TOR vs SAC - Q4 03:55.00")</f>
        <v>TOR vs SAC - Q4 03:55.00</v>
      </c>
      <c r="M2615">
        <v>25</v>
      </c>
      <c r="N2615">
        <v>161</v>
      </c>
      <c r="O2615">
        <v>195</v>
      </c>
      <c r="P2615">
        <v>161</v>
      </c>
      <c r="Q2615">
        <v>195</v>
      </c>
      <c r="R2615" t="s">
        <v>21</v>
      </c>
      <c r="S2615" t="s">
        <v>21</v>
      </c>
    </row>
    <row r="2616" spans="1:19" hidden="1" x14ac:dyDescent="0.25">
      <c r="A2616">
        <v>21500872</v>
      </c>
      <c r="B2616" t="s">
        <v>26</v>
      </c>
      <c r="C2616" t="s">
        <v>19</v>
      </c>
      <c r="D2616">
        <v>41</v>
      </c>
      <c r="E2616">
        <v>27</v>
      </c>
      <c r="F2616">
        <v>14</v>
      </c>
      <c r="G2616">
        <v>2</v>
      </c>
      <c r="H2616" s="1">
        <v>2.8009259259259259E-3</v>
      </c>
      <c r="I2616">
        <v>2015</v>
      </c>
      <c r="J2616" t="s">
        <v>20</v>
      </c>
      <c r="K2616" s="2" t="str">
        <f>HYPERLINK("https://www.nba.com/stats/events?CFID=&amp;CFPARAMS=&amp;GameEventID=185&amp;GameID=0021500872&amp;Season=2015-16&amp;flag=1&amp;title=Leonard%2025'%203PT%20Jump%20Shot%20(12%20PTS)%20(Anderson%203%20AST)", "Leonard 25' 3PT Jump Shot (12 PTS) (Anderson 3 AST)")</f>
        <v>Leonard 25' 3PT Jump Shot (12 PTS) (Anderson 3 AST)</v>
      </c>
      <c r="L2616" s="2" t="str">
        <f>HYPERLINK("https://www.nba.com/game/...-vs-...-0021500872/play-by-play?watchFullGame=true", "SAS vs HOU - Q2 04:02.00")</f>
        <v>SAS vs HOU - Q2 04:02.00</v>
      </c>
      <c r="M2616">
        <v>25</v>
      </c>
      <c r="N2616">
        <v>51</v>
      </c>
      <c r="O2616">
        <v>247</v>
      </c>
      <c r="P2616">
        <v>51</v>
      </c>
      <c r="Q2616">
        <v>247</v>
      </c>
      <c r="R2616" t="s">
        <v>21</v>
      </c>
      <c r="S2616" t="s">
        <v>21</v>
      </c>
    </row>
    <row r="2617" spans="1:19" hidden="1" x14ac:dyDescent="0.25">
      <c r="A2617">
        <v>21801156</v>
      </c>
      <c r="B2617" t="s">
        <v>26</v>
      </c>
      <c r="C2617" t="s">
        <v>30</v>
      </c>
      <c r="D2617">
        <v>87</v>
      </c>
      <c r="E2617">
        <v>66</v>
      </c>
      <c r="F2617">
        <v>21</v>
      </c>
      <c r="G2617">
        <v>3</v>
      </c>
      <c r="H2617" s="1">
        <v>2.8240740740740739E-3</v>
      </c>
      <c r="I2617">
        <v>2018</v>
      </c>
      <c r="J2617" t="s">
        <v>48</v>
      </c>
      <c r="K2617" s="2" t="str">
        <f>HYPERLINK("https://www.nba.com/stats/events?CFID=&amp;CFPARAMS=&amp;GameEventID=424&amp;GameID=0021801156&amp;Season=2018-19&amp;flag=1&amp;title=Leonard%2025'%203PT%20Running%20Jump%20Shot%20(15%20PTS)%20(Siakam%203%20AST)", "Leonard 25' 3PT Running Jump Shot (15 PTS) (Siakam 3 AST)")</f>
        <v>Leonard 25' 3PT Running Jump Shot (15 PTS) (Siakam 3 AST)</v>
      </c>
      <c r="L2617" s="2" t="str">
        <f>HYPERLINK("https://www.nba.com/game/...-vs-...-0021801156/play-by-play?watchFullGame=true", "TOR vs ORL - Q3 04:04.00")</f>
        <v>TOR vs ORL - Q3 04:04.00</v>
      </c>
      <c r="M2617">
        <v>25</v>
      </c>
      <c r="N2617">
        <v>81</v>
      </c>
      <c r="O2617">
        <v>236</v>
      </c>
      <c r="P2617">
        <v>81</v>
      </c>
      <c r="Q2617">
        <v>236</v>
      </c>
      <c r="R2617" t="s">
        <v>21</v>
      </c>
      <c r="S2617" t="s">
        <v>21</v>
      </c>
    </row>
    <row r="2618" spans="1:19" hidden="1" x14ac:dyDescent="0.25">
      <c r="A2618">
        <v>21300914</v>
      </c>
      <c r="B2618" t="s">
        <v>26</v>
      </c>
      <c r="C2618" t="s">
        <v>19</v>
      </c>
      <c r="D2618">
        <v>78</v>
      </c>
      <c r="E2618">
        <v>65</v>
      </c>
      <c r="F2618">
        <v>13</v>
      </c>
      <c r="G2618">
        <v>3</v>
      </c>
      <c r="H2618" s="1">
        <v>2.8587962962962963E-3</v>
      </c>
      <c r="I2618">
        <v>2013</v>
      </c>
      <c r="J2618" t="s">
        <v>20</v>
      </c>
      <c r="K2618" s="2" t="str">
        <f>HYPERLINK("https://www.nba.com/stats/events?CFID=&amp;CFPARAMS=&amp;GameEventID=344&amp;GameID=0021300914&amp;Season=2013-14&amp;flag=1&amp;title=Leonard%2025'%203PT%20Jump%20Shot%20(9%20PTS)%20(Ginobili%203%20AST)", "Leonard 25' 3PT Jump Shot (9 PTS) (Ginobili 3 AST)")</f>
        <v>Leonard 25' 3PT Jump Shot (9 PTS) (Ginobili 3 AST)</v>
      </c>
      <c r="L2618" s="2" t="str">
        <f>HYPERLINK("https://www.nba.com/game/...-vs-...-0021300914/play-by-play?watchFullGame=true", "SAS vs MIA - Q3 04:07.00")</f>
        <v>SAS vs MIA - Q3 04:07.00</v>
      </c>
      <c r="M2618">
        <v>25</v>
      </c>
      <c r="N2618">
        <v>206</v>
      </c>
      <c r="O2618">
        <v>149</v>
      </c>
      <c r="P2618">
        <v>206</v>
      </c>
      <c r="Q2618">
        <v>149</v>
      </c>
      <c r="R2618" t="s">
        <v>21</v>
      </c>
      <c r="S2618" t="s">
        <v>21</v>
      </c>
    </row>
    <row r="2619" spans="1:19" hidden="1" x14ac:dyDescent="0.25">
      <c r="A2619">
        <v>21301186</v>
      </c>
      <c r="B2619" t="s">
        <v>26</v>
      </c>
      <c r="C2619" t="s">
        <v>19</v>
      </c>
      <c r="D2619">
        <v>100</v>
      </c>
      <c r="E2619">
        <v>98</v>
      </c>
      <c r="F2619">
        <v>2</v>
      </c>
      <c r="G2619">
        <v>4</v>
      </c>
      <c r="H2619" s="1">
        <v>2.8703703703703703E-3</v>
      </c>
      <c r="I2619">
        <v>2013</v>
      </c>
      <c r="J2619" t="s">
        <v>20</v>
      </c>
      <c r="K2619" s="2" t="str">
        <f>HYPERLINK("https://www.nba.com/stats/events?CFID=&amp;CFPARAMS=&amp;GameEventID=442&amp;GameID=0021301186&amp;Season=2013-14&amp;flag=1&amp;title=Leonard%2025'%203PT%20Jump%20Shot%20(18%20PTS)%20(Diaw%205%20AST)", "Leonard 25' 3PT Jump Shot (18 PTS) (Diaw 5 AST)")</f>
        <v>Leonard 25' 3PT Jump Shot (18 PTS) (Diaw 5 AST)</v>
      </c>
      <c r="L2619" s="2" t="str">
        <f>HYPERLINK("https://www.nba.com/game/...-vs-...-0021301186/play-by-play?watchFullGame=true", "SAS vs PHX - Q4 04:08.00")</f>
        <v>SAS vs PHX - Q4 04:08.00</v>
      </c>
      <c r="M2619">
        <v>25</v>
      </c>
      <c r="N2619">
        <v>69</v>
      </c>
      <c r="O2619">
        <v>239</v>
      </c>
      <c r="P2619">
        <v>69</v>
      </c>
      <c r="Q2619">
        <v>239</v>
      </c>
      <c r="R2619" t="s">
        <v>21</v>
      </c>
      <c r="S2619" t="s">
        <v>21</v>
      </c>
    </row>
    <row r="2620" spans="1:19" hidden="1" x14ac:dyDescent="0.25">
      <c r="A2620">
        <v>21800332</v>
      </c>
      <c r="B2620" t="s">
        <v>26</v>
      </c>
      <c r="C2620" t="s">
        <v>19</v>
      </c>
      <c r="D2620">
        <v>70</v>
      </c>
      <c r="E2620">
        <v>53</v>
      </c>
      <c r="F2620">
        <v>17</v>
      </c>
      <c r="G2620">
        <v>3</v>
      </c>
      <c r="H2620" s="1">
        <v>2.8703703703703703E-3</v>
      </c>
      <c r="I2620">
        <v>2018</v>
      </c>
      <c r="J2620" t="s">
        <v>48</v>
      </c>
      <c r="K2620" s="2" t="str">
        <f>HYPERLINK("https://www.nba.com/stats/events?CFID=&amp;CFPARAMS=&amp;GameEventID=403&amp;GameID=0021800332&amp;Season=2018-19&amp;flag=1&amp;title=Leonard%2025'%203PT%20Jump%20Shot%20(23%20PTS)%20(Siakam%204%20AST)", "Leonard 25' 3PT Jump Shot (23 PTS) (Siakam 4 AST)")</f>
        <v>Leonard 25' 3PT Jump Shot (23 PTS) (Siakam 4 AST)</v>
      </c>
      <c r="L2620" s="2" t="str">
        <f>HYPERLINK("https://www.nba.com/game/...-vs-...-0021800332/play-by-play?watchFullGame=true", "TOR vs CLE - Q3 04:08.00")</f>
        <v>TOR vs CLE - Q3 04:08.00</v>
      </c>
      <c r="M2620">
        <v>25</v>
      </c>
      <c r="N2620">
        <v>227</v>
      </c>
      <c r="O2620">
        <v>102</v>
      </c>
      <c r="P2620">
        <v>227</v>
      </c>
      <c r="Q2620">
        <v>102</v>
      </c>
      <c r="R2620" t="s">
        <v>21</v>
      </c>
      <c r="S2620" t="s">
        <v>21</v>
      </c>
    </row>
    <row r="2621" spans="1:19" hidden="1" x14ac:dyDescent="0.25">
      <c r="A2621">
        <v>41300221</v>
      </c>
      <c r="B2621" t="s">
        <v>26</v>
      </c>
      <c r="C2621" t="s">
        <v>19</v>
      </c>
      <c r="D2621">
        <v>78</v>
      </c>
      <c r="E2621">
        <v>53</v>
      </c>
      <c r="F2621">
        <v>25</v>
      </c>
      <c r="G2621">
        <v>3</v>
      </c>
      <c r="H2621" s="1">
        <v>2.8819444444444444E-3</v>
      </c>
      <c r="I2621" t="s">
        <v>55</v>
      </c>
      <c r="J2621" t="s">
        <v>20</v>
      </c>
      <c r="K2621" s="2" t="str">
        <f>HYPERLINK("https://www.nba.com/stats/events?CFID=&amp;CFPARAMS=&amp;GameEventID=346&amp;GameID=0041300221&amp;Season=2013-14&amp;flag=1&amp;title=Leonard%2025'%203PT%20Jump%20Shot%20(14%20PTS)%20(Ginobili%204%20AST)", "Leonard 25' 3PT Jump Shot (14 PTS) (Ginobili 4 AST)")</f>
        <v>Leonard 25' 3PT Jump Shot (14 PTS) (Ginobili 4 AST)</v>
      </c>
      <c r="L2621" s="2" t="str">
        <f>HYPERLINK("https://www.nba.com/game/...-vs-...-0041300221/play-by-play?watchFullGame=true", "SAS vs POR - Q3 04:09.00")</f>
        <v>SAS vs POR - Q3 04:09.00</v>
      </c>
      <c r="M2621">
        <v>25</v>
      </c>
      <c r="N2621">
        <v>-180</v>
      </c>
      <c r="O2621">
        <v>176</v>
      </c>
      <c r="P2621">
        <v>-180</v>
      </c>
      <c r="Q2621">
        <v>176</v>
      </c>
      <c r="R2621" t="s">
        <v>21</v>
      </c>
      <c r="S2621" t="s">
        <v>21</v>
      </c>
    </row>
    <row r="2622" spans="1:19" hidden="1" x14ac:dyDescent="0.25">
      <c r="A2622">
        <v>21500103</v>
      </c>
      <c r="B2622" t="s">
        <v>26</v>
      </c>
      <c r="C2622" t="s">
        <v>19</v>
      </c>
      <c r="D2622">
        <v>69</v>
      </c>
      <c r="E2622">
        <v>57</v>
      </c>
      <c r="F2622">
        <v>12</v>
      </c>
      <c r="G2622">
        <v>3</v>
      </c>
      <c r="H2622" s="1">
        <v>2.9050925925925928E-3</v>
      </c>
      <c r="I2622">
        <v>2015</v>
      </c>
      <c r="J2622" t="s">
        <v>20</v>
      </c>
      <c r="K2622" s="2" t="str">
        <f>HYPERLINK("https://www.nba.com/stats/events?CFID=&amp;CFPARAMS=&amp;GameEventID=324&amp;GameID=0021500103&amp;Season=2015-16&amp;flag=1&amp;title=Leonard%2025'%203PT%20Jump%20Shot%20(20%20PTS)%20(Duncan%202%20AST)", "Leonard 25' 3PT Jump Shot (20 PTS) (Duncan 2 AST)")</f>
        <v>Leonard 25' 3PT Jump Shot (20 PTS) (Duncan 2 AST)</v>
      </c>
      <c r="L2622" s="2" t="str">
        <f>HYPERLINK("https://www.nba.com/game/...-vs-...-0021500103/play-by-play?watchFullGame=true", "SAS vs SAC - Q3 04:11.00")</f>
        <v>SAS vs SAC - Q3 04:11.00</v>
      </c>
      <c r="M2622">
        <v>25</v>
      </c>
      <c r="N2622">
        <v>99</v>
      </c>
      <c r="O2622">
        <v>234</v>
      </c>
      <c r="P2622">
        <v>99</v>
      </c>
      <c r="Q2622">
        <v>234</v>
      </c>
      <c r="R2622" t="s">
        <v>21</v>
      </c>
      <c r="S2622" t="s">
        <v>21</v>
      </c>
    </row>
    <row r="2623" spans="1:19" hidden="1" x14ac:dyDescent="0.25">
      <c r="A2623">
        <v>21300514</v>
      </c>
      <c r="B2623" t="s">
        <v>26</v>
      </c>
      <c r="C2623" t="s">
        <v>19</v>
      </c>
      <c r="D2623">
        <v>65</v>
      </c>
      <c r="E2623">
        <v>57</v>
      </c>
      <c r="F2623">
        <v>8</v>
      </c>
      <c r="G2623">
        <v>3</v>
      </c>
      <c r="H2623" s="1">
        <v>2.9513888888888888E-3</v>
      </c>
      <c r="I2623">
        <v>2013</v>
      </c>
      <c r="J2623" t="s">
        <v>20</v>
      </c>
      <c r="K2623" s="2" t="str">
        <f>HYPERLINK("https://www.nba.com/stats/events?CFID=&amp;CFPARAMS=&amp;GameEventID=278&amp;GameID=0021300514&amp;Season=2013-14&amp;flag=1&amp;title=Leonard%2025'%203PT%20Jump%20Shot%20(13%20PTS)%20(Parker%205%20AST)", "Leonard 25' 3PT Jump Shot (13 PTS) (Parker 5 AST)")</f>
        <v>Leonard 25' 3PT Jump Shot (13 PTS) (Parker 5 AST)</v>
      </c>
      <c r="L2623" s="2" t="str">
        <f>HYPERLINK("https://www.nba.com/game/...-vs-...-0021300514/play-by-play?watchFullGame=true", "SAS vs MEM - Q3 04:15.00")</f>
        <v>SAS vs MEM - Q3 04:15.00</v>
      </c>
      <c r="M2623">
        <v>25</v>
      </c>
      <c r="N2623">
        <v>-210</v>
      </c>
      <c r="O2623">
        <v>131</v>
      </c>
      <c r="P2623">
        <v>-210</v>
      </c>
      <c r="Q2623">
        <v>131</v>
      </c>
      <c r="R2623" t="s">
        <v>21</v>
      </c>
      <c r="S2623" t="s">
        <v>21</v>
      </c>
    </row>
    <row r="2624" spans="1:19" hidden="1" x14ac:dyDescent="0.25">
      <c r="A2624">
        <v>21400131</v>
      </c>
      <c r="B2624" t="s">
        <v>26</v>
      </c>
      <c r="C2624" t="s">
        <v>19</v>
      </c>
      <c r="D2624">
        <v>17</v>
      </c>
      <c r="E2624">
        <v>13</v>
      </c>
      <c r="F2624">
        <v>4</v>
      </c>
      <c r="G2624">
        <v>1</v>
      </c>
      <c r="H2624" s="1">
        <v>2.9629629629629628E-3</v>
      </c>
      <c r="I2624">
        <v>2014</v>
      </c>
      <c r="J2624" t="s">
        <v>20</v>
      </c>
      <c r="K2624" s="2" t="str">
        <f>HYPERLINK("https://www.nba.com/stats/events?CFID=&amp;CFPARAMS=&amp;GameEventID=52&amp;GameID=0021400131&amp;Season=2014-15&amp;flag=1&amp;title=Leonard%2025'%203PT%20Jump%20Shot%20(8%20PTS)%20(Parker%204%20AST)", "Leonard 25' 3PT Jump Shot (8 PTS) (Parker 4 AST)")</f>
        <v>Leonard 25' 3PT Jump Shot (8 PTS) (Parker 4 AST)</v>
      </c>
      <c r="L2624" s="2" t="str">
        <f>HYPERLINK("https://www.nba.com/game/...-vs-...-0021400131/play-by-play?watchFullGame=true", "SAS vs LAL - Q1 04:16.00")</f>
        <v>SAS vs LAL - Q1 04:16.00</v>
      </c>
      <c r="M2624">
        <v>25</v>
      </c>
      <c r="N2624">
        <v>-119</v>
      </c>
      <c r="O2624">
        <v>219</v>
      </c>
      <c r="P2624">
        <v>-119</v>
      </c>
      <c r="Q2624">
        <v>219</v>
      </c>
      <c r="R2624" t="s">
        <v>21</v>
      </c>
      <c r="S2624" t="s">
        <v>21</v>
      </c>
    </row>
    <row r="2625" spans="1:19" hidden="1" x14ac:dyDescent="0.25">
      <c r="A2625">
        <v>21400249</v>
      </c>
      <c r="B2625" t="s">
        <v>26</v>
      </c>
      <c r="C2625" t="s">
        <v>19</v>
      </c>
      <c r="D2625">
        <v>15</v>
      </c>
      <c r="E2625">
        <v>13</v>
      </c>
      <c r="F2625">
        <v>2</v>
      </c>
      <c r="G2625">
        <v>1</v>
      </c>
      <c r="H2625" s="1">
        <v>2.9861111111111113E-3</v>
      </c>
      <c r="I2625">
        <v>2014</v>
      </c>
      <c r="J2625" t="s">
        <v>20</v>
      </c>
      <c r="K2625" s="2" t="str">
        <f>HYPERLINK("https://www.nba.com/stats/events?CFID=&amp;CFPARAMS=&amp;GameEventID=73&amp;GameID=0021400249&amp;Season=2014-15&amp;flag=1&amp;title=Leonard%2025'%203PT%20Jump%20Shot%20(7%20PTS)%20(Joseph%201%20AST)", "Leonard 25' 3PT Jump Shot (7 PTS) (Joseph 1 AST)")</f>
        <v>Leonard 25' 3PT Jump Shot (7 PTS) (Joseph 1 AST)</v>
      </c>
      <c r="L2625" s="2" t="str">
        <f>HYPERLINK("https://www.nba.com/game/...-vs-...-0021400249/play-by-play?watchFullGame=true", "SAS vs PHI - Q1 04:18.00")</f>
        <v>SAS vs PHI - Q1 04:18.00</v>
      </c>
      <c r="M2625">
        <v>25</v>
      </c>
      <c r="N2625">
        <v>-119</v>
      </c>
      <c r="O2625">
        <v>220</v>
      </c>
      <c r="P2625">
        <v>-119</v>
      </c>
      <c r="Q2625">
        <v>220</v>
      </c>
      <c r="R2625" t="s">
        <v>21</v>
      </c>
      <c r="S2625" t="s">
        <v>21</v>
      </c>
    </row>
    <row r="2626" spans="1:19" hidden="1" x14ac:dyDescent="0.25">
      <c r="A2626">
        <v>21301030</v>
      </c>
      <c r="B2626" t="s">
        <v>26</v>
      </c>
      <c r="C2626" t="s">
        <v>19</v>
      </c>
      <c r="D2626">
        <v>61</v>
      </c>
      <c r="E2626">
        <v>48</v>
      </c>
      <c r="F2626">
        <v>13</v>
      </c>
      <c r="G2626">
        <v>3</v>
      </c>
      <c r="H2626" s="1">
        <v>2.9976851851851853E-3</v>
      </c>
      <c r="I2626">
        <v>2013</v>
      </c>
      <c r="J2626" t="s">
        <v>20</v>
      </c>
      <c r="K2626" s="2" t="str">
        <f>HYPERLINK("https://www.nba.com/stats/events?CFID=&amp;CFPARAMS=&amp;GameEventID=349&amp;GameID=0021301030&amp;Season=2013-14&amp;flag=1&amp;title=Leonard%2025'%203PT%20Jump%20Shot%20(15%20PTS)%20(Diaw%201%20AST)", "Leonard 25' 3PT Jump Shot (15 PTS) (Diaw 1 AST)")</f>
        <v>Leonard 25' 3PT Jump Shot (15 PTS) (Diaw 1 AST)</v>
      </c>
      <c r="L2626" s="2" t="str">
        <f>HYPERLINK("https://www.nba.com/game/...-vs-...-0021301030/play-by-play?watchFullGame=true", "SAS vs SAC - Q3 04:19.00")</f>
        <v>SAS vs SAC - Q3 04:19.00</v>
      </c>
      <c r="M2626">
        <v>25</v>
      </c>
      <c r="N2626">
        <v>-174</v>
      </c>
      <c r="O2626">
        <v>179</v>
      </c>
      <c r="P2626">
        <v>-174</v>
      </c>
      <c r="Q2626">
        <v>179</v>
      </c>
      <c r="R2626" t="s">
        <v>21</v>
      </c>
      <c r="S2626" t="s">
        <v>21</v>
      </c>
    </row>
    <row r="2627" spans="1:19" hidden="1" x14ac:dyDescent="0.25">
      <c r="A2627">
        <v>21500960</v>
      </c>
      <c r="B2627" t="s">
        <v>26</v>
      </c>
      <c r="C2627" t="s">
        <v>19</v>
      </c>
      <c r="D2627">
        <v>73</v>
      </c>
      <c r="E2627">
        <v>65</v>
      </c>
      <c r="F2627">
        <v>8</v>
      </c>
      <c r="G2627">
        <v>3</v>
      </c>
      <c r="H2627" s="1">
        <v>3.0208333333333333E-3</v>
      </c>
      <c r="I2627">
        <v>2015</v>
      </c>
      <c r="J2627" t="s">
        <v>20</v>
      </c>
      <c r="K2627" s="2" t="str">
        <f>HYPERLINK("https://www.nba.com/stats/events?CFID=&amp;CFPARAMS=&amp;GameEventID=333&amp;GameID=0021500960&amp;Season=2015-16&amp;flag=1&amp;title=Leonard%2025'%203PT%20Jump%20Shot%20(19%20PTS)", "Leonard 25' 3PT Jump Shot (19 PTS)")</f>
        <v>Leonard 25' 3PT Jump Shot (19 PTS)</v>
      </c>
      <c r="L2627" s="2" t="str">
        <f>HYPERLINK("https://www.nba.com/game/...-vs-...-0021500960/play-by-play?watchFullGame=true", "SAS vs CHI - Q3 04:21.00")</f>
        <v>SAS vs CHI - Q3 04:21.00</v>
      </c>
      <c r="M2627">
        <v>25</v>
      </c>
      <c r="N2627">
        <v>0</v>
      </c>
      <c r="O2627">
        <v>254</v>
      </c>
      <c r="P2627">
        <v>0</v>
      </c>
      <c r="Q2627">
        <v>254</v>
      </c>
      <c r="R2627" t="s">
        <v>21</v>
      </c>
      <c r="S2627" t="s">
        <v>21</v>
      </c>
    </row>
    <row r="2628" spans="1:19" hidden="1" x14ac:dyDescent="0.25">
      <c r="A2628">
        <v>21500242</v>
      </c>
      <c r="B2628" t="s">
        <v>26</v>
      </c>
      <c r="C2628" t="s">
        <v>19</v>
      </c>
      <c r="D2628">
        <v>46</v>
      </c>
      <c r="E2628">
        <v>36</v>
      </c>
      <c r="F2628">
        <v>10</v>
      </c>
      <c r="G2628">
        <v>2</v>
      </c>
      <c r="H2628" s="1">
        <v>3.0787037037037037E-3</v>
      </c>
      <c r="I2628">
        <v>2015</v>
      </c>
      <c r="J2628" t="s">
        <v>20</v>
      </c>
      <c r="K2628" s="2" t="str">
        <f>HYPERLINK("https://www.nba.com/stats/events?CFID=&amp;CFPARAMS=&amp;GameEventID=205&amp;GameID=0021500242&amp;Season=2015-16&amp;flag=1&amp;title=Leonard%2025'%203PT%20Jump%20Shot%20(7%20PTS)%20(Parker%205%20AST)", "Leonard 25' 3PT Jump Shot (7 PTS) (Parker 5 AST)")</f>
        <v>Leonard 25' 3PT Jump Shot (7 PTS) (Parker 5 AST)</v>
      </c>
      <c r="L2628" s="2" t="str">
        <f>HYPERLINK("https://www.nba.com/game/...-vs-...-0021500242/play-by-play?watchFullGame=true", "SAS vs ATL - Q2 04:26.00")</f>
        <v>SAS vs ATL - Q2 04:26.00</v>
      </c>
      <c r="M2628">
        <v>25</v>
      </c>
      <c r="N2628">
        <v>155</v>
      </c>
      <c r="O2628">
        <v>200</v>
      </c>
      <c r="P2628">
        <v>155</v>
      </c>
      <c r="Q2628">
        <v>200</v>
      </c>
      <c r="R2628" t="s">
        <v>21</v>
      </c>
      <c r="S2628" t="s">
        <v>21</v>
      </c>
    </row>
    <row r="2629" spans="1:19" hidden="1" x14ac:dyDescent="0.25">
      <c r="A2629">
        <v>21600454</v>
      </c>
      <c r="B2629" t="s">
        <v>26</v>
      </c>
      <c r="C2629" t="s">
        <v>36</v>
      </c>
      <c r="D2629">
        <v>103</v>
      </c>
      <c r="E2629">
        <v>84</v>
      </c>
      <c r="F2629">
        <v>19</v>
      </c>
      <c r="G2629">
        <v>4</v>
      </c>
      <c r="H2629" s="1">
        <v>3.1018518518518517E-3</v>
      </c>
      <c r="I2629">
        <v>2016</v>
      </c>
      <c r="J2629" t="s">
        <v>20</v>
      </c>
      <c r="K2629" s="2" t="str">
        <f>HYPERLINK("https://www.nba.com/stats/events?CFID=&amp;CFPARAMS=&amp;GameEventID=469&amp;GameID=0021600454&amp;Season=2016-17&amp;flag=1&amp;title=Leonard%2025'%203PT%20Pullup%20Jump%20Shot%20(31%20PTS)", "Leonard 25' 3PT Pullup Jump Shot (31 PTS)")</f>
        <v>Leonard 25' 3PT Pullup Jump Shot (31 PTS)</v>
      </c>
      <c r="L2629" s="2" t="str">
        <f>HYPERLINK("https://www.nba.com/game/...-vs-...-0021600454/play-by-play?watchFullGame=true", "SAS vs POR - Q4 04:28.00")</f>
        <v>SAS vs POR - Q4 04:28.00</v>
      </c>
      <c r="M2629">
        <v>25</v>
      </c>
      <c r="N2629">
        <v>32</v>
      </c>
      <c r="O2629">
        <v>244</v>
      </c>
      <c r="P2629">
        <v>32</v>
      </c>
      <c r="Q2629">
        <v>244</v>
      </c>
      <c r="R2629" t="s">
        <v>21</v>
      </c>
      <c r="S2629" t="s">
        <v>21</v>
      </c>
    </row>
    <row r="2630" spans="1:19" hidden="1" x14ac:dyDescent="0.25">
      <c r="A2630">
        <v>21801044</v>
      </c>
      <c r="B2630" t="s">
        <v>26</v>
      </c>
      <c r="C2630" t="s">
        <v>19</v>
      </c>
      <c r="D2630">
        <v>68</v>
      </c>
      <c r="E2630">
        <v>63</v>
      </c>
      <c r="F2630">
        <v>5</v>
      </c>
      <c r="G2630">
        <v>3</v>
      </c>
      <c r="H2630" s="1">
        <v>3.1134259259259257E-3</v>
      </c>
      <c r="I2630">
        <v>2018</v>
      </c>
      <c r="J2630" t="s">
        <v>48</v>
      </c>
      <c r="K2630" s="2" t="str">
        <f>HYPERLINK("https://www.nba.com/stats/events?CFID=&amp;CFPARAMS=&amp;GameEventID=368&amp;GameID=0021801044&amp;Season=2018-19&amp;flag=1&amp;title=Leonard%2025'%203PT%20Jump%20Shot%20(27%20PTS)%20(Green%203%20AST)", "Leonard 25' 3PT Jump Shot (27 PTS) (Green 3 AST)")</f>
        <v>Leonard 25' 3PT Jump Shot (27 PTS) (Green 3 AST)</v>
      </c>
      <c r="L2630" s="2" t="str">
        <f>HYPERLINK("https://www.nba.com/game/...-vs-...-0021801044/play-by-play?watchFullGame=true", "TOR vs DET - Q3 04:29.00")</f>
        <v>TOR vs DET - Q3 04:29.00</v>
      </c>
      <c r="M2630">
        <v>25</v>
      </c>
      <c r="N2630">
        <v>-130</v>
      </c>
      <c r="O2630">
        <v>218</v>
      </c>
      <c r="P2630">
        <v>-130</v>
      </c>
      <c r="Q2630">
        <v>218</v>
      </c>
      <c r="R2630" t="s">
        <v>21</v>
      </c>
      <c r="S2630" t="s">
        <v>21</v>
      </c>
    </row>
    <row r="2631" spans="1:19" hidden="1" x14ac:dyDescent="0.25">
      <c r="A2631">
        <v>21600182</v>
      </c>
      <c r="B2631" t="s">
        <v>26</v>
      </c>
      <c r="C2631" t="s">
        <v>19</v>
      </c>
      <c r="D2631">
        <v>109</v>
      </c>
      <c r="E2631">
        <v>98</v>
      </c>
      <c r="F2631">
        <v>11</v>
      </c>
      <c r="G2631">
        <v>4</v>
      </c>
      <c r="H2631" s="1">
        <v>3.1250000000000002E-3</v>
      </c>
      <c r="I2631">
        <v>2016</v>
      </c>
      <c r="J2631" t="s">
        <v>20</v>
      </c>
      <c r="K2631" s="2" t="str">
        <f>HYPERLINK("https://www.nba.com/stats/events?CFID=&amp;CFPARAMS=&amp;GameEventID=462&amp;GameID=0021600182&amp;Season=2016-17&amp;flag=1&amp;title=Leonard%2025'%203PT%20Jump%20Shot%20(20%20PTS)%20(Mills%203%20AST)", "Leonard 25' 3PT Jump Shot (20 PTS) (Mills 3 AST)")</f>
        <v>Leonard 25' 3PT Jump Shot (20 PTS) (Mills 3 AST)</v>
      </c>
      <c r="L2631" s="2" t="str">
        <f>HYPERLINK("https://www.nba.com/game/...-vs-...-0021600182/play-by-play?watchFullGame=true", "SAS vs LAL - Q4 04:30.00")</f>
        <v>SAS vs LAL - Q4 04:30.00</v>
      </c>
      <c r="M2631">
        <v>25</v>
      </c>
      <c r="N2631">
        <v>70</v>
      </c>
      <c r="O2631">
        <v>236</v>
      </c>
      <c r="P2631">
        <v>70</v>
      </c>
      <c r="Q2631">
        <v>236</v>
      </c>
      <c r="R2631" t="s">
        <v>21</v>
      </c>
      <c r="S2631" t="s">
        <v>21</v>
      </c>
    </row>
    <row r="2632" spans="1:19" hidden="1" x14ac:dyDescent="0.25">
      <c r="A2632">
        <v>21600319</v>
      </c>
      <c r="B2632" t="s">
        <v>26</v>
      </c>
      <c r="C2632" t="s">
        <v>19</v>
      </c>
      <c r="D2632">
        <v>91</v>
      </c>
      <c r="E2632">
        <v>78</v>
      </c>
      <c r="F2632">
        <v>13</v>
      </c>
      <c r="G2632">
        <v>4</v>
      </c>
      <c r="H2632" s="1">
        <v>3.1597222222222222E-3</v>
      </c>
      <c r="I2632">
        <v>2016</v>
      </c>
      <c r="J2632" t="s">
        <v>20</v>
      </c>
      <c r="K2632" s="2" t="str">
        <f>HYPERLINK("https://www.nba.com/stats/events?CFID=&amp;CFPARAMS=&amp;GameEventID=423&amp;GameID=0021600319&amp;Season=2016-17&amp;flag=1&amp;title=Leonard%2025'%203PT%20Jump%20Shot%20(28%20PTS)", "Leonard 25' 3PT Jump Shot (28 PTS)")</f>
        <v>Leonard 25' 3PT Jump Shot (28 PTS)</v>
      </c>
      <c r="L2632" s="2" t="str">
        <f>HYPERLINK("https://www.nba.com/game/...-vs-...-0021600319/play-by-play?watchFullGame=true", "SAS vs MIN - Q4 04:33.00")</f>
        <v>SAS vs MIN - Q4 04:33.00</v>
      </c>
      <c r="M2632">
        <v>25</v>
      </c>
      <c r="N2632">
        <v>55</v>
      </c>
      <c r="O2632">
        <v>239</v>
      </c>
      <c r="P2632">
        <v>55</v>
      </c>
      <c r="Q2632">
        <v>239</v>
      </c>
      <c r="R2632" t="s">
        <v>21</v>
      </c>
      <c r="S2632" t="s">
        <v>21</v>
      </c>
    </row>
    <row r="2633" spans="1:19" hidden="1" x14ac:dyDescent="0.25">
      <c r="A2633">
        <v>21500416</v>
      </c>
      <c r="B2633" t="s">
        <v>26</v>
      </c>
      <c r="C2633" t="s">
        <v>19</v>
      </c>
      <c r="D2633">
        <v>66</v>
      </c>
      <c r="E2633">
        <v>62</v>
      </c>
      <c r="F2633">
        <v>4</v>
      </c>
      <c r="G2633">
        <v>3</v>
      </c>
      <c r="H2633" s="1">
        <v>3.1828703703703702E-3</v>
      </c>
      <c r="I2633">
        <v>2015</v>
      </c>
      <c r="J2633" t="s">
        <v>20</v>
      </c>
      <c r="K2633" s="2" t="str">
        <f>HYPERLINK("https://www.nba.com/stats/events?CFID=&amp;CFPARAMS=&amp;GameEventID=309&amp;GameID=0021500416&amp;Season=2015-16&amp;flag=1&amp;title=Leonard%2025'%203PT%20Jump%20Shot%20(21%20PTS)%20(Ginobili%204%20AST)", "Leonard 25' 3PT Jump Shot (21 PTS) (Ginobili 4 AST)")</f>
        <v>Leonard 25' 3PT Jump Shot (21 PTS) (Ginobili 4 AST)</v>
      </c>
      <c r="L2633" s="2" t="str">
        <f>HYPERLINK("https://www.nba.com/game/...-vs-...-0021500416/play-by-play?watchFullGame=true", "SAS vs IND - Q3 04:35.00")</f>
        <v>SAS vs IND - Q3 04:35.00</v>
      </c>
      <c r="M2633">
        <v>25</v>
      </c>
      <c r="N2633">
        <v>227</v>
      </c>
      <c r="O2633">
        <v>110</v>
      </c>
      <c r="P2633">
        <v>227</v>
      </c>
      <c r="Q2633">
        <v>110</v>
      </c>
      <c r="R2633" t="s">
        <v>21</v>
      </c>
      <c r="S2633" t="s">
        <v>21</v>
      </c>
    </row>
    <row r="2634" spans="1:19" hidden="1" x14ac:dyDescent="0.25">
      <c r="A2634">
        <v>21600213</v>
      </c>
      <c r="B2634" t="s">
        <v>26</v>
      </c>
      <c r="C2634" t="s">
        <v>19</v>
      </c>
      <c r="D2634">
        <v>16</v>
      </c>
      <c r="E2634">
        <v>16</v>
      </c>
      <c r="F2634">
        <v>0</v>
      </c>
      <c r="G2634">
        <v>1</v>
      </c>
      <c r="H2634" s="1">
        <v>3.1944444444444446E-3</v>
      </c>
      <c r="I2634">
        <v>2016</v>
      </c>
      <c r="J2634" t="s">
        <v>20</v>
      </c>
      <c r="K2634" s="2" t="str">
        <f>HYPERLINK("https://www.nba.com/stats/events?CFID=&amp;CFPARAMS=&amp;GameEventID=61&amp;GameID=0021600213&amp;Season=2016-17&amp;flag=1&amp;title=Leonard%2025'%203PT%20Jump%20Shot%20(5%20PTS)%20(Ginobili%201%20AST)", "Leonard 25' 3PT Jump Shot (5 PTS) (Ginobili 1 AST)")</f>
        <v>Leonard 25' 3PT Jump Shot (5 PTS) (Ginobili 1 AST)</v>
      </c>
      <c r="L2634" s="2" t="str">
        <f>HYPERLINK("https://www.nba.com/game/...-vs-...-0021600213/play-by-play?watchFullGame=true", "SAS vs CHA - Q1 04:36.00")</f>
        <v>SAS vs CHA - Q1 04:36.00</v>
      </c>
      <c r="M2634">
        <v>25</v>
      </c>
      <c r="N2634">
        <v>112</v>
      </c>
      <c r="O2634">
        <v>219</v>
      </c>
      <c r="P2634">
        <v>112</v>
      </c>
      <c r="Q2634">
        <v>219</v>
      </c>
      <c r="R2634" t="s">
        <v>21</v>
      </c>
      <c r="S2634" t="s">
        <v>21</v>
      </c>
    </row>
    <row r="2635" spans="1:19" hidden="1" x14ac:dyDescent="0.25">
      <c r="A2635">
        <v>21500860</v>
      </c>
      <c r="B2635" t="s">
        <v>26</v>
      </c>
      <c r="C2635" t="s">
        <v>19</v>
      </c>
      <c r="D2635">
        <v>29</v>
      </c>
      <c r="E2635">
        <v>31</v>
      </c>
      <c r="F2635">
        <v>2</v>
      </c>
      <c r="G2635">
        <v>2</v>
      </c>
      <c r="H2635" s="1">
        <v>3.2060185185185186E-3</v>
      </c>
      <c r="I2635">
        <v>2015</v>
      </c>
      <c r="J2635" t="s">
        <v>20</v>
      </c>
      <c r="K2635" s="2" t="str">
        <f>HYPERLINK("https://www.nba.com/stats/events?CFID=&amp;CFPARAMS=&amp;GameEventID=176&amp;GameID=0021500860&amp;Season=2015-16&amp;flag=1&amp;title=Leonard%2025'%203PT%20Jump%20Shot%20(11%20PTS)%20(Green%201%20AST)", "Leonard 25' 3PT Jump Shot (11 PTS) (Green 1 AST)")</f>
        <v>Leonard 25' 3PT Jump Shot (11 PTS) (Green 1 AST)</v>
      </c>
      <c r="L2635" s="2" t="str">
        <f>HYPERLINK("https://www.nba.com/game/...-vs-...-0021500860/play-by-play?watchFullGame=true", "SAS vs UTA - Q2 04:37.00")</f>
        <v>SAS vs UTA - Q2 04:37.00</v>
      </c>
      <c r="M2635">
        <v>25</v>
      </c>
      <c r="N2635">
        <v>130</v>
      </c>
      <c r="O2635">
        <v>213</v>
      </c>
      <c r="P2635">
        <v>130</v>
      </c>
      <c r="Q2635">
        <v>213</v>
      </c>
      <c r="R2635" t="s">
        <v>21</v>
      </c>
      <c r="S2635" t="s">
        <v>21</v>
      </c>
    </row>
    <row r="2636" spans="1:19" hidden="1" x14ac:dyDescent="0.25">
      <c r="A2636">
        <v>21601151</v>
      </c>
      <c r="B2636" t="s">
        <v>26</v>
      </c>
      <c r="C2636" t="s">
        <v>36</v>
      </c>
      <c r="D2636">
        <v>77</v>
      </c>
      <c r="E2636">
        <v>66</v>
      </c>
      <c r="F2636">
        <v>11</v>
      </c>
      <c r="G2636">
        <v>3</v>
      </c>
      <c r="H2636" s="1">
        <v>3.2291666666666666E-3</v>
      </c>
      <c r="I2636">
        <v>2016</v>
      </c>
      <c r="J2636" t="s">
        <v>20</v>
      </c>
      <c r="K2636" s="2" t="str">
        <f>HYPERLINK("https://www.nba.com/stats/events?CFID=&amp;CFPARAMS=&amp;GameEventID=294&amp;GameID=0021601151&amp;Season=2016-17&amp;flag=1&amp;title=Leonard%2025'%203PT%20Pullup%20Jump%20Shot%20(19%20PTS)", "Leonard 25' 3PT Pullup Jump Shot (19 PTS)")</f>
        <v>Leonard 25' 3PT Pullup Jump Shot (19 PTS)</v>
      </c>
      <c r="L2636" s="2" t="str">
        <f>HYPERLINK("https://www.nba.com/game/...-vs-...-0021601151/play-by-play?watchFullGame=true", "SAS vs UTA - Q3 04:39.00")</f>
        <v>SAS vs UTA - Q3 04:39.00</v>
      </c>
      <c r="M2636">
        <v>25</v>
      </c>
      <c r="N2636">
        <v>79</v>
      </c>
      <c r="O2636">
        <v>237</v>
      </c>
      <c r="P2636">
        <v>79</v>
      </c>
      <c r="Q2636">
        <v>237</v>
      </c>
      <c r="R2636" t="s">
        <v>21</v>
      </c>
      <c r="S2636" t="s">
        <v>21</v>
      </c>
    </row>
    <row r="2637" spans="1:19" hidden="1" x14ac:dyDescent="0.25">
      <c r="A2637">
        <v>21601011</v>
      </c>
      <c r="B2637" t="s">
        <v>26</v>
      </c>
      <c r="C2637" t="s">
        <v>19</v>
      </c>
      <c r="D2637">
        <v>43</v>
      </c>
      <c r="E2637">
        <v>40</v>
      </c>
      <c r="F2637">
        <v>3</v>
      </c>
      <c r="G2637">
        <v>2</v>
      </c>
      <c r="H2637" s="1">
        <v>3.2291666666666666E-3</v>
      </c>
      <c r="I2637">
        <v>2016</v>
      </c>
      <c r="J2637" t="s">
        <v>20</v>
      </c>
      <c r="K2637" s="2" t="str">
        <f>HYPERLINK("https://www.nba.com/stats/events?CFID=&amp;CFPARAMS=&amp;GameEventID=176&amp;GameID=0021601011&amp;Season=2016-17&amp;flag=1&amp;title=Leonard%2025'%203PT%20Jump%20Shot%20(8%20PTS)%20(Mills%204%20AST)", "Leonard 25' 3PT Jump Shot (8 PTS) (Mills 4 AST)")</f>
        <v>Leonard 25' 3PT Jump Shot (8 PTS) (Mills 4 AST)</v>
      </c>
      <c r="L2637" s="2" t="str">
        <f>HYPERLINK("https://www.nba.com/game/...-vs-...-0021601011/play-by-play?watchFullGame=true", "SAS vs POR - Q2 04:39.00")</f>
        <v>SAS vs POR - Q2 04:39.00</v>
      </c>
      <c r="M2637">
        <v>25</v>
      </c>
      <c r="N2637">
        <v>105</v>
      </c>
      <c r="O2637">
        <v>232</v>
      </c>
      <c r="P2637">
        <v>105</v>
      </c>
      <c r="Q2637">
        <v>232</v>
      </c>
      <c r="R2637" t="s">
        <v>21</v>
      </c>
      <c r="S2637" t="s">
        <v>21</v>
      </c>
    </row>
    <row r="2638" spans="1:19" hidden="1" x14ac:dyDescent="0.25">
      <c r="A2638">
        <v>21700470</v>
      </c>
      <c r="B2638" t="s">
        <v>26</v>
      </c>
      <c r="C2638" t="s">
        <v>19</v>
      </c>
      <c r="D2638">
        <v>32</v>
      </c>
      <c r="E2638">
        <v>42</v>
      </c>
      <c r="F2638">
        <v>10</v>
      </c>
      <c r="G2638">
        <v>2</v>
      </c>
      <c r="H2638" s="1">
        <v>3.2754629629629631E-3</v>
      </c>
      <c r="I2638">
        <v>2017</v>
      </c>
      <c r="J2638" t="s">
        <v>20</v>
      </c>
      <c r="K2638" s="2" t="str">
        <f>HYPERLINK("https://www.nba.com/stats/events?CFID=&amp;CFPARAMS=&amp;GameEventID=228&amp;GameID=0021700470&amp;Season=2017-18&amp;flag=1&amp;title=Leonard%2025'%203PT%20Jump%20Shot%20(5%20PTS)%20(Parker%206%20AST)", "Leonard 25' 3PT Jump Shot (5 PTS) (Parker 6 AST)")</f>
        <v>Leonard 25' 3PT Jump Shot (5 PTS) (Parker 6 AST)</v>
      </c>
      <c r="L2638" s="2" t="str">
        <f>HYPERLINK("https://www.nba.com/game/...-vs-...-0021700470/play-by-play?watchFullGame=true", "SAS vs UTA - Q2 04:43.00")</f>
        <v>SAS vs UTA - Q2 04:43.00</v>
      </c>
      <c r="M2638">
        <v>25</v>
      </c>
      <c r="N2638">
        <v>15</v>
      </c>
      <c r="O2638">
        <v>248</v>
      </c>
      <c r="P2638">
        <v>15</v>
      </c>
      <c r="Q2638">
        <v>248</v>
      </c>
      <c r="R2638" t="s">
        <v>21</v>
      </c>
      <c r="S2638" t="s">
        <v>21</v>
      </c>
    </row>
    <row r="2639" spans="1:19" hidden="1" x14ac:dyDescent="0.25">
      <c r="A2639">
        <v>21500323</v>
      </c>
      <c r="B2639" t="s">
        <v>26</v>
      </c>
      <c r="C2639" t="s">
        <v>19</v>
      </c>
      <c r="D2639">
        <v>83</v>
      </c>
      <c r="E2639">
        <v>89</v>
      </c>
      <c r="F2639">
        <v>6</v>
      </c>
      <c r="G2639">
        <v>4</v>
      </c>
      <c r="H2639" s="1">
        <v>3.2870370370370371E-3</v>
      </c>
      <c r="I2639">
        <v>2015</v>
      </c>
      <c r="J2639" t="s">
        <v>20</v>
      </c>
      <c r="K2639" s="2" t="str">
        <f>HYPERLINK("https://www.nba.com/stats/events?CFID=&amp;CFPARAMS=&amp;GameEventID=456&amp;GameID=0021500323&amp;Season=2015-16&amp;flag=1&amp;title=Leonard%2025'%203PT%20Jump%20Shot%20(7%20PTS)%20(Ginobili%202%20AST)", "Leonard 25' 3PT Jump Shot (7 PTS) (Ginobili 2 AST)")</f>
        <v>Leonard 25' 3PT Jump Shot (7 PTS) (Ginobili 2 AST)</v>
      </c>
      <c r="L2639" s="2" t="str">
        <f>HYPERLINK("https://www.nba.com/game/...-vs-...-0021500323/play-by-play?watchFullGame=true", "SAS vs TOR - Q4 04:44.00")</f>
        <v>SAS vs TOR - Q4 04:44.00</v>
      </c>
      <c r="M2639">
        <v>25</v>
      </c>
      <c r="N2639">
        <v>140</v>
      </c>
      <c r="O2639">
        <v>213</v>
      </c>
      <c r="P2639">
        <v>140</v>
      </c>
      <c r="Q2639">
        <v>213</v>
      </c>
      <c r="R2639" t="s">
        <v>21</v>
      </c>
      <c r="S2639" t="s">
        <v>21</v>
      </c>
    </row>
    <row r="2640" spans="1:19" hidden="1" x14ac:dyDescent="0.25">
      <c r="A2640">
        <v>41300405</v>
      </c>
      <c r="B2640" t="s">
        <v>26</v>
      </c>
      <c r="C2640" t="s">
        <v>19</v>
      </c>
      <c r="D2640">
        <v>37</v>
      </c>
      <c r="E2640">
        <v>35</v>
      </c>
      <c r="F2640">
        <v>2</v>
      </c>
      <c r="G2640">
        <v>2</v>
      </c>
      <c r="H2640" s="1">
        <v>3.3217592592592591E-3</v>
      </c>
      <c r="I2640" t="s">
        <v>55</v>
      </c>
      <c r="J2640" t="s">
        <v>20</v>
      </c>
      <c r="K2640" s="2" t="str">
        <f>HYPERLINK("https://www.nba.com/stats/events?CFID=&amp;CFPARAMS=&amp;GameEventID=201&amp;GameID=0041300405&amp;Season=2013-14&amp;flag=1&amp;title=Leonard%2025'%203PT%20Jump%20Shot%20(15%20PTS)", "Leonard 25' 3PT Jump Shot (15 PTS)")</f>
        <v>Leonard 25' 3PT Jump Shot (15 PTS)</v>
      </c>
      <c r="L2640" s="2" t="str">
        <f>HYPERLINK("https://www.nba.com/game/...-vs-...-0041300405/play-by-play?watchFullGame=true", "SAS vs MIA - Q2 04:47.00")</f>
        <v>SAS vs MIA - Q2 04:47.00</v>
      </c>
      <c r="M2640">
        <v>25</v>
      </c>
      <c r="N2640">
        <v>1</v>
      </c>
      <c r="O2640">
        <v>254</v>
      </c>
      <c r="P2640">
        <v>1</v>
      </c>
      <c r="Q2640">
        <v>254</v>
      </c>
      <c r="R2640" t="s">
        <v>21</v>
      </c>
      <c r="S2640" t="s">
        <v>21</v>
      </c>
    </row>
    <row r="2641" spans="1:19" hidden="1" x14ac:dyDescent="0.25">
      <c r="A2641">
        <v>21800961</v>
      </c>
      <c r="B2641" t="s">
        <v>26</v>
      </c>
      <c r="C2641" t="s">
        <v>36</v>
      </c>
      <c r="D2641">
        <v>85</v>
      </c>
      <c r="E2641">
        <v>96</v>
      </c>
      <c r="F2641">
        <v>11</v>
      </c>
      <c r="G2641">
        <v>4</v>
      </c>
      <c r="H2641" s="1">
        <v>3.3449074074074076E-3</v>
      </c>
      <c r="I2641">
        <v>2018</v>
      </c>
      <c r="J2641" t="s">
        <v>48</v>
      </c>
      <c r="K2641" s="2" t="str">
        <f>HYPERLINK("https://www.nba.com/stats/events?CFID=&amp;CFPARAMS=&amp;GameEventID=559&amp;GameID=0021800961&amp;Season=2018-19&amp;flag=1&amp;title=Leonard%2025'%203PT%20Pullup%20Jump%20Shot%20(21%20PTS)", "Leonard 25' 3PT Pullup Jump Shot (21 PTS)")</f>
        <v>Leonard 25' 3PT Pullup Jump Shot (21 PTS)</v>
      </c>
      <c r="L2641" s="2" t="str">
        <f>HYPERLINK("https://www.nba.com/game/...-vs-...-0021800961/play-by-play?watchFullGame=true", "TOR vs HOU - Q4 04:49.00")</f>
        <v>TOR vs HOU - Q4 04:49.00</v>
      </c>
      <c r="M2641">
        <v>25</v>
      </c>
      <c r="N2641">
        <v>40</v>
      </c>
      <c r="O2641">
        <v>243</v>
      </c>
      <c r="P2641">
        <v>40</v>
      </c>
      <c r="Q2641">
        <v>243</v>
      </c>
      <c r="R2641" t="s">
        <v>21</v>
      </c>
      <c r="S2641" t="s">
        <v>21</v>
      </c>
    </row>
    <row r="2642" spans="1:19" hidden="1" x14ac:dyDescent="0.25">
      <c r="A2642">
        <v>41600232</v>
      </c>
      <c r="B2642" t="s">
        <v>26</v>
      </c>
      <c r="C2642" t="s">
        <v>36</v>
      </c>
      <c r="D2642">
        <v>111</v>
      </c>
      <c r="E2642">
        <v>88</v>
      </c>
      <c r="F2642">
        <v>23</v>
      </c>
      <c r="G2642">
        <v>4</v>
      </c>
      <c r="H2642" s="1">
        <v>3.414351851851852E-3</v>
      </c>
      <c r="I2642" t="s">
        <v>58</v>
      </c>
      <c r="J2642" t="s">
        <v>20</v>
      </c>
      <c r="K2642" s="2" t="str">
        <f>HYPERLINK("https://www.nba.com/stats/events?CFID=&amp;CFPARAMS=&amp;GameEventID=416&amp;GameID=0041600232&amp;Season=2016-17&amp;flag=1&amp;title=Leonard%2025'%203PT%20Pullup%20Jump%20Shot%20(34%20PTS)", "Leonard 25' 3PT Pullup Jump Shot (34 PTS)")</f>
        <v>Leonard 25' 3PT Pullup Jump Shot (34 PTS)</v>
      </c>
      <c r="L2642" s="2" t="str">
        <f>HYPERLINK("https://www.nba.com/game/...-vs-...-0041600232/play-by-play?watchFullGame=true", "SAS vs HOU - Q4 04:55.00")</f>
        <v>SAS vs HOU - Q4 04:55.00</v>
      </c>
      <c r="M2642">
        <v>25</v>
      </c>
      <c r="N2642">
        <v>-217</v>
      </c>
      <c r="O2642">
        <v>120</v>
      </c>
      <c r="P2642">
        <v>-217</v>
      </c>
      <c r="Q2642">
        <v>120</v>
      </c>
      <c r="R2642" t="s">
        <v>21</v>
      </c>
      <c r="S2642" t="s">
        <v>21</v>
      </c>
    </row>
    <row r="2643" spans="1:19" hidden="1" x14ac:dyDescent="0.25">
      <c r="A2643">
        <v>21500195</v>
      </c>
      <c r="B2643" t="s">
        <v>26</v>
      </c>
      <c r="C2643" t="s">
        <v>19</v>
      </c>
      <c r="D2643">
        <v>13</v>
      </c>
      <c r="E2643">
        <v>8</v>
      </c>
      <c r="F2643">
        <v>5</v>
      </c>
      <c r="G2643">
        <v>1</v>
      </c>
      <c r="H2643" s="1">
        <v>3.414351851851852E-3</v>
      </c>
      <c r="I2643">
        <v>2015</v>
      </c>
      <c r="J2643" t="s">
        <v>20</v>
      </c>
      <c r="K2643" s="2" t="str">
        <f>HYPERLINK("https://www.nba.com/stats/events?CFID=&amp;CFPARAMS=&amp;GameEventID=62&amp;GameID=0021500195&amp;Season=2015-16&amp;flag=1&amp;title=Leonard%2025'%203PT%20Jump%20Shot%20(3%20PTS)%20(Duncan%201%20AST)", "Leonard 25' 3PT Jump Shot (3 PTS) (Duncan 1 AST)")</f>
        <v>Leonard 25' 3PT Jump Shot (3 PTS) (Duncan 1 AST)</v>
      </c>
      <c r="L2643" s="2" t="str">
        <f>HYPERLINK("https://www.nba.com/game/...-vs-...-0021500195/play-by-play?watchFullGame=true", "SAS vs MEM - Q1 04:55.00")</f>
        <v>SAS vs MEM - Q1 04:55.00</v>
      </c>
      <c r="M2643">
        <v>25</v>
      </c>
      <c r="N2643">
        <v>143</v>
      </c>
      <c r="O2643">
        <v>205</v>
      </c>
      <c r="P2643">
        <v>143</v>
      </c>
      <c r="Q2643">
        <v>205</v>
      </c>
      <c r="R2643" t="s">
        <v>21</v>
      </c>
      <c r="S2643" t="s">
        <v>21</v>
      </c>
    </row>
    <row r="2644" spans="1:19" hidden="1" x14ac:dyDescent="0.25">
      <c r="A2644">
        <v>21600942</v>
      </c>
      <c r="B2644" t="s">
        <v>26</v>
      </c>
      <c r="C2644" t="s">
        <v>19</v>
      </c>
      <c r="D2644">
        <v>96</v>
      </c>
      <c r="E2644">
        <v>98</v>
      </c>
      <c r="F2644">
        <v>2</v>
      </c>
      <c r="G2644">
        <v>4</v>
      </c>
      <c r="H2644" s="1">
        <v>3.472222222222222E-3</v>
      </c>
      <c r="I2644">
        <v>2016</v>
      </c>
      <c r="J2644" t="s">
        <v>20</v>
      </c>
      <c r="K2644" s="2" t="str">
        <f>HYPERLINK("https://www.nba.com/stats/events?CFID=&amp;CFPARAMS=&amp;GameEventID=428&amp;GameID=0021600942&amp;Season=2016-17&amp;flag=1&amp;title=Leonard%2025'%203PT%20Jump%20Shot%20(27%20PTS)", "Leonard 25' 3PT Jump Shot (27 PTS)")</f>
        <v>Leonard 25' 3PT Jump Shot (27 PTS)</v>
      </c>
      <c r="L2644" s="2" t="str">
        <f>HYPERLINK("https://www.nba.com/game/...-vs-...-0021600942/play-by-play?watchFullGame=true", "SAS vs HOU - Q4 05:00.00")</f>
        <v>SAS vs HOU - Q4 05:00.00</v>
      </c>
      <c r="M2644">
        <v>25</v>
      </c>
      <c r="N2644">
        <v>63</v>
      </c>
      <c r="O2644">
        <v>237</v>
      </c>
      <c r="P2644">
        <v>63</v>
      </c>
      <c r="Q2644">
        <v>237</v>
      </c>
      <c r="R2644" t="s">
        <v>21</v>
      </c>
      <c r="S2644" t="s">
        <v>21</v>
      </c>
    </row>
    <row r="2645" spans="1:19" hidden="1" x14ac:dyDescent="0.25">
      <c r="A2645">
        <v>21600032</v>
      </c>
      <c r="B2645" t="s">
        <v>26</v>
      </c>
      <c r="C2645" t="s">
        <v>19</v>
      </c>
      <c r="D2645">
        <v>74</v>
      </c>
      <c r="E2645">
        <v>56</v>
      </c>
      <c r="F2645">
        <v>18</v>
      </c>
      <c r="G2645">
        <v>3</v>
      </c>
      <c r="H2645" s="1">
        <v>3.5069444444444445E-3</v>
      </c>
      <c r="I2645">
        <v>2016</v>
      </c>
      <c r="J2645" t="s">
        <v>20</v>
      </c>
      <c r="K2645" s="2" t="str">
        <f>HYPERLINK("https://www.nba.com/stats/events?CFID=&amp;CFPARAMS=&amp;GameEventID=326&amp;GameID=0021600032&amp;Season=2016-17&amp;flag=1&amp;title=Leonard%2025'%203PT%20Jump%20Shot%20(16%20PTS)%20(Mills%205%20AST)", "Leonard 25' 3PT Jump Shot (16 PTS) (Mills 5 AST)")</f>
        <v>Leonard 25' 3PT Jump Shot (16 PTS) (Mills 5 AST)</v>
      </c>
      <c r="L2645" s="2" t="str">
        <f>HYPERLINK("https://www.nba.com/game/...-vs-...-0021600032/play-by-play?watchFullGame=true", "SAS vs NOP - Q3 05:03.00")</f>
        <v>SAS vs NOP - Q3 05:03.00</v>
      </c>
      <c r="M2645">
        <v>25</v>
      </c>
      <c r="N2645">
        <v>127</v>
      </c>
      <c r="O2645">
        <v>218</v>
      </c>
      <c r="P2645">
        <v>127</v>
      </c>
      <c r="Q2645">
        <v>218</v>
      </c>
      <c r="R2645" t="s">
        <v>21</v>
      </c>
      <c r="S2645" t="s">
        <v>21</v>
      </c>
    </row>
    <row r="2646" spans="1:19" hidden="1" x14ac:dyDescent="0.25">
      <c r="A2646">
        <v>21800123</v>
      </c>
      <c r="B2646" t="s">
        <v>26</v>
      </c>
      <c r="C2646" t="s">
        <v>19</v>
      </c>
      <c r="D2646">
        <v>35</v>
      </c>
      <c r="E2646">
        <v>39</v>
      </c>
      <c r="F2646">
        <v>4</v>
      </c>
      <c r="G2646">
        <v>2</v>
      </c>
      <c r="H2646" s="1">
        <v>3.5416666666666665E-3</v>
      </c>
      <c r="I2646">
        <v>2018</v>
      </c>
      <c r="J2646" t="s">
        <v>48</v>
      </c>
      <c r="K2646" s="2" t="str">
        <f>HYPERLINK("https://www.nba.com/stats/events?CFID=&amp;CFPARAMS=&amp;GameEventID=271&amp;GameID=0021800123&amp;Season=2018-19&amp;flag=1&amp;title=Leonard%2025'%203PT%20Jump%20Shot%20(7%20PTS)%20(Siakam%201%20AST)", "Leonard 25' 3PT Jump Shot (7 PTS) (Siakam 1 AST)")</f>
        <v>Leonard 25' 3PT Jump Shot (7 PTS) (Siakam 1 AST)</v>
      </c>
      <c r="L2646" s="2" t="str">
        <f>HYPERLINK("https://www.nba.com/game/...-vs-...-0021800123/play-by-play?watchFullGame=true", "TOR vs PHX - Q2 05:06.00")</f>
        <v>TOR vs PHX - Q2 05:06.00</v>
      </c>
      <c r="M2646">
        <v>25</v>
      </c>
      <c r="N2646">
        <v>-231</v>
      </c>
      <c r="O2646">
        <v>96</v>
      </c>
      <c r="P2646">
        <v>-231</v>
      </c>
      <c r="Q2646">
        <v>96</v>
      </c>
      <c r="R2646" t="s">
        <v>21</v>
      </c>
      <c r="S2646" t="s">
        <v>21</v>
      </c>
    </row>
    <row r="2647" spans="1:19" hidden="1" x14ac:dyDescent="0.25">
      <c r="A2647">
        <v>21500790</v>
      </c>
      <c r="B2647" t="s">
        <v>26</v>
      </c>
      <c r="C2647" t="s">
        <v>19</v>
      </c>
      <c r="D2647">
        <v>86</v>
      </c>
      <c r="E2647">
        <v>89</v>
      </c>
      <c r="F2647">
        <v>3</v>
      </c>
      <c r="G2647">
        <v>4</v>
      </c>
      <c r="H2647" s="1">
        <v>3.5416666666666665E-3</v>
      </c>
      <c r="I2647">
        <v>2015</v>
      </c>
      <c r="J2647" t="s">
        <v>20</v>
      </c>
      <c r="K2647" s="2" t="str">
        <f>HYPERLINK("https://www.nba.com/stats/events?CFID=&amp;CFPARAMS=&amp;GameEventID=447&amp;GameID=0021500790&amp;Season=2015-16&amp;flag=1&amp;title=Leonard%2025'%203PT%20Jump%20Shot%20(25%20PTS)%20(Green%202%20AST)", "Leonard 25' 3PT Jump Shot (25 PTS) (Green 2 AST)")</f>
        <v>Leonard 25' 3PT Jump Shot (25 PTS) (Green 2 AST)</v>
      </c>
      <c r="L2647" s="2" t="str">
        <f>HYPERLINK("https://www.nba.com/game/...-vs-...-0021500790/play-by-play?watchFullGame=true", "SAS vs ORL - Q4 05:06.00")</f>
        <v>SAS vs ORL - Q4 05:06.00</v>
      </c>
      <c r="M2647">
        <v>25</v>
      </c>
      <c r="N2647">
        <v>53</v>
      </c>
      <c r="O2647">
        <v>242</v>
      </c>
      <c r="P2647">
        <v>53</v>
      </c>
      <c r="Q2647">
        <v>242</v>
      </c>
      <c r="R2647" t="s">
        <v>21</v>
      </c>
      <c r="S2647" t="s">
        <v>21</v>
      </c>
    </row>
    <row r="2648" spans="1:19" hidden="1" x14ac:dyDescent="0.25">
      <c r="A2648">
        <v>21500172</v>
      </c>
      <c r="B2648" t="s">
        <v>26</v>
      </c>
      <c r="C2648" t="s">
        <v>19</v>
      </c>
      <c r="D2648">
        <v>54</v>
      </c>
      <c r="E2648">
        <v>42</v>
      </c>
      <c r="F2648">
        <v>12</v>
      </c>
      <c r="G2648">
        <v>2</v>
      </c>
      <c r="H2648" s="1">
        <v>3.5879629629629629E-3</v>
      </c>
      <c r="I2648">
        <v>2015</v>
      </c>
      <c r="J2648" t="s">
        <v>20</v>
      </c>
      <c r="K2648" s="2" t="str">
        <f>HYPERLINK("https://www.nba.com/stats/events?CFID=&amp;CFPARAMS=&amp;GameEventID=202&amp;GameID=0021500172&amp;Season=2015-16&amp;flag=1&amp;title=Leonard%2025'%203PT%20Jump%20Shot%20(9%20PTS)%20(Parker%206%20AST)", "Leonard 25' 3PT Jump Shot (9 PTS) (Parker 6 AST)")</f>
        <v>Leonard 25' 3PT Jump Shot (9 PTS) (Parker 6 AST)</v>
      </c>
      <c r="L2648" s="2" t="str">
        <f>HYPERLINK("https://www.nba.com/game/...-vs-...-0021500172/play-by-play?watchFullGame=true", "SAS vs DEN - Q2 05:10.00")</f>
        <v>SAS vs DEN - Q2 05:10.00</v>
      </c>
      <c r="M2648">
        <v>25</v>
      </c>
      <c r="N2648">
        <v>179</v>
      </c>
      <c r="O2648">
        <v>169</v>
      </c>
      <c r="P2648">
        <v>179</v>
      </c>
      <c r="Q2648">
        <v>169</v>
      </c>
      <c r="R2648" t="s">
        <v>21</v>
      </c>
      <c r="S2648" t="s">
        <v>21</v>
      </c>
    </row>
    <row r="2649" spans="1:19" hidden="1" x14ac:dyDescent="0.25">
      <c r="A2649">
        <v>41600233</v>
      </c>
      <c r="B2649" t="s">
        <v>26</v>
      </c>
      <c r="C2649" t="s">
        <v>19</v>
      </c>
      <c r="D2649">
        <v>88</v>
      </c>
      <c r="E2649">
        <v>76</v>
      </c>
      <c r="F2649">
        <v>12</v>
      </c>
      <c r="G2649">
        <v>4</v>
      </c>
      <c r="H2649" s="1">
        <v>3.5995370370370369E-3</v>
      </c>
      <c r="I2649" t="s">
        <v>58</v>
      </c>
      <c r="J2649" t="s">
        <v>20</v>
      </c>
      <c r="K2649" s="2" t="str">
        <f>HYPERLINK("https://www.nba.com/stats/events?CFID=&amp;CFPARAMS=&amp;GameEventID=467&amp;GameID=0041600233&amp;Season=2016-17&amp;flag=1&amp;title=Leonard%2025'%203PT%20Jump%20Shot%20(24%20PTS)%20(Aldridge%202%20AST)", "Leonard 25' 3PT Jump Shot (24 PTS) (Aldridge 2 AST)")</f>
        <v>Leonard 25' 3PT Jump Shot (24 PTS) (Aldridge 2 AST)</v>
      </c>
      <c r="L2649" s="2" t="str">
        <f>HYPERLINK("https://www.nba.com/game/...-vs-...-0041600233/play-by-play?watchFullGame=true", "SAS vs HOU - Q4 05:11.00")</f>
        <v>SAS vs HOU - Q4 05:11.00</v>
      </c>
      <c r="M2649">
        <v>25</v>
      </c>
      <c r="N2649">
        <v>112</v>
      </c>
      <c r="O2649">
        <v>223</v>
      </c>
      <c r="P2649">
        <v>112</v>
      </c>
      <c r="Q2649">
        <v>223</v>
      </c>
      <c r="R2649" t="s">
        <v>21</v>
      </c>
      <c r="S2649" t="s">
        <v>21</v>
      </c>
    </row>
    <row r="2650" spans="1:19" hidden="1" x14ac:dyDescent="0.25">
      <c r="A2650">
        <v>41600156</v>
      </c>
      <c r="B2650" t="s">
        <v>26</v>
      </c>
      <c r="C2650" t="s">
        <v>19</v>
      </c>
      <c r="D2650">
        <v>87</v>
      </c>
      <c r="E2650">
        <v>88</v>
      </c>
      <c r="F2650">
        <v>1</v>
      </c>
      <c r="G2650">
        <v>4</v>
      </c>
      <c r="H2650" s="1">
        <v>3.6111111111111109E-3</v>
      </c>
      <c r="I2650" t="s">
        <v>58</v>
      </c>
      <c r="J2650" t="s">
        <v>20</v>
      </c>
      <c r="K2650" s="2" t="str">
        <f>HYPERLINK("https://www.nba.com/stats/events?CFID=&amp;CFPARAMS=&amp;GameEventID=423&amp;GameID=0041600156&amp;Season=2016-17&amp;flag=1&amp;title=Leonard%2025'%203PT%20Jump%20Shot%20(27%20PTS)", "Leonard 25' 3PT Jump Shot (27 PTS)")</f>
        <v>Leonard 25' 3PT Jump Shot (27 PTS)</v>
      </c>
      <c r="L2650" s="2" t="str">
        <f>HYPERLINK("https://www.nba.com/game/...-vs-...-0041600156/play-by-play?watchFullGame=true", "SAS vs MEM - Q4 05:12.00")</f>
        <v>SAS vs MEM - Q4 05:12.00</v>
      </c>
      <c r="M2650">
        <v>25</v>
      </c>
      <c r="N2650">
        <v>63</v>
      </c>
      <c r="O2650">
        <v>237</v>
      </c>
      <c r="P2650">
        <v>63</v>
      </c>
      <c r="Q2650">
        <v>237</v>
      </c>
      <c r="R2650" t="s">
        <v>21</v>
      </c>
      <c r="S2650" t="s">
        <v>21</v>
      </c>
    </row>
    <row r="2651" spans="1:19" hidden="1" x14ac:dyDescent="0.25">
      <c r="A2651">
        <v>21400610</v>
      </c>
      <c r="B2651" t="s">
        <v>26</v>
      </c>
      <c r="C2651" t="s">
        <v>19</v>
      </c>
      <c r="D2651">
        <v>35</v>
      </c>
      <c r="E2651">
        <v>22</v>
      </c>
      <c r="F2651">
        <v>13</v>
      </c>
      <c r="G2651">
        <v>2</v>
      </c>
      <c r="H2651" s="1">
        <v>3.6689814814814814E-3</v>
      </c>
      <c r="I2651">
        <v>2014</v>
      </c>
      <c r="J2651" t="s">
        <v>20</v>
      </c>
      <c r="K2651" s="2" t="str">
        <f>HYPERLINK("https://www.nba.com/stats/events?CFID=&amp;CFPARAMS=&amp;GameEventID=191&amp;GameID=0021400610&amp;Season=2014-15&amp;flag=1&amp;title=Leonard%2025'%203PT%20Jump%20Shot%20(8%20PTS)%20(Splitter%202%20AST)", "Leonard 25' 3PT Jump Shot (8 PTS) (Splitter 2 AST)")</f>
        <v>Leonard 25' 3PT Jump Shot (8 PTS) (Splitter 2 AST)</v>
      </c>
      <c r="L2651" s="2" t="str">
        <f>HYPERLINK("https://www.nba.com/game/...-vs-...-0021400610/play-by-play?watchFullGame=true", "SAS vs UTA - Q2 05:17.00")</f>
        <v>SAS vs UTA - Q2 05:17.00</v>
      </c>
      <c r="M2651">
        <v>25</v>
      </c>
      <c r="N2651">
        <v>-187</v>
      </c>
      <c r="O2651">
        <v>159</v>
      </c>
      <c r="P2651">
        <v>-187</v>
      </c>
      <c r="Q2651">
        <v>159</v>
      </c>
      <c r="R2651" t="s">
        <v>21</v>
      </c>
      <c r="S2651" t="s">
        <v>21</v>
      </c>
    </row>
    <row r="2652" spans="1:19" hidden="1" x14ac:dyDescent="0.25">
      <c r="A2652">
        <v>21800347</v>
      </c>
      <c r="B2652" t="s">
        <v>26</v>
      </c>
      <c r="C2652" t="s">
        <v>36</v>
      </c>
      <c r="D2652">
        <v>68</v>
      </c>
      <c r="E2652">
        <v>73</v>
      </c>
      <c r="F2652">
        <v>5</v>
      </c>
      <c r="G2652">
        <v>3</v>
      </c>
      <c r="H2652" s="1">
        <v>3.7037037037037038E-3</v>
      </c>
      <c r="I2652">
        <v>2018</v>
      </c>
      <c r="J2652" t="s">
        <v>48</v>
      </c>
      <c r="K2652" s="2" t="str">
        <f>HYPERLINK("https://www.nba.com/stats/events?CFID=&amp;CFPARAMS=&amp;GameEventID=417&amp;GameID=0021800347&amp;Season=2018-19&amp;flag=1&amp;title=Leonard%2025'%203PT%20Pullup%20Jump%20Shot%20(19%20PTS)%20(Siakam%205%20AST)", "Leonard 25' 3PT Pullup Jump Shot (19 PTS) (Siakam 5 AST)")</f>
        <v>Leonard 25' 3PT Pullup Jump Shot (19 PTS) (Siakam 5 AST)</v>
      </c>
      <c r="L2652" s="2" t="str">
        <f>HYPERLINK("https://www.nba.com/game/...-vs-...-0021800347/play-by-play?watchFullGame=true", "TOR vs DEN - Q3 05:20.00")</f>
        <v>TOR vs DEN - Q3 05:20.00</v>
      </c>
      <c r="M2652">
        <v>25</v>
      </c>
      <c r="N2652">
        <v>153</v>
      </c>
      <c r="O2652">
        <v>198</v>
      </c>
      <c r="P2652">
        <v>153</v>
      </c>
      <c r="Q2652">
        <v>198</v>
      </c>
      <c r="R2652" t="s">
        <v>21</v>
      </c>
      <c r="S2652" t="s">
        <v>21</v>
      </c>
    </row>
    <row r="2653" spans="1:19" hidden="1" x14ac:dyDescent="0.25">
      <c r="A2653">
        <v>21500713</v>
      </c>
      <c r="B2653" t="s">
        <v>26</v>
      </c>
      <c r="C2653" t="s">
        <v>19</v>
      </c>
      <c r="D2653">
        <v>43</v>
      </c>
      <c r="E2653">
        <v>52</v>
      </c>
      <c r="F2653">
        <v>9</v>
      </c>
      <c r="G2653">
        <v>2</v>
      </c>
      <c r="H2653" s="1">
        <v>3.7499999999999999E-3</v>
      </c>
      <c r="I2653">
        <v>2015</v>
      </c>
      <c r="J2653" t="s">
        <v>20</v>
      </c>
      <c r="K2653" s="2" t="str">
        <f>HYPERLINK("https://www.nba.com/stats/events?CFID=&amp;CFPARAMS=&amp;GameEventID=189&amp;GameID=0021500713&amp;Season=2015-16&amp;flag=1&amp;title=Leonard%2025'%203PT%20Jump%20Shot%20(10%20PTS)%20(Parker%204%20AST)", "Leonard 25' 3PT Jump Shot (10 PTS) (Parker 4 AST)")</f>
        <v>Leonard 25' 3PT Jump Shot (10 PTS) (Parker 4 AST)</v>
      </c>
      <c r="L2653" s="2" t="str">
        <f>HYPERLINK("https://www.nba.com/game/...-vs-...-0021500713/play-by-play?watchFullGame=true", "SAS vs CLE - Q2 05:24.00")</f>
        <v>SAS vs CLE - Q2 05:24.00</v>
      </c>
      <c r="M2653">
        <v>25</v>
      </c>
      <c r="N2653">
        <v>17</v>
      </c>
      <c r="O2653">
        <v>247</v>
      </c>
      <c r="P2653">
        <v>17</v>
      </c>
      <c r="Q2653">
        <v>247</v>
      </c>
      <c r="R2653" t="s">
        <v>21</v>
      </c>
      <c r="S2653" t="s">
        <v>21</v>
      </c>
    </row>
    <row r="2654" spans="1:19" hidden="1" x14ac:dyDescent="0.25">
      <c r="A2654">
        <v>21600588</v>
      </c>
      <c r="B2654" t="s">
        <v>26</v>
      </c>
      <c r="C2654" t="s">
        <v>36</v>
      </c>
      <c r="D2654">
        <v>25</v>
      </c>
      <c r="E2654">
        <v>13</v>
      </c>
      <c r="F2654">
        <v>12</v>
      </c>
      <c r="G2654">
        <v>1</v>
      </c>
      <c r="H2654" s="1">
        <v>3.7847222222222223E-3</v>
      </c>
      <c r="I2654">
        <v>2016</v>
      </c>
      <c r="J2654" t="s">
        <v>20</v>
      </c>
      <c r="K2654" s="2" t="str">
        <f>HYPERLINK("https://www.nba.com/stats/events?CFID=&amp;CFPARAMS=&amp;GameEventID=56&amp;GameID=0021600588&amp;Season=2016-17&amp;flag=1&amp;title=Leonard%2025'%203PT%20Pullup%20Jump%20Shot%20(11%20PTS)", "Leonard 25' 3PT Pullup Jump Shot (11 PTS)")</f>
        <v>Leonard 25' 3PT Pullup Jump Shot (11 PTS)</v>
      </c>
      <c r="L2654" s="2" t="str">
        <f>HYPERLINK("https://www.nba.com/game/...-vs-...-0021600588/play-by-play?watchFullGame=true", "SAS vs LAL - Q1 05:27.00")</f>
        <v>SAS vs LAL - Q1 05:27.00</v>
      </c>
      <c r="M2654">
        <v>25</v>
      </c>
      <c r="N2654">
        <v>-178</v>
      </c>
      <c r="O2654">
        <v>174</v>
      </c>
      <c r="P2654">
        <v>-178</v>
      </c>
      <c r="Q2654">
        <v>174</v>
      </c>
      <c r="R2654" t="s">
        <v>21</v>
      </c>
      <c r="S2654" t="s">
        <v>21</v>
      </c>
    </row>
    <row r="2655" spans="1:19" hidden="1" x14ac:dyDescent="0.25">
      <c r="A2655">
        <v>41300147</v>
      </c>
      <c r="B2655" t="s">
        <v>26</v>
      </c>
      <c r="C2655" t="s">
        <v>19</v>
      </c>
      <c r="D2655">
        <v>80</v>
      </c>
      <c r="E2655">
        <v>63</v>
      </c>
      <c r="F2655">
        <v>17</v>
      </c>
      <c r="G2655">
        <v>3</v>
      </c>
      <c r="H2655" s="1">
        <v>3.7962962962962963E-3</v>
      </c>
      <c r="I2655" t="s">
        <v>55</v>
      </c>
      <c r="J2655" t="s">
        <v>20</v>
      </c>
      <c r="K2655" s="2" t="str">
        <f>HYPERLINK("https://www.nba.com/stats/events?CFID=&amp;CFPARAMS=&amp;GameEventID=333&amp;GameID=0041300147&amp;Season=2013-14&amp;flag=1&amp;title=Leonard%2025'%203PT%20Jump%20Shot%20(13%20PTS)%20(Diaw%205%20AST)", "Leonard 25' 3PT Jump Shot (13 PTS) (Diaw 5 AST)")</f>
        <v>Leonard 25' 3PT Jump Shot (13 PTS) (Diaw 5 AST)</v>
      </c>
      <c r="L2655" s="2" t="str">
        <f>HYPERLINK("https://www.nba.com/game/...-vs-...-0041300147/play-by-play?watchFullGame=true", "SAS vs DAL - Q3 05:28.00")</f>
        <v>SAS vs DAL - Q3 05:28.00</v>
      </c>
      <c r="M2655">
        <v>25</v>
      </c>
      <c r="N2655">
        <v>-201</v>
      </c>
      <c r="O2655">
        <v>148</v>
      </c>
      <c r="P2655">
        <v>-201</v>
      </c>
      <c r="Q2655">
        <v>148</v>
      </c>
      <c r="R2655" t="s">
        <v>21</v>
      </c>
      <c r="S2655" t="s">
        <v>21</v>
      </c>
    </row>
    <row r="2656" spans="1:19" hidden="1" x14ac:dyDescent="0.25">
      <c r="A2656">
        <v>21801023</v>
      </c>
      <c r="B2656" t="s">
        <v>26</v>
      </c>
      <c r="C2656" t="s">
        <v>36</v>
      </c>
      <c r="D2656">
        <v>82</v>
      </c>
      <c r="E2656">
        <v>71</v>
      </c>
      <c r="F2656">
        <v>11</v>
      </c>
      <c r="G2656">
        <v>3</v>
      </c>
      <c r="H2656" s="1">
        <v>3.7962962962962963E-3</v>
      </c>
      <c r="I2656">
        <v>2018</v>
      </c>
      <c r="J2656" t="s">
        <v>48</v>
      </c>
      <c r="K2656" s="2" t="str">
        <f>HYPERLINK("https://www.nba.com/stats/events?CFID=&amp;CFPARAMS=&amp;GameEventID=458&amp;GameID=0021801023&amp;Season=2018-19&amp;flag=1&amp;title=Leonard%2025'%203PT%20Pullup%20Jump%20Shot%20(21%20PTS)%20(Gasol%203%20AST)", "Leonard 25' 3PT Pullup Jump Shot (21 PTS) (Gasol 3 AST)")</f>
        <v>Leonard 25' 3PT Pullup Jump Shot (21 PTS) (Gasol 3 AST)</v>
      </c>
      <c r="L2656" s="2" t="str">
        <f>HYPERLINK("https://www.nba.com/game/...-vs-...-0021801023/play-by-play?watchFullGame=true", "TOR vs LAL - Q3 05:28.00")</f>
        <v>TOR vs LAL - Q3 05:28.00</v>
      </c>
      <c r="M2656">
        <v>25</v>
      </c>
      <c r="N2656">
        <v>-152</v>
      </c>
      <c r="O2656">
        <v>197</v>
      </c>
      <c r="P2656">
        <v>-152</v>
      </c>
      <c r="Q2656">
        <v>197</v>
      </c>
      <c r="R2656" t="s">
        <v>21</v>
      </c>
      <c r="S2656" t="s">
        <v>21</v>
      </c>
    </row>
    <row r="2657" spans="1:19" hidden="1" x14ac:dyDescent="0.25">
      <c r="A2657">
        <v>21600817</v>
      </c>
      <c r="B2657" t="s">
        <v>26</v>
      </c>
      <c r="C2657" t="s">
        <v>19</v>
      </c>
      <c r="D2657">
        <v>57</v>
      </c>
      <c r="E2657">
        <v>57</v>
      </c>
      <c r="F2657">
        <v>0</v>
      </c>
      <c r="G2657">
        <v>3</v>
      </c>
      <c r="H2657" s="1">
        <v>3.8425925925925928E-3</v>
      </c>
      <c r="I2657">
        <v>2016</v>
      </c>
      <c r="J2657" t="s">
        <v>20</v>
      </c>
      <c r="K2657" s="2" t="str">
        <f>HYPERLINK("https://www.nba.com/stats/events?CFID=&amp;CFPARAMS=&amp;GameEventID=297&amp;GameID=0021600817&amp;Season=2016-17&amp;flag=1&amp;title=Leonard%2025'%203PT%20Jump%20Shot%20(19%20PTS)%20(Mills%202%20AST)", "Leonard 25' 3PT Jump Shot (19 PTS) (Mills 2 AST)")</f>
        <v>Leonard 25' 3PT Jump Shot (19 PTS) (Mills 2 AST)</v>
      </c>
      <c r="L2657" s="2" t="str">
        <f>HYPERLINK("https://www.nba.com/game/...-vs-...-0021600817/play-by-play?watchFullGame=true", "SAS vs NYK - Q3 05:32.00")</f>
        <v>SAS vs NYK - Q3 05:32.00</v>
      </c>
      <c r="M2657">
        <v>25</v>
      </c>
      <c r="N2657">
        <v>-155</v>
      </c>
      <c r="O2657">
        <v>190</v>
      </c>
      <c r="P2657">
        <v>-155</v>
      </c>
      <c r="Q2657">
        <v>190</v>
      </c>
      <c r="R2657" t="s">
        <v>21</v>
      </c>
      <c r="S2657" t="s">
        <v>21</v>
      </c>
    </row>
    <row r="2658" spans="1:19" hidden="1" x14ac:dyDescent="0.25">
      <c r="A2658">
        <v>41300403</v>
      </c>
      <c r="B2658" t="s">
        <v>26</v>
      </c>
      <c r="C2658" t="s">
        <v>19</v>
      </c>
      <c r="D2658">
        <v>25</v>
      </c>
      <c r="E2658">
        <v>12</v>
      </c>
      <c r="F2658">
        <v>13</v>
      </c>
      <c r="G2658">
        <v>1</v>
      </c>
      <c r="H2658" s="1">
        <v>3.8541666666666668E-3</v>
      </c>
      <c r="I2658" t="s">
        <v>55</v>
      </c>
      <c r="J2658" t="s">
        <v>20</v>
      </c>
      <c r="K2658" s="2" t="str">
        <f>HYPERLINK("https://www.nba.com/stats/events?CFID=&amp;CFPARAMS=&amp;GameEventID=61&amp;GameID=0041300403&amp;Season=2013-14&amp;flag=1&amp;title=Leonard%2025'%203PT%20Jump%20Shot%20(13%20PTS)%20(Parker%202%20AST)", "Leonard 25' 3PT Jump Shot (13 PTS) (Parker 2 AST)")</f>
        <v>Leonard 25' 3PT Jump Shot (13 PTS) (Parker 2 AST)</v>
      </c>
      <c r="L2658" s="2" t="str">
        <f>HYPERLINK("https://www.nba.com/game/...-vs-...-0041300403/play-by-play?watchFullGame=true", "SAS vs MIA - Q1 05:33.00")</f>
        <v>SAS vs MIA - Q1 05:33.00</v>
      </c>
      <c r="M2658">
        <v>25</v>
      </c>
      <c r="N2658">
        <v>182</v>
      </c>
      <c r="O2658">
        <v>173</v>
      </c>
      <c r="P2658">
        <v>182</v>
      </c>
      <c r="Q2658">
        <v>173</v>
      </c>
      <c r="R2658" t="s">
        <v>21</v>
      </c>
      <c r="S2658" t="s">
        <v>21</v>
      </c>
    </row>
    <row r="2659" spans="1:19" hidden="1" x14ac:dyDescent="0.25">
      <c r="A2659">
        <v>21400757</v>
      </c>
      <c r="B2659" t="s">
        <v>26</v>
      </c>
      <c r="C2659" t="s">
        <v>19</v>
      </c>
      <c r="D2659">
        <v>42</v>
      </c>
      <c r="E2659">
        <v>30</v>
      </c>
      <c r="F2659">
        <v>12</v>
      </c>
      <c r="G2659">
        <v>2</v>
      </c>
      <c r="H2659" s="1">
        <v>3.8888888888888888E-3</v>
      </c>
      <c r="I2659">
        <v>2014</v>
      </c>
      <c r="J2659" t="s">
        <v>20</v>
      </c>
      <c r="K2659" s="2" t="str">
        <f>HYPERLINK("https://www.nba.com/stats/events?CFID=&amp;CFPARAMS=&amp;GameEventID=157&amp;GameID=0021400757&amp;Season=2014-15&amp;flag=1&amp;title=Leonard%2025'%203PT%20Jump%20Shot%20(14%20PTS)%20(Belinelli%203%20AST)", "Leonard 25' 3PT Jump Shot (14 PTS) (Belinelli 3 AST)")</f>
        <v>Leonard 25' 3PT Jump Shot (14 PTS) (Belinelli 3 AST)</v>
      </c>
      <c r="L2659" s="2" t="str">
        <f>HYPERLINK("https://www.nba.com/game/...-vs-...-0021400757/play-by-play?watchFullGame=true", "SAS vs MIA - Q2 05:36.00")</f>
        <v>SAS vs MIA - Q2 05:36.00</v>
      </c>
      <c r="M2659">
        <v>25</v>
      </c>
      <c r="N2659">
        <v>97</v>
      </c>
      <c r="O2659">
        <v>230</v>
      </c>
      <c r="P2659">
        <v>97</v>
      </c>
      <c r="Q2659">
        <v>230</v>
      </c>
      <c r="R2659" t="s">
        <v>21</v>
      </c>
      <c r="S2659" t="s">
        <v>21</v>
      </c>
    </row>
    <row r="2660" spans="1:19" hidden="1" x14ac:dyDescent="0.25">
      <c r="A2660">
        <v>21300993</v>
      </c>
      <c r="B2660" t="s">
        <v>26</v>
      </c>
      <c r="C2660" t="s">
        <v>19</v>
      </c>
      <c r="D2660">
        <v>43</v>
      </c>
      <c r="E2660">
        <v>38</v>
      </c>
      <c r="F2660">
        <v>5</v>
      </c>
      <c r="G2660">
        <v>2</v>
      </c>
      <c r="H2660" s="1">
        <v>3.9583333333333337E-3</v>
      </c>
      <c r="I2660">
        <v>2013</v>
      </c>
      <c r="J2660" t="s">
        <v>20</v>
      </c>
      <c r="K2660" s="2" t="str">
        <f>HYPERLINK("https://www.nba.com/stats/events?CFID=&amp;CFPARAMS=&amp;GameEventID=155&amp;GameID=0021300993&amp;Season=2013-14&amp;flag=1&amp;title=Leonard%2025'%203PT%20Jump%20Shot%20(6%20PTS)%20(Belinelli%201%20AST)", "Leonard 25' 3PT Jump Shot (6 PTS) (Belinelli 1 AST)")</f>
        <v>Leonard 25' 3PT Jump Shot (6 PTS) (Belinelli 1 AST)</v>
      </c>
      <c r="L2660" s="2" t="str">
        <f>HYPERLINK("https://www.nba.com/game/...-vs-...-0021300993/play-by-play?watchFullGame=true", "SAS vs UTA - Q2 05:42.00")</f>
        <v>SAS vs UTA - Q2 05:42.00</v>
      </c>
      <c r="M2660">
        <v>25</v>
      </c>
      <c r="N2660">
        <v>6</v>
      </c>
      <c r="O2660">
        <v>246</v>
      </c>
      <c r="P2660">
        <v>6</v>
      </c>
      <c r="Q2660">
        <v>246</v>
      </c>
      <c r="R2660" t="s">
        <v>21</v>
      </c>
      <c r="S2660" t="s">
        <v>21</v>
      </c>
    </row>
    <row r="2661" spans="1:19" hidden="1" x14ac:dyDescent="0.25">
      <c r="A2661">
        <v>21800359</v>
      </c>
      <c r="B2661" t="s">
        <v>26</v>
      </c>
      <c r="C2661" t="s">
        <v>65</v>
      </c>
      <c r="D2661">
        <v>71</v>
      </c>
      <c r="E2661">
        <v>63</v>
      </c>
      <c r="F2661">
        <v>8</v>
      </c>
      <c r="G2661">
        <v>3</v>
      </c>
      <c r="H2661" s="1">
        <v>4.0046296296296297E-3</v>
      </c>
      <c r="I2661">
        <v>2018</v>
      </c>
      <c r="J2661" t="s">
        <v>48</v>
      </c>
      <c r="K2661" s="2" t="str">
        <f>HYPERLINK("https://www.nba.com/stats/events?CFID=&amp;CFPARAMS=&amp;GameEventID=451&amp;GameID=0021800359&amp;Season=2018-19&amp;flag=1&amp;title=Leonard%2025'%203PT%20Running%20Pull-Up%20Jump%20Shot%20(26%20PTS)%20(Siakam%204%20AST)", "Leonard 25' 3PT Running Pull-Up Jump Shot (26 PTS) (Siakam 4 AST)")</f>
        <v>Leonard 25' 3PT Running Pull-Up Jump Shot (26 PTS) (Siakam 4 AST)</v>
      </c>
      <c r="L2661" s="2" t="str">
        <f>HYPERLINK("https://www.nba.com/game/...-vs-...-0021800359/play-by-play?watchFullGame=true", "TOR vs PHI - Q3 05:46.00")</f>
        <v>TOR vs PHI - Q3 05:46.00</v>
      </c>
      <c r="M2661">
        <v>25</v>
      </c>
      <c r="N2661">
        <v>-98</v>
      </c>
      <c r="O2661">
        <v>227</v>
      </c>
      <c r="P2661">
        <v>-98</v>
      </c>
      <c r="Q2661">
        <v>227</v>
      </c>
      <c r="R2661" t="s">
        <v>21</v>
      </c>
      <c r="S2661" t="s">
        <v>21</v>
      </c>
    </row>
    <row r="2662" spans="1:19" hidden="1" x14ac:dyDescent="0.25">
      <c r="A2662">
        <v>21600994</v>
      </c>
      <c r="B2662" t="s">
        <v>26</v>
      </c>
      <c r="C2662" t="s">
        <v>19</v>
      </c>
      <c r="D2662">
        <v>14</v>
      </c>
      <c r="E2662">
        <v>13</v>
      </c>
      <c r="F2662">
        <v>1</v>
      </c>
      <c r="G2662">
        <v>1</v>
      </c>
      <c r="H2662" s="1">
        <v>4.0046296296296297E-3</v>
      </c>
      <c r="I2662">
        <v>2016</v>
      </c>
      <c r="J2662" t="s">
        <v>20</v>
      </c>
      <c r="K2662" s="2" t="str">
        <f>HYPERLINK("https://www.nba.com/stats/events?CFID=&amp;CFPARAMS=&amp;GameEventID=56&amp;GameID=0021600994&amp;Season=2016-17&amp;flag=1&amp;title=Leonard%2025'%203PT%20Jump%20Shot%20(5%20PTS)%20(Mills%203%20AST)", "Leonard 25' 3PT Jump Shot (5 PTS) (Mills 3 AST)")</f>
        <v>Leonard 25' 3PT Jump Shot (5 PTS) (Mills 3 AST)</v>
      </c>
      <c r="L2662" s="2" t="str">
        <f>HYPERLINK("https://www.nba.com/game/...-vs-...-0021600994/play-by-play?watchFullGame=true", "SAS vs ATL - Q1 05:46.00")</f>
        <v>SAS vs ATL - Q1 05:46.00</v>
      </c>
      <c r="M2662">
        <v>25</v>
      </c>
      <c r="N2662">
        <v>161</v>
      </c>
      <c r="O2662">
        <v>185</v>
      </c>
      <c r="P2662">
        <v>161</v>
      </c>
      <c r="Q2662">
        <v>185</v>
      </c>
      <c r="R2662" t="s">
        <v>21</v>
      </c>
      <c r="S2662" t="s">
        <v>21</v>
      </c>
    </row>
    <row r="2663" spans="1:19" hidden="1" x14ac:dyDescent="0.25">
      <c r="A2663">
        <v>21301174</v>
      </c>
      <c r="B2663" t="s">
        <v>26</v>
      </c>
      <c r="C2663" t="s">
        <v>19</v>
      </c>
      <c r="D2663">
        <v>20</v>
      </c>
      <c r="E2663">
        <v>9</v>
      </c>
      <c r="F2663">
        <v>11</v>
      </c>
      <c r="G2663">
        <v>1</v>
      </c>
      <c r="H2663" s="1">
        <v>4.0393518518518521E-3</v>
      </c>
      <c r="I2663">
        <v>2013</v>
      </c>
      <c r="J2663" t="s">
        <v>20</v>
      </c>
      <c r="K2663" s="2" t="str">
        <f>HYPERLINK("https://www.nba.com/stats/events?CFID=&amp;CFPARAMS=&amp;GameEventID=57&amp;GameID=0021301174&amp;Season=2013-14&amp;flag=1&amp;title=Leonard%2025'%203PT%20Jump%20Shot%20(5%20PTS)", "Leonard 25' 3PT Jump Shot (5 PTS)")</f>
        <v>Leonard 25' 3PT Jump Shot (5 PTS)</v>
      </c>
      <c r="L2663" s="2" t="str">
        <f>HYPERLINK("https://www.nba.com/game/...-vs-...-0021301174/play-by-play?watchFullGame=true", "SAS vs DAL - Q1 05:49.00")</f>
        <v>SAS vs DAL - Q1 05:49.00</v>
      </c>
      <c r="M2663">
        <v>25</v>
      </c>
      <c r="N2663">
        <v>106</v>
      </c>
      <c r="O2663">
        <v>224</v>
      </c>
      <c r="P2663">
        <v>106</v>
      </c>
      <c r="Q2663">
        <v>224</v>
      </c>
      <c r="R2663" t="s">
        <v>21</v>
      </c>
      <c r="S2663" t="s">
        <v>21</v>
      </c>
    </row>
    <row r="2664" spans="1:19" hidden="1" x14ac:dyDescent="0.25">
      <c r="A2664">
        <v>21300871</v>
      </c>
      <c r="B2664" t="s">
        <v>26</v>
      </c>
      <c r="C2664" t="s">
        <v>19</v>
      </c>
      <c r="D2664">
        <v>31</v>
      </c>
      <c r="E2664">
        <v>39</v>
      </c>
      <c r="F2664">
        <v>8</v>
      </c>
      <c r="G2664">
        <v>2</v>
      </c>
      <c r="H2664" s="1">
        <v>4.0625000000000001E-3</v>
      </c>
      <c r="I2664">
        <v>2013</v>
      </c>
      <c r="J2664" t="s">
        <v>20</v>
      </c>
      <c r="K2664" s="2" t="str">
        <f>HYPERLINK("https://www.nba.com/stats/events?CFID=&amp;CFPARAMS=&amp;GameEventID=167&amp;GameID=0021300871&amp;Season=2013-14&amp;flag=1&amp;title=Leonard%2025'%203PT%20Jump%20Shot%20(7%20PTS)%20(Belinelli%202%20AST)", "Leonard 25' 3PT Jump Shot (7 PTS) (Belinelli 2 AST)")</f>
        <v>Leonard 25' 3PT Jump Shot (7 PTS) (Belinelli 2 AST)</v>
      </c>
      <c r="L2664" s="2" t="str">
        <f>HYPERLINK("https://www.nba.com/game/...-vs-...-0021300871/play-by-play?watchFullGame=true", "SAS vs CHA - Q2 05:51.00")</f>
        <v>SAS vs CHA - Q2 05:51.00</v>
      </c>
      <c r="M2664">
        <v>25</v>
      </c>
      <c r="N2664">
        <v>89</v>
      </c>
      <c r="O2664">
        <v>230</v>
      </c>
      <c r="P2664">
        <v>89</v>
      </c>
      <c r="Q2664">
        <v>230</v>
      </c>
      <c r="R2664" t="s">
        <v>21</v>
      </c>
      <c r="S2664" t="s">
        <v>21</v>
      </c>
    </row>
    <row r="2665" spans="1:19" hidden="1" x14ac:dyDescent="0.25">
      <c r="A2665">
        <v>21501177</v>
      </c>
      <c r="B2665" t="s">
        <v>26</v>
      </c>
      <c r="C2665" t="s">
        <v>36</v>
      </c>
      <c r="D2665">
        <v>90</v>
      </c>
      <c r="E2665">
        <v>105</v>
      </c>
      <c r="F2665">
        <v>15</v>
      </c>
      <c r="G2665">
        <v>4</v>
      </c>
      <c r="H2665" s="1">
        <v>4.0740740740740737E-3</v>
      </c>
      <c r="I2665">
        <v>2015</v>
      </c>
      <c r="J2665" t="s">
        <v>20</v>
      </c>
      <c r="K2665" s="2" t="str">
        <f>HYPERLINK("https://www.nba.com/stats/events?CFID=&amp;CFPARAMS=&amp;GameEventID=404&amp;GameID=0021501177&amp;Season=2015-16&amp;flag=1&amp;title=Leonard%2025'%203PT%20Pullup%20Jump%20Shot%20(23%20PTS)%20(Green%201%20AST)", "Leonard 25' 3PT Pullup Jump Shot (23 PTS) (Green 1 AST)")</f>
        <v>Leonard 25' 3PT Pullup Jump Shot (23 PTS) (Green 1 AST)</v>
      </c>
      <c r="L2665" s="2" t="str">
        <f>HYPERLINK("https://www.nba.com/game/...-vs-...-0021501177/play-by-play?watchFullGame=true", "SAS vs GSW - Q4 05:52.00")</f>
        <v>SAS vs GSW - Q4 05:52.00</v>
      </c>
      <c r="M2665">
        <v>25</v>
      </c>
      <c r="N2665">
        <v>-30</v>
      </c>
      <c r="O2665">
        <v>247</v>
      </c>
      <c r="P2665">
        <v>-30</v>
      </c>
      <c r="Q2665">
        <v>247</v>
      </c>
      <c r="R2665" t="s">
        <v>21</v>
      </c>
      <c r="S2665" t="s">
        <v>21</v>
      </c>
    </row>
    <row r="2666" spans="1:19" hidden="1" x14ac:dyDescent="0.25">
      <c r="A2666">
        <v>21301154</v>
      </c>
      <c r="B2666" t="s">
        <v>26</v>
      </c>
      <c r="C2666" t="s">
        <v>19</v>
      </c>
      <c r="D2666">
        <v>98</v>
      </c>
      <c r="E2666">
        <v>80</v>
      </c>
      <c r="F2666">
        <v>18</v>
      </c>
      <c r="G2666">
        <v>4</v>
      </c>
      <c r="H2666" s="1">
        <v>4.0856481481481481E-3</v>
      </c>
      <c r="I2666">
        <v>2013</v>
      </c>
      <c r="J2666" t="s">
        <v>20</v>
      </c>
      <c r="K2666" s="2" t="str">
        <f>HYPERLINK("https://www.nba.com/stats/events?CFID=&amp;CFPARAMS=&amp;GameEventID=424&amp;GameID=0021301154&amp;Season=2013-14&amp;flag=1&amp;title=Leonard%2025'%203PT%20Jump%20Shot%20(26%20PTS)%20(Belinelli%204%20AST)", "Leonard 25' 3PT Jump Shot (26 PTS) (Belinelli 4 AST)")</f>
        <v>Leonard 25' 3PT Jump Shot (26 PTS) (Belinelli 4 AST)</v>
      </c>
      <c r="L2666" s="2" t="str">
        <f>HYPERLINK("https://www.nba.com/game/...-vs-...-0021301154/play-by-play?watchFullGame=true", "SAS vs MEM - Q4 05:53.00")</f>
        <v>SAS vs MEM - Q4 05:53.00</v>
      </c>
      <c r="M2666">
        <v>25</v>
      </c>
      <c r="N2666">
        <v>241</v>
      </c>
      <c r="O2666">
        <v>60</v>
      </c>
      <c r="P2666">
        <v>241</v>
      </c>
      <c r="Q2666">
        <v>60</v>
      </c>
      <c r="R2666" t="s">
        <v>21</v>
      </c>
      <c r="S2666" t="s">
        <v>21</v>
      </c>
    </row>
    <row r="2667" spans="1:19" hidden="1" x14ac:dyDescent="0.25">
      <c r="A2667">
        <v>21601085</v>
      </c>
      <c r="B2667" t="s">
        <v>26</v>
      </c>
      <c r="C2667" t="s">
        <v>19</v>
      </c>
      <c r="D2667">
        <v>96</v>
      </c>
      <c r="E2667">
        <v>84</v>
      </c>
      <c r="F2667">
        <v>12</v>
      </c>
      <c r="G2667">
        <v>4</v>
      </c>
      <c r="H2667" s="1">
        <v>4.1087962962962962E-3</v>
      </c>
      <c r="I2667">
        <v>2016</v>
      </c>
      <c r="J2667" t="s">
        <v>20</v>
      </c>
      <c r="K2667" s="2" t="str">
        <f>HYPERLINK("https://www.nba.com/stats/events?CFID=&amp;CFPARAMS=&amp;GameEventID=448&amp;GameID=0021601085&amp;Season=2016-17&amp;flag=1&amp;title=Leonard%2025'%203PT%20Jump%20Shot%20(24%20PTS)%20(Mills%207%20AST)", "Leonard 25' 3PT Jump Shot (24 PTS) (Mills 7 AST)")</f>
        <v>Leonard 25' 3PT Jump Shot (24 PTS) (Mills 7 AST)</v>
      </c>
      <c r="L2667" s="2" t="str">
        <f>HYPERLINK("https://www.nba.com/game/...-vs-...-0021601085/play-by-play?watchFullGame=true", "SAS vs NYK - Q4 05:55.00")</f>
        <v>SAS vs NYK - Q4 05:55.00</v>
      </c>
      <c r="M2667">
        <v>25</v>
      </c>
      <c r="N2667">
        <v>-138</v>
      </c>
      <c r="O2667">
        <v>213</v>
      </c>
      <c r="P2667">
        <v>-138</v>
      </c>
      <c r="Q2667">
        <v>213</v>
      </c>
      <c r="R2667" t="s">
        <v>21</v>
      </c>
      <c r="S2667" t="s">
        <v>21</v>
      </c>
    </row>
    <row r="2668" spans="1:19" hidden="1" x14ac:dyDescent="0.25">
      <c r="A2668">
        <v>21600206</v>
      </c>
      <c r="B2668" t="s">
        <v>26</v>
      </c>
      <c r="C2668" t="s">
        <v>19</v>
      </c>
      <c r="D2668">
        <v>36</v>
      </c>
      <c r="E2668">
        <v>35</v>
      </c>
      <c r="F2668">
        <v>1</v>
      </c>
      <c r="G2668">
        <v>2</v>
      </c>
      <c r="H2668" s="1">
        <v>4.1435185185185186E-3</v>
      </c>
      <c r="I2668">
        <v>2016</v>
      </c>
      <c r="J2668" t="s">
        <v>20</v>
      </c>
      <c r="K2668" s="2" t="str">
        <f>HYPERLINK("https://www.nba.com/stats/events?CFID=&amp;CFPARAMS=&amp;GameEventID=163&amp;GameID=0021600206&amp;Season=2016-17&amp;flag=1&amp;title=Leonard%2025'%203PT%20Jump%20Shot%20(13%20PTS)%20(Green%202%20AST)", "Leonard 25' 3PT Jump Shot (13 PTS) (Green 2 AST)")</f>
        <v>Leonard 25' 3PT Jump Shot (13 PTS) (Green 2 AST)</v>
      </c>
      <c r="L2668" s="2" t="str">
        <f>HYPERLINK("https://www.nba.com/game/...-vs-...-0021600206/play-by-play?watchFullGame=true", "SAS vs DAL - Q2 05:58.00")</f>
        <v>SAS vs DAL - Q2 05:58.00</v>
      </c>
      <c r="M2668">
        <v>25</v>
      </c>
      <c r="N2668">
        <v>192</v>
      </c>
      <c r="O2668">
        <v>164</v>
      </c>
      <c r="P2668">
        <v>192</v>
      </c>
      <c r="Q2668">
        <v>164</v>
      </c>
      <c r="R2668" t="s">
        <v>21</v>
      </c>
      <c r="S2668" t="s">
        <v>21</v>
      </c>
    </row>
    <row r="2669" spans="1:19" hidden="1" x14ac:dyDescent="0.25">
      <c r="A2669">
        <v>21500048</v>
      </c>
      <c r="B2669" t="s">
        <v>26</v>
      </c>
      <c r="C2669" t="s">
        <v>19</v>
      </c>
      <c r="D2669">
        <v>36</v>
      </c>
      <c r="E2669">
        <v>29</v>
      </c>
      <c r="F2669">
        <v>7</v>
      </c>
      <c r="G2669">
        <v>2</v>
      </c>
      <c r="H2669" s="1">
        <v>4.2129629629629626E-3</v>
      </c>
      <c r="I2669">
        <v>2015</v>
      </c>
      <c r="J2669" t="s">
        <v>20</v>
      </c>
      <c r="K2669" s="2" t="str">
        <f>HYPERLINK("https://www.nba.com/stats/events?CFID=&amp;CFPARAMS=&amp;GameEventID=176&amp;GameID=0021500048&amp;Season=2015-16&amp;flag=1&amp;title=Leonard%2025'%203PT%20Jump%20Shot%20(10%20PTS)%20(Parker%201%20AST)", "Leonard 25' 3PT Jump Shot (10 PTS) (Parker 1 AST)")</f>
        <v>Leonard 25' 3PT Jump Shot (10 PTS) (Parker 1 AST)</v>
      </c>
      <c r="L2669" s="2" t="str">
        <f>HYPERLINK("https://www.nba.com/game/...-vs-...-0021500048/play-by-play?watchFullGame=true", "SAS vs NYK - Q2 06:04.00")</f>
        <v>SAS vs NYK - Q2 06:04.00</v>
      </c>
      <c r="M2669">
        <v>25</v>
      </c>
      <c r="N2669">
        <v>-132</v>
      </c>
      <c r="O2669">
        <v>210</v>
      </c>
      <c r="P2669">
        <v>-132</v>
      </c>
      <c r="Q2669">
        <v>210</v>
      </c>
      <c r="R2669" t="s">
        <v>21</v>
      </c>
      <c r="S2669" t="s">
        <v>21</v>
      </c>
    </row>
    <row r="2670" spans="1:19" hidden="1" x14ac:dyDescent="0.25">
      <c r="A2670">
        <v>41800214</v>
      </c>
      <c r="B2670" t="s">
        <v>26</v>
      </c>
      <c r="C2670" t="s">
        <v>36</v>
      </c>
      <c r="D2670">
        <v>18</v>
      </c>
      <c r="E2670">
        <v>11</v>
      </c>
      <c r="F2670">
        <v>7</v>
      </c>
      <c r="G2670">
        <v>1</v>
      </c>
      <c r="H2670" s="1">
        <v>4.2361111111111115E-3</v>
      </c>
      <c r="I2670" t="s">
        <v>60</v>
      </c>
      <c r="J2670" t="s">
        <v>48</v>
      </c>
      <c r="K2670" s="2" t="str">
        <f>HYPERLINK("https://www.nba.com/stats/events?CFID=&amp;CFPARAMS=&amp;GameEventID=63&amp;GameID=0041800214&amp;Season=2018-19&amp;flag=1&amp;title=Leonard%2025'%203PT%20Pullup%20Jump%20Shot%20(7%20PTS)", "Leonard 25' 3PT Pullup Jump Shot (7 PTS)")</f>
        <v>Leonard 25' 3PT Pullup Jump Shot (7 PTS)</v>
      </c>
      <c r="L2670" s="2" t="str">
        <f>HYPERLINK("https://www.nba.com/game/...-vs-...-0041800214/play-by-play?watchFullGame=true", "TOR vs PHI - Q1 06:06.00")</f>
        <v>TOR vs PHI - Q1 06:06.00</v>
      </c>
      <c r="M2670">
        <v>25</v>
      </c>
      <c r="N2670">
        <v>126</v>
      </c>
      <c r="O2670">
        <v>219</v>
      </c>
      <c r="P2670">
        <v>126</v>
      </c>
      <c r="Q2670">
        <v>219</v>
      </c>
      <c r="R2670" t="s">
        <v>21</v>
      </c>
      <c r="S2670" t="s">
        <v>21</v>
      </c>
    </row>
    <row r="2671" spans="1:19" hidden="1" x14ac:dyDescent="0.25">
      <c r="A2671">
        <v>21800983</v>
      </c>
      <c r="B2671" t="s">
        <v>26</v>
      </c>
      <c r="C2671" t="s">
        <v>19</v>
      </c>
      <c r="D2671">
        <v>45</v>
      </c>
      <c r="E2671">
        <v>43</v>
      </c>
      <c r="F2671">
        <v>2</v>
      </c>
      <c r="G2671">
        <v>2</v>
      </c>
      <c r="H2671" s="1">
        <v>4.2708333333333331E-3</v>
      </c>
      <c r="I2671">
        <v>2018</v>
      </c>
      <c r="J2671" t="s">
        <v>48</v>
      </c>
      <c r="K2671" s="2" t="str">
        <f>HYPERLINK("https://www.nba.com/stats/events?CFID=&amp;CFPARAMS=&amp;GameEventID=245&amp;GameID=0021800983&amp;Season=2018-19&amp;flag=1&amp;title=Leonard%2025'%203PT%20Jump%20Shot%20(20%20PTS)%20(McCaw%201%20AST)", "Leonard 25' 3PT Jump Shot (20 PTS) (McCaw 1 AST)")</f>
        <v>Leonard 25' 3PT Jump Shot (20 PTS) (McCaw 1 AST)</v>
      </c>
      <c r="L2671" s="2" t="str">
        <f>HYPERLINK("https://www.nba.com/game/...-vs-...-0021800983/play-by-play?watchFullGame=true", "TOR vs NOP - Q2 06:09.00")</f>
        <v>TOR vs NOP - Q2 06:09.00</v>
      </c>
      <c r="M2671">
        <v>25</v>
      </c>
      <c r="N2671">
        <v>148</v>
      </c>
      <c r="O2671">
        <v>201</v>
      </c>
      <c r="P2671">
        <v>148</v>
      </c>
      <c r="Q2671">
        <v>201</v>
      </c>
      <c r="R2671" t="s">
        <v>21</v>
      </c>
      <c r="S2671" t="s">
        <v>21</v>
      </c>
    </row>
    <row r="2672" spans="1:19" hidden="1" x14ac:dyDescent="0.25">
      <c r="A2672">
        <v>21500516</v>
      </c>
      <c r="B2672" t="s">
        <v>26</v>
      </c>
      <c r="C2672" t="s">
        <v>19</v>
      </c>
      <c r="D2672">
        <v>9</v>
      </c>
      <c r="E2672">
        <v>15</v>
      </c>
      <c r="F2672">
        <v>6</v>
      </c>
      <c r="G2672">
        <v>1</v>
      </c>
      <c r="H2672" s="1">
        <v>4.2939814814814811E-3</v>
      </c>
      <c r="I2672">
        <v>2015</v>
      </c>
      <c r="J2672" t="s">
        <v>20</v>
      </c>
      <c r="K2672" s="2" t="str">
        <f>HYPERLINK("https://www.nba.com/stats/events?CFID=&amp;CFPARAMS=&amp;GameEventID=59&amp;GameID=0021500516&amp;Season=2015-16&amp;flag=1&amp;title=Leonard%2025'%203PT%20Jump%20Shot%20(5%20PTS)%20(Duncan%201%20AST)", "Leonard 25' 3PT Jump Shot (5 PTS) (Duncan 1 AST)")</f>
        <v>Leonard 25' 3PT Jump Shot (5 PTS) (Duncan 1 AST)</v>
      </c>
      <c r="L2672" s="2" t="str">
        <f>HYPERLINK("https://www.nba.com/game/...-vs-...-0021500516/play-by-play?watchFullGame=true", "SAS vs MIL - Q1 06:11.00")</f>
        <v>SAS vs MIL - Q1 06:11.00</v>
      </c>
      <c r="M2672">
        <v>25</v>
      </c>
      <c r="N2672">
        <v>150</v>
      </c>
      <c r="O2672">
        <v>203</v>
      </c>
      <c r="P2672">
        <v>150</v>
      </c>
      <c r="Q2672">
        <v>203</v>
      </c>
      <c r="R2672" t="s">
        <v>21</v>
      </c>
      <c r="S2672" t="s">
        <v>21</v>
      </c>
    </row>
    <row r="2673" spans="1:19" hidden="1" x14ac:dyDescent="0.25">
      <c r="A2673">
        <v>21500516</v>
      </c>
      <c r="B2673" t="s">
        <v>26</v>
      </c>
      <c r="C2673" t="s">
        <v>19</v>
      </c>
      <c r="D2673">
        <v>109</v>
      </c>
      <c r="E2673">
        <v>86</v>
      </c>
      <c r="F2673">
        <v>23</v>
      </c>
      <c r="G2673">
        <v>4</v>
      </c>
      <c r="H2673" s="1">
        <v>4.3055555555555555E-3</v>
      </c>
      <c r="I2673">
        <v>2015</v>
      </c>
      <c r="J2673" t="s">
        <v>20</v>
      </c>
      <c r="K2673" s="2" t="str">
        <f>HYPERLINK("https://www.nba.com/stats/events?CFID=&amp;CFPARAMS=&amp;GameEventID=486&amp;GameID=0021500516&amp;Season=2015-16&amp;flag=1&amp;title=Leonard%2025'%203PT%20Jump%20Shot%20(24%20PTS)", "Leonard 25' 3PT Jump Shot (24 PTS)")</f>
        <v>Leonard 25' 3PT Jump Shot (24 PTS)</v>
      </c>
      <c r="L2673" s="2" t="str">
        <f>HYPERLINK("https://www.nba.com/game/...-vs-...-0021500516/play-by-play?watchFullGame=true", "SAS vs MIL - Q4 06:12.00")</f>
        <v>SAS vs MIL - Q4 06:12.00</v>
      </c>
      <c r="M2673">
        <v>25</v>
      </c>
      <c r="N2673">
        <v>166</v>
      </c>
      <c r="O2673">
        <v>193</v>
      </c>
      <c r="P2673">
        <v>166</v>
      </c>
      <c r="Q2673">
        <v>193</v>
      </c>
      <c r="R2673" t="s">
        <v>21</v>
      </c>
      <c r="S2673" t="s">
        <v>21</v>
      </c>
    </row>
    <row r="2674" spans="1:19" hidden="1" x14ac:dyDescent="0.25">
      <c r="A2674">
        <v>21500854</v>
      </c>
      <c r="B2674" t="s">
        <v>26</v>
      </c>
      <c r="C2674" t="s">
        <v>19</v>
      </c>
      <c r="D2674">
        <v>96</v>
      </c>
      <c r="E2674">
        <v>76</v>
      </c>
      <c r="F2674">
        <v>20</v>
      </c>
      <c r="G2674">
        <v>4</v>
      </c>
      <c r="H2674" s="1">
        <v>4.3750000000000004E-3</v>
      </c>
      <c r="I2674">
        <v>2015</v>
      </c>
      <c r="J2674" t="s">
        <v>20</v>
      </c>
      <c r="K2674" s="2" t="str">
        <f>HYPERLINK("https://www.nba.com/stats/events?CFID=&amp;CFPARAMS=&amp;GameEventID=432&amp;GameID=0021500854&amp;Season=2015-16&amp;flag=1&amp;title=Leonard%2025'%203PT%20Jump%20Shot%20(17%20PTS)%20(Diaw%207%20AST)", "Leonard 25' 3PT Jump Shot (17 PTS) (Diaw 7 AST)")</f>
        <v>Leonard 25' 3PT Jump Shot (17 PTS) (Diaw 7 AST)</v>
      </c>
      <c r="L2674" s="2" t="str">
        <f>HYPERLINK("https://www.nba.com/game/...-vs-...-0021500854/play-by-play?watchFullGame=true", "SAS vs SAC - Q4 06:18.00")</f>
        <v>SAS vs SAC - Q4 06:18.00</v>
      </c>
      <c r="M2674">
        <v>25</v>
      </c>
      <c r="N2674">
        <v>-207</v>
      </c>
      <c r="O2674">
        <v>144</v>
      </c>
      <c r="P2674">
        <v>-207</v>
      </c>
      <c r="Q2674">
        <v>144</v>
      </c>
      <c r="R2674" t="s">
        <v>21</v>
      </c>
      <c r="S2674" t="s">
        <v>21</v>
      </c>
    </row>
    <row r="2675" spans="1:19" hidden="1" x14ac:dyDescent="0.25">
      <c r="A2675">
        <v>21500393</v>
      </c>
      <c r="B2675" t="s">
        <v>26</v>
      </c>
      <c r="C2675" t="s">
        <v>19</v>
      </c>
      <c r="D2675">
        <v>12</v>
      </c>
      <c r="E2675">
        <v>14</v>
      </c>
      <c r="F2675">
        <v>2</v>
      </c>
      <c r="G2675">
        <v>1</v>
      </c>
      <c r="H2675" s="1">
        <v>4.386574074074074E-3</v>
      </c>
      <c r="I2675">
        <v>2015</v>
      </c>
      <c r="J2675" t="s">
        <v>20</v>
      </c>
      <c r="K2675" s="2" t="str">
        <f>HYPERLINK("https://www.nba.com/stats/events?CFID=&amp;CFPARAMS=&amp;GameEventID=42&amp;GameID=0021500393&amp;Season=2015-16&amp;flag=1&amp;title=Leonard%2025'%203PT%20Jump%20Shot%20(4%20PTS)%20(Parker%201%20AST)", "Leonard 25' 3PT Jump Shot (4 PTS) (Parker 1 AST)")</f>
        <v>Leonard 25' 3PT Jump Shot (4 PTS) (Parker 1 AST)</v>
      </c>
      <c r="L2675" s="2" t="str">
        <f>HYPERLINK("https://www.nba.com/game/...-vs-...-0021500393/play-by-play?watchFullGame=true", "SAS vs LAC - Q1 06:19.00")</f>
        <v>SAS vs LAC - Q1 06:19.00</v>
      </c>
      <c r="M2675">
        <v>25</v>
      </c>
      <c r="N2675">
        <v>174</v>
      </c>
      <c r="O2675">
        <v>183</v>
      </c>
      <c r="P2675">
        <v>174</v>
      </c>
      <c r="Q2675">
        <v>183</v>
      </c>
      <c r="R2675" t="s">
        <v>21</v>
      </c>
      <c r="S2675" t="s">
        <v>21</v>
      </c>
    </row>
    <row r="2676" spans="1:19" hidden="1" x14ac:dyDescent="0.25">
      <c r="A2676">
        <v>21600625</v>
      </c>
      <c r="B2676" t="s">
        <v>26</v>
      </c>
      <c r="C2676" t="s">
        <v>19</v>
      </c>
      <c r="D2676">
        <v>110</v>
      </c>
      <c r="E2676">
        <v>98</v>
      </c>
      <c r="F2676">
        <v>12</v>
      </c>
      <c r="G2676">
        <v>4</v>
      </c>
      <c r="H2676" s="1">
        <v>4.3981481481481484E-3</v>
      </c>
      <c r="I2676">
        <v>2016</v>
      </c>
      <c r="J2676" t="s">
        <v>20</v>
      </c>
      <c r="K2676" s="2" t="str">
        <f>HYPERLINK("https://www.nba.com/stats/events?CFID=&amp;CFPARAMS=&amp;GameEventID=502&amp;GameID=0021600625&amp;Season=2016-17&amp;flag=1&amp;title=Leonard%2025'%203PT%20Jump%20Shot%20(32%20PTS)%20(Aldridge%202%20AST)", "Leonard 25' 3PT Jump Shot (32 PTS) (Aldridge 2 AST)")</f>
        <v>Leonard 25' 3PT Jump Shot (32 PTS) (Aldridge 2 AST)</v>
      </c>
      <c r="L2676" s="2" t="str">
        <f>HYPERLINK("https://www.nba.com/game/...-vs-...-0021600625/play-by-play?watchFullGame=true", "SAS vs MIN - Q4 06:20.00")</f>
        <v>SAS vs MIN - Q4 06:20.00</v>
      </c>
      <c r="M2676">
        <v>25</v>
      </c>
      <c r="N2676">
        <v>-158</v>
      </c>
      <c r="O2676">
        <v>198</v>
      </c>
      <c r="P2676">
        <v>-158</v>
      </c>
      <c r="Q2676">
        <v>198</v>
      </c>
      <c r="R2676" t="s">
        <v>21</v>
      </c>
      <c r="S2676" t="s">
        <v>21</v>
      </c>
    </row>
    <row r="2677" spans="1:19" hidden="1" x14ac:dyDescent="0.25">
      <c r="A2677">
        <v>41300225</v>
      </c>
      <c r="B2677" t="s">
        <v>26</v>
      </c>
      <c r="C2677" t="s">
        <v>19</v>
      </c>
      <c r="D2677">
        <v>37</v>
      </c>
      <c r="E2677">
        <v>28</v>
      </c>
      <c r="F2677">
        <v>9</v>
      </c>
      <c r="G2677">
        <v>2</v>
      </c>
      <c r="H2677" s="1">
        <v>4.3981481481481484E-3</v>
      </c>
      <c r="I2677" t="s">
        <v>55</v>
      </c>
      <c r="J2677" t="s">
        <v>20</v>
      </c>
      <c r="K2677" s="2" t="str">
        <f>HYPERLINK("https://www.nba.com/stats/events?CFID=&amp;CFPARAMS=&amp;GameEventID=189&amp;GameID=0041300225&amp;Season=2013-14&amp;flag=1&amp;title=Leonard%2025'%203PT%20Jump%20Shot%20(10%20PTS)%20(Mills%201%20AST)", "Leonard 25' 3PT Jump Shot (10 PTS) (Mills 1 AST)")</f>
        <v>Leonard 25' 3PT Jump Shot (10 PTS) (Mills 1 AST)</v>
      </c>
      <c r="L2677" s="2" t="str">
        <f>HYPERLINK("https://www.nba.com/game/...-vs-...-0041300225/play-by-play?watchFullGame=true", "SAS vs POR - Q2 06:20.00")</f>
        <v>SAS vs POR - Q2 06:20.00</v>
      </c>
      <c r="M2677">
        <v>25</v>
      </c>
      <c r="N2677">
        <v>190</v>
      </c>
      <c r="O2677">
        <v>170</v>
      </c>
      <c r="P2677">
        <v>190</v>
      </c>
      <c r="Q2677">
        <v>170</v>
      </c>
      <c r="R2677" t="s">
        <v>21</v>
      </c>
      <c r="S2677" t="s">
        <v>21</v>
      </c>
    </row>
    <row r="2678" spans="1:19" hidden="1" x14ac:dyDescent="0.25">
      <c r="A2678">
        <v>21400624</v>
      </c>
      <c r="B2678" t="s">
        <v>26</v>
      </c>
      <c r="C2678" t="s">
        <v>19</v>
      </c>
      <c r="D2678">
        <v>64</v>
      </c>
      <c r="E2678">
        <v>62</v>
      </c>
      <c r="F2678">
        <v>2</v>
      </c>
      <c r="G2678">
        <v>3</v>
      </c>
      <c r="H2678" s="1">
        <v>4.4560185185185189E-3</v>
      </c>
      <c r="I2678">
        <v>2014</v>
      </c>
      <c r="J2678" t="s">
        <v>20</v>
      </c>
      <c r="K2678" s="2" t="str">
        <f>HYPERLINK("https://www.nba.com/stats/events?CFID=&amp;CFPARAMS=&amp;GameEventID=317&amp;GameID=0021400624&amp;Season=2014-15&amp;flag=1&amp;title=Leonard%2025'%203PT%20Jump%20Shot%20(7%20PTS)%20(Ginobili%202%20AST)", "Leonard 25' 3PT Jump Shot (7 PTS) (Ginobili 2 AST)")</f>
        <v>Leonard 25' 3PT Jump Shot (7 PTS) (Ginobili 2 AST)</v>
      </c>
      <c r="L2678" s="2" t="str">
        <f>HYPERLINK("https://www.nba.com/game/...-vs-...-0021400624/play-by-play?watchFullGame=true", "SAS vs DEN - Q3 06:25.00")</f>
        <v>SAS vs DEN - Q3 06:25.00</v>
      </c>
      <c r="M2678">
        <v>25</v>
      </c>
      <c r="N2678">
        <v>-198</v>
      </c>
      <c r="O2678">
        <v>148</v>
      </c>
      <c r="P2678">
        <v>-198</v>
      </c>
      <c r="Q2678">
        <v>148</v>
      </c>
      <c r="R2678" t="s">
        <v>21</v>
      </c>
      <c r="S2678" t="s">
        <v>21</v>
      </c>
    </row>
    <row r="2679" spans="1:19" hidden="1" x14ac:dyDescent="0.25">
      <c r="A2679">
        <v>21600225</v>
      </c>
      <c r="B2679" t="s">
        <v>26</v>
      </c>
      <c r="C2679" t="s">
        <v>19</v>
      </c>
      <c r="D2679">
        <v>33</v>
      </c>
      <c r="E2679">
        <v>38</v>
      </c>
      <c r="F2679">
        <v>5</v>
      </c>
      <c r="G2679">
        <v>2</v>
      </c>
      <c r="H2679" s="1">
        <v>4.4560185185185189E-3</v>
      </c>
      <c r="I2679">
        <v>2016</v>
      </c>
      <c r="J2679" t="s">
        <v>20</v>
      </c>
      <c r="K2679" s="2" t="str">
        <f>HYPERLINK("https://www.nba.com/stats/events?CFID=&amp;CFPARAMS=&amp;GameEventID=166&amp;GameID=0021600225&amp;Season=2016-17&amp;flag=1&amp;title=Leonard%2025'%203PT%20Jump%20Shot%20(8%20PTS)%20(Parker%203%20AST)", "Leonard 25' 3PT Jump Shot (8 PTS) (Parker 3 AST)")</f>
        <v>Leonard 25' 3PT Jump Shot (8 PTS) (Parker 3 AST)</v>
      </c>
      <c r="L2679" s="2" t="str">
        <f>HYPERLINK("https://www.nba.com/game/...-vs-...-0021600225/play-by-play?watchFullGame=true", "SAS vs BOS - Q2 06:25.00")</f>
        <v>SAS vs BOS - Q2 06:25.00</v>
      </c>
      <c r="M2679">
        <v>25</v>
      </c>
      <c r="N2679">
        <v>-147</v>
      </c>
      <c r="O2679">
        <v>205</v>
      </c>
      <c r="P2679">
        <v>-147</v>
      </c>
      <c r="Q2679">
        <v>205</v>
      </c>
      <c r="R2679" t="s">
        <v>21</v>
      </c>
      <c r="S2679" t="s">
        <v>21</v>
      </c>
    </row>
    <row r="2680" spans="1:19" hidden="1" x14ac:dyDescent="0.25">
      <c r="A2680">
        <v>21800930</v>
      </c>
      <c r="B2680" t="s">
        <v>26</v>
      </c>
      <c r="C2680" t="s">
        <v>19</v>
      </c>
      <c r="D2680">
        <v>44</v>
      </c>
      <c r="E2680">
        <v>39</v>
      </c>
      <c r="F2680">
        <v>5</v>
      </c>
      <c r="G2680">
        <v>2</v>
      </c>
      <c r="H2680" s="1">
        <v>4.4675925925925924E-3</v>
      </c>
      <c r="I2680">
        <v>2018</v>
      </c>
      <c r="J2680" t="s">
        <v>48</v>
      </c>
      <c r="K2680" s="2" t="str">
        <f>HYPERLINK("https://www.nba.com/stats/events?CFID=&amp;CFPARAMS=&amp;GameEventID=224&amp;GameID=0021800930&amp;Season=2018-19&amp;flag=1&amp;title=Leonard%2025'%203PT%20Jump%20Shot%20(14%20PTS)%20(Gasol%203%20AST)", "Leonard 25' 3PT Jump Shot (14 PTS) (Gasol 3 AST)")</f>
        <v>Leonard 25' 3PT Jump Shot (14 PTS) (Gasol 3 AST)</v>
      </c>
      <c r="L2680" s="2" t="str">
        <f>HYPERLINK("https://www.nba.com/game/...-vs-...-0021800930/play-by-play?watchFullGame=true", "TOR vs POR - Q2 06:26.00")</f>
        <v>TOR vs POR - Q2 06:26.00</v>
      </c>
      <c r="M2680">
        <v>25</v>
      </c>
      <c r="N2680">
        <v>-198</v>
      </c>
      <c r="O2680">
        <v>158</v>
      </c>
      <c r="P2680">
        <v>-198</v>
      </c>
      <c r="Q2680">
        <v>158</v>
      </c>
      <c r="R2680" t="s">
        <v>21</v>
      </c>
      <c r="S2680" t="s">
        <v>21</v>
      </c>
    </row>
    <row r="2681" spans="1:19" hidden="1" x14ac:dyDescent="0.25">
      <c r="A2681">
        <v>41300402</v>
      </c>
      <c r="B2681" t="s">
        <v>26</v>
      </c>
      <c r="C2681" t="s">
        <v>19</v>
      </c>
      <c r="D2681">
        <v>60</v>
      </c>
      <c r="E2681">
        <v>56</v>
      </c>
      <c r="F2681">
        <v>4</v>
      </c>
      <c r="G2681">
        <v>3</v>
      </c>
      <c r="H2681" s="1">
        <v>4.5370370370370373E-3</v>
      </c>
      <c r="I2681" t="s">
        <v>55</v>
      </c>
      <c r="J2681" t="s">
        <v>20</v>
      </c>
      <c r="K2681" s="2" t="str">
        <f>HYPERLINK("https://www.nba.com/stats/events?CFID=&amp;CFPARAMS=&amp;GameEventID=298&amp;GameID=0041300402&amp;Season=2013-14&amp;flag=1&amp;title=Leonard%2025'%203PT%20Jump%20Shot%20(9%20PTS)%20(Diaw%203%20AST)", "Leonard 25' 3PT Jump Shot (9 PTS) (Diaw 3 AST)")</f>
        <v>Leonard 25' 3PT Jump Shot (9 PTS) (Diaw 3 AST)</v>
      </c>
      <c r="L2681" s="2" t="str">
        <f>HYPERLINK("https://www.nba.com/game/...-vs-...-0041300402/play-by-play?watchFullGame=true", "SAS vs MIA - Q3 06:32.00")</f>
        <v>SAS vs MIA - Q3 06:32.00</v>
      </c>
      <c r="M2681">
        <v>25</v>
      </c>
      <c r="N2681">
        <v>-188</v>
      </c>
      <c r="O2681">
        <v>168</v>
      </c>
      <c r="P2681">
        <v>-188</v>
      </c>
      <c r="Q2681">
        <v>168</v>
      </c>
      <c r="R2681" t="s">
        <v>21</v>
      </c>
      <c r="S2681" t="s">
        <v>21</v>
      </c>
    </row>
    <row r="2682" spans="1:19" hidden="1" x14ac:dyDescent="0.25">
      <c r="A2682">
        <v>21600114</v>
      </c>
      <c r="B2682" t="s">
        <v>26</v>
      </c>
      <c r="C2682" t="s">
        <v>19</v>
      </c>
      <c r="D2682">
        <v>93</v>
      </c>
      <c r="E2682">
        <v>96</v>
      </c>
      <c r="F2682">
        <v>3</v>
      </c>
      <c r="G2682">
        <v>4</v>
      </c>
      <c r="H2682" s="1">
        <v>4.5486111111111109E-3</v>
      </c>
      <c r="I2682">
        <v>2016</v>
      </c>
      <c r="J2682" t="s">
        <v>20</v>
      </c>
      <c r="K2682" s="2" t="str">
        <f>HYPERLINK("https://www.nba.com/stats/events?CFID=&amp;CFPARAMS=&amp;GameEventID=492&amp;GameID=0021600114&amp;Season=2016-17&amp;flag=1&amp;title=Leonard%2025'%203PT%20Jump%20Shot%20(30%20PTS)%20(Mills%209%20AST)", "Leonard 25' 3PT Jump Shot (30 PTS) (Mills 9 AST)")</f>
        <v>Leonard 25' 3PT Jump Shot (30 PTS) (Mills 9 AST)</v>
      </c>
      <c r="L2682" s="2" t="str">
        <f>HYPERLINK("https://www.nba.com/game/...-vs-...-0021600114/play-by-play?watchFullGame=true", "SAS vs HOU - Q4 06:33.00")</f>
        <v>SAS vs HOU - Q4 06:33.00</v>
      </c>
      <c r="M2682">
        <v>25</v>
      </c>
      <c r="N2682">
        <v>156</v>
      </c>
      <c r="O2682">
        <v>200</v>
      </c>
      <c r="P2682">
        <v>156</v>
      </c>
      <c r="Q2682">
        <v>200</v>
      </c>
      <c r="R2682" t="s">
        <v>21</v>
      </c>
      <c r="S2682" t="s">
        <v>21</v>
      </c>
    </row>
    <row r="2683" spans="1:19" hidden="1" x14ac:dyDescent="0.25">
      <c r="A2683">
        <v>21600639</v>
      </c>
      <c r="B2683" t="s">
        <v>26</v>
      </c>
      <c r="C2683" t="s">
        <v>19</v>
      </c>
      <c r="D2683">
        <v>9</v>
      </c>
      <c r="E2683">
        <v>10</v>
      </c>
      <c r="F2683">
        <v>1</v>
      </c>
      <c r="G2683">
        <v>1</v>
      </c>
      <c r="H2683" s="1">
        <v>4.5833333333333334E-3</v>
      </c>
      <c r="I2683">
        <v>2016</v>
      </c>
      <c r="J2683" t="s">
        <v>20</v>
      </c>
      <c r="K2683" s="2" t="str">
        <f>HYPERLINK("https://www.nba.com/stats/events?CFID=&amp;CFPARAMS=&amp;GameEventID=48&amp;GameID=0021600639&amp;Season=2016-17&amp;flag=1&amp;title=Leonard%2025'%203PT%20Jump%20Shot%20(3%20PTS)%20(Aldridge%201%20AST)", "Leonard 25' 3PT Jump Shot (3 PTS) (Aldridge 1 AST)")</f>
        <v>Leonard 25' 3PT Jump Shot (3 PTS) (Aldridge 1 AST)</v>
      </c>
      <c r="L2683" s="2" t="str">
        <f>HYPERLINK("https://www.nba.com/game/...-vs-...-0021600639/play-by-play?watchFullGame=true", "SAS vs DEN - Q1 06:36.00")</f>
        <v>SAS vs DEN - Q1 06:36.00</v>
      </c>
      <c r="M2683">
        <v>25</v>
      </c>
      <c r="N2683">
        <v>-14</v>
      </c>
      <c r="O2683">
        <v>247</v>
      </c>
      <c r="P2683">
        <v>-14</v>
      </c>
      <c r="Q2683">
        <v>247</v>
      </c>
      <c r="R2683" t="s">
        <v>21</v>
      </c>
      <c r="S2683" t="s">
        <v>21</v>
      </c>
    </row>
    <row r="2684" spans="1:19" hidden="1" x14ac:dyDescent="0.25">
      <c r="A2684">
        <v>21300194</v>
      </c>
      <c r="B2684" t="s">
        <v>26</v>
      </c>
      <c r="C2684" t="s">
        <v>19</v>
      </c>
      <c r="D2684">
        <v>49</v>
      </c>
      <c r="E2684">
        <v>26</v>
      </c>
      <c r="F2684">
        <v>23</v>
      </c>
      <c r="G2684">
        <v>2</v>
      </c>
      <c r="H2684" s="1">
        <v>4.5949074074074078E-3</v>
      </c>
      <c r="I2684">
        <v>2013</v>
      </c>
      <c r="J2684" t="s">
        <v>20</v>
      </c>
      <c r="K2684" s="2" t="str">
        <f>HYPERLINK("https://www.nba.com/stats/events?CFID=&amp;CFPARAMS=&amp;GameEventID=167&amp;GameID=0021300194&amp;Season=2013-14&amp;flag=1&amp;title=Leonard%2025'%203PT%20Jump%20Shot%20(5%20PTS)%20(Belinelli%202%20AST)", "Leonard 25' 3PT Jump Shot (5 PTS) (Belinelli 2 AST)")</f>
        <v>Leonard 25' 3PT Jump Shot (5 PTS) (Belinelli 2 AST)</v>
      </c>
      <c r="L2684" s="2" t="str">
        <f>HYPERLINK("https://www.nba.com/game/...-vs-...-0021300194/play-by-play?watchFullGame=true", "SAS vs CLE - Q2 06:37.00")</f>
        <v>SAS vs CLE - Q2 06:37.00</v>
      </c>
      <c r="M2684">
        <v>25</v>
      </c>
      <c r="N2684">
        <v>181</v>
      </c>
      <c r="O2684">
        <v>176</v>
      </c>
      <c r="P2684">
        <v>181</v>
      </c>
      <c r="Q2684">
        <v>176</v>
      </c>
      <c r="R2684" t="s">
        <v>21</v>
      </c>
      <c r="S2684" t="s">
        <v>21</v>
      </c>
    </row>
    <row r="2685" spans="1:19" hidden="1" x14ac:dyDescent="0.25">
      <c r="A2685">
        <v>21500431</v>
      </c>
      <c r="B2685" t="s">
        <v>26</v>
      </c>
      <c r="C2685" t="s">
        <v>19</v>
      </c>
      <c r="D2685">
        <v>94</v>
      </c>
      <c r="E2685">
        <v>72</v>
      </c>
      <c r="F2685">
        <v>22</v>
      </c>
      <c r="G2685">
        <v>4</v>
      </c>
      <c r="H2685" s="1">
        <v>4.6296296296296294E-3</v>
      </c>
      <c r="I2685">
        <v>2015</v>
      </c>
      <c r="J2685" t="s">
        <v>20</v>
      </c>
      <c r="K2685" s="2" t="str">
        <f>HYPERLINK("https://www.nba.com/stats/events?CFID=&amp;CFPARAMS=&amp;GameEventID=408&amp;GameID=0021500431&amp;Season=2015-16&amp;flag=1&amp;title=Leonard%2025'%203PT%20Jump%20Shot%20(17%20PTS)%20(Parker%206%20AST)", "Leonard 25' 3PT Jump Shot (17 PTS) (Parker 6 AST)")</f>
        <v>Leonard 25' 3PT Jump Shot (17 PTS) (Parker 6 AST)</v>
      </c>
      <c r="L2685" s="2" t="str">
        <f>HYPERLINK("https://www.nba.com/game/...-vs-...-0021500431/play-by-play?watchFullGame=true", "SAS vs MIN - Q4 06:40.00")</f>
        <v>SAS vs MIN - Q4 06:40.00</v>
      </c>
      <c r="M2685">
        <v>25</v>
      </c>
      <c r="N2685">
        <v>-156</v>
      </c>
      <c r="O2685">
        <v>195</v>
      </c>
      <c r="P2685">
        <v>-156</v>
      </c>
      <c r="Q2685">
        <v>195</v>
      </c>
      <c r="R2685" t="s">
        <v>21</v>
      </c>
      <c r="S2685" t="s">
        <v>21</v>
      </c>
    </row>
    <row r="2686" spans="1:19" hidden="1" x14ac:dyDescent="0.25">
      <c r="A2686">
        <v>41300142</v>
      </c>
      <c r="B2686" t="s">
        <v>26</v>
      </c>
      <c r="C2686" t="s">
        <v>19</v>
      </c>
      <c r="D2686">
        <v>81</v>
      </c>
      <c r="E2686">
        <v>101</v>
      </c>
      <c r="F2686">
        <v>20</v>
      </c>
      <c r="G2686">
        <v>4</v>
      </c>
      <c r="H2686" s="1">
        <v>4.7800925925925927E-3</v>
      </c>
      <c r="I2686" t="s">
        <v>55</v>
      </c>
      <c r="J2686" t="s">
        <v>20</v>
      </c>
      <c r="K2686" s="2" t="str">
        <f>HYPERLINK("https://www.nba.com/stats/events?CFID=&amp;CFPARAMS=&amp;GameEventID=426&amp;GameID=0041300142&amp;Season=2013-14&amp;flag=1&amp;title=Leonard%2025'%203PT%20Jump%20Shot%20(6%20PTS)%20(Ginobili%204%20AST)", "Leonard 25' 3PT Jump Shot (6 PTS) (Ginobili 4 AST)")</f>
        <v>Leonard 25' 3PT Jump Shot (6 PTS) (Ginobili 4 AST)</v>
      </c>
      <c r="L2686" s="2" t="str">
        <f>HYPERLINK("https://www.nba.com/game/...-vs-...-0041300142/play-by-play?watchFullGame=true", "SAS vs DAL - Q4 06:53.00")</f>
        <v>SAS vs DAL - Q4 06:53.00</v>
      </c>
      <c r="M2686">
        <v>25</v>
      </c>
      <c r="N2686">
        <v>77</v>
      </c>
      <c r="O2686">
        <v>238</v>
      </c>
      <c r="P2686">
        <v>77</v>
      </c>
      <c r="Q2686">
        <v>238</v>
      </c>
      <c r="R2686" t="s">
        <v>21</v>
      </c>
      <c r="S2686" t="s">
        <v>21</v>
      </c>
    </row>
    <row r="2687" spans="1:19" hidden="1" x14ac:dyDescent="0.25">
      <c r="A2687">
        <v>21500516</v>
      </c>
      <c r="B2687" t="s">
        <v>26</v>
      </c>
      <c r="C2687" t="s">
        <v>19</v>
      </c>
      <c r="D2687">
        <v>74</v>
      </c>
      <c r="E2687">
        <v>58</v>
      </c>
      <c r="F2687">
        <v>16</v>
      </c>
      <c r="G2687">
        <v>3</v>
      </c>
      <c r="H2687" s="1">
        <v>4.7800925925925927E-3</v>
      </c>
      <c r="I2687">
        <v>2015</v>
      </c>
      <c r="J2687" t="s">
        <v>20</v>
      </c>
      <c r="K2687" s="2" t="str">
        <f>HYPERLINK("https://www.nba.com/stats/events?CFID=&amp;CFPARAMS=&amp;GameEventID=338&amp;GameID=0021500516&amp;Season=2015-16&amp;flag=1&amp;title=Leonard%2025'%203PT%20Jump%20Shot%20(18%20PTS)", "Leonard 25' 3PT Jump Shot (18 PTS)")</f>
        <v>Leonard 25' 3PT Jump Shot (18 PTS)</v>
      </c>
      <c r="L2687" s="2" t="str">
        <f>HYPERLINK("https://www.nba.com/game/...-vs-...-0021500516/play-by-play?watchFullGame=true", "SAS vs MIL - Q3 06:53.00")</f>
        <v>SAS vs MIL - Q3 06:53.00</v>
      </c>
      <c r="M2687">
        <v>25</v>
      </c>
      <c r="N2687">
        <v>197</v>
      </c>
      <c r="O2687">
        <v>160</v>
      </c>
      <c r="P2687">
        <v>197</v>
      </c>
      <c r="Q2687">
        <v>160</v>
      </c>
      <c r="R2687" t="s">
        <v>21</v>
      </c>
      <c r="S2687" t="s">
        <v>21</v>
      </c>
    </row>
    <row r="2688" spans="1:19" hidden="1" x14ac:dyDescent="0.25">
      <c r="A2688">
        <v>21600902</v>
      </c>
      <c r="B2688" t="s">
        <v>26</v>
      </c>
      <c r="C2688" t="s">
        <v>19</v>
      </c>
      <c r="D2688">
        <v>58</v>
      </c>
      <c r="E2688">
        <v>58</v>
      </c>
      <c r="F2688">
        <v>0</v>
      </c>
      <c r="G2688">
        <v>3</v>
      </c>
      <c r="H2688" s="1">
        <v>4.8032407407407407E-3</v>
      </c>
      <c r="I2688">
        <v>2016</v>
      </c>
      <c r="J2688" t="s">
        <v>20</v>
      </c>
      <c r="K2688" s="2" t="str">
        <f>HYPERLINK("https://www.nba.com/stats/events?CFID=&amp;CFPARAMS=&amp;GameEventID=320&amp;GameID=0021600902&amp;Season=2016-17&amp;flag=1&amp;title=Leonard%2025'%203PT%20Jump%20Shot%20(20%20PTS)%20(Mills%204%20AST)", "Leonard 25' 3PT Jump Shot (20 PTS) (Mills 4 AST)")</f>
        <v>Leonard 25' 3PT Jump Shot (20 PTS) (Mills 4 AST)</v>
      </c>
      <c r="L2688" s="2" t="str">
        <f>HYPERLINK("https://www.nba.com/game/...-vs-...-0021600902/play-by-play?watchFullGame=true", "SAS vs IND - Q3 06:55.00")</f>
        <v>SAS vs IND - Q3 06:55.00</v>
      </c>
      <c r="M2688">
        <v>25</v>
      </c>
      <c r="N2688">
        <v>173</v>
      </c>
      <c r="O2688">
        <v>178</v>
      </c>
      <c r="P2688">
        <v>173</v>
      </c>
      <c r="Q2688">
        <v>178</v>
      </c>
      <c r="R2688" t="s">
        <v>21</v>
      </c>
      <c r="S2688" t="s">
        <v>21</v>
      </c>
    </row>
    <row r="2689" spans="1:19" hidden="1" x14ac:dyDescent="0.25">
      <c r="A2689">
        <v>21601042</v>
      </c>
      <c r="B2689" t="s">
        <v>26</v>
      </c>
      <c r="C2689" t="s">
        <v>19</v>
      </c>
      <c r="D2689">
        <v>38</v>
      </c>
      <c r="E2689">
        <v>34</v>
      </c>
      <c r="F2689">
        <v>4</v>
      </c>
      <c r="G2689">
        <v>2</v>
      </c>
      <c r="H2689" s="1">
        <v>4.8148148148148152E-3</v>
      </c>
      <c r="I2689">
        <v>2016</v>
      </c>
      <c r="J2689" t="s">
        <v>20</v>
      </c>
      <c r="K2689" s="2" t="str">
        <f>HYPERLINK("https://www.nba.com/stats/events?CFID=&amp;CFPARAMS=&amp;GameEventID=193&amp;GameID=0021601042&amp;Season=2016-17&amp;flag=1&amp;title=Leonard%2025'%203PT%20Jump%20Shot%20(8%20PTS)%20(Parker%201%20AST)", "Leonard 25' 3PT Jump Shot (8 PTS) (Parker 1 AST)")</f>
        <v>Leonard 25' 3PT Jump Shot (8 PTS) (Parker 1 AST)</v>
      </c>
      <c r="L2689" s="2" t="str">
        <f>HYPERLINK("https://www.nba.com/game/...-vs-...-0021601042/play-by-play?watchFullGame=true", "SAS vs SAC - Q2 06:56.00")</f>
        <v>SAS vs SAC - Q2 06:56.00</v>
      </c>
      <c r="M2689">
        <v>25</v>
      </c>
      <c r="N2689">
        <v>166</v>
      </c>
      <c r="O2689">
        <v>185</v>
      </c>
      <c r="P2689">
        <v>166</v>
      </c>
      <c r="Q2689">
        <v>185</v>
      </c>
      <c r="R2689" t="s">
        <v>21</v>
      </c>
      <c r="S2689" t="s">
        <v>21</v>
      </c>
    </row>
    <row r="2690" spans="1:19" hidden="1" x14ac:dyDescent="0.25">
      <c r="A2690">
        <v>21500726</v>
      </c>
      <c r="B2690" t="s">
        <v>26</v>
      </c>
      <c r="C2690" t="s">
        <v>19</v>
      </c>
      <c r="D2690">
        <v>19</v>
      </c>
      <c r="E2690">
        <v>4</v>
      </c>
      <c r="F2690">
        <v>15</v>
      </c>
      <c r="G2690">
        <v>1</v>
      </c>
      <c r="H2690" s="1">
        <v>4.8495370370370368E-3</v>
      </c>
      <c r="I2690">
        <v>2015</v>
      </c>
      <c r="J2690" t="s">
        <v>20</v>
      </c>
      <c r="K2690" s="2" t="str">
        <f>HYPERLINK("https://www.nba.com/stats/events?CFID=&amp;CFPARAMS=&amp;GameEventID=53&amp;GameID=0021500726&amp;Season=2015-16&amp;flag=1&amp;title=Leonard%2025'%203PT%20Jump%20Shot%20(6%20PTS)%20(Parker%201%20AST)", "Leonard 25' 3PT Jump Shot (6 PTS) (Parker 1 AST)")</f>
        <v>Leonard 25' 3PT Jump Shot (6 PTS) (Parker 1 AST)</v>
      </c>
      <c r="L2690" s="2" t="str">
        <f>HYPERLINK("https://www.nba.com/game/...-vs-...-0021500726/play-by-play?watchFullGame=true", "SAS vs ORL - Q1 06:59.00")</f>
        <v>SAS vs ORL - Q1 06:59.00</v>
      </c>
      <c r="M2690">
        <v>25</v>
      </c>
      <c r="N2690">
        <v>-63</v>
      </c>
      <c r="O2690">
        <v>237</v>
      </c>
      <c r="P2690">
        <v>-63</v>
      </c>
      <c r="Q2690">
        <v>237</v>
      </c>
      <c r="R2690" t="s">
        <v>21</v>
      </c>
      <c r="S2690" t="s">
        <v>21</v>
      </c>
    </row>
    <row r="2691" spans="1:19" hidden="1" x14ac:dyDescent="0.25">
      <c r="A2691">
        <v>21700502</v>
      </c>
      <c r="B2691" t="s">
        <v>26</v>
      </c>
      <c r="C2691" t="s">
        <v>19</v>
      </c>
      <c r="D2691">
        <v>13</v>
      </c>
      <c r="E2691">
        <v>6</v>
      </c>
      <c r="F2691">
        <v>7</v>
      </c>
      <c r="G2691">
        <v>1</v>
      </c>
      <c r="H2691" s="1">
        <v>4.9074074074074072E-3</v>
      </c>
      <c r="I2691">
        <v>2017</v>
      </c>
      <c r="J2691" t="s">
        <v>20</v>
      </c>
      <c r="K2691" s="2" t="str">
        <f>HYPERLINK("https://www.nba.com/stats/events?CFID=&amp;CFPARAMS=&amp;GameEventID=47&amp;GameID=0021700502&amp;Season=2017-18&amp;flag=1&amp;title=Leonard%2025'%203PT%20Jump%20Shot%20(7%20PTS)%20(Aldridge%201%20AST)", "Leonard 25' 3PT Jump Shot (7 PTS) (Aldridge 1 AST)")</f>
        <v>Leonard 25' 3PT Jump Shot (7 PTS) (Aldridge 1 AST)</v>
      </c>
      <c r="L2691" s="2" t="str">
        <f>HYPERLINK("https://www.nba.com/game/...-vs-...-0021700502/play-by-play?watchFullGame=true", "SAS vs BKN - Q1 07:04.00")</f>
        <v>SAS vs BKN - Q1 07:04.00</v>
      </c>
      <c r="M2691">
        <v>25</v>
      </c>
      <c r="N2691">
        <v>11</v>
      </c>
      <c r="O2691">
        <v>251</v>
      </c>
      <c r="P2691">
        <v>11</v>
      </c>
      <c r="Q2691">
        <v>251</v>
      </c>
      <c r="R2691" t="s">
        <v>21</v>
      </c>
      <c r="S2691" t="s">
        <v>21</v>
      </c>
    </row>
    <row r="2692" spans="1:19" hidden="1" x14ac:dyDescent="0.25">
      <c r="A2692">
        <v>21500481</v>
      </c>
      <c r="B2692" t="s">
        <v>26</v>
      </c>
      <c r="C2692" t="s">
        <v>19</v>
      </c>
      <c r="D2692">
        <v>71</v>
      </c>
      <c r="E2692">
        <v>42</v>
      </c>
      <c r="F2692">
        <v>29</v>
      </c>
      <c r="G2692">
        <v>3</v>
      </c>
      <c r="H2692" s="1">
        <v>4.9421296296296297E-3</v>
      </c>
      <c r="I2692">
        <v>2015</v>
      </c>
      <c r="J2692" t="s">
        <v>20</v>
      </c>
      <c r="K2692" s="2" t="str">
        <f>HYPERLINK("https://www.nba.com/stats/events?CFID=&amp;CFPARAMS=&amp;GameEventID=292&amp;GameID=0021500481&amp;Season=2015-16&amp;flag=1&amp;title=Leonard%2025'%203PT%20Jump%20Shot%20(15%20PTS)%20(Aldridge%202%20AST)", "Leonard 25' 3PT Jump Shot (15 PTS) (Aldridge 2 AST)")</f>
        <v>Leonard 25' 3PT Jump Shot (15 PTS) (Aldridge 2 AST)</v>
      </c>
      <c r="L2692" s="2" t="str">
        <f>HYPERLINK("https://www.nba.com/game/...-vs-...-0021500481/play-by-play?watchFullGame=true", "SAS vs PHX - Q3 07:07.00")</f>
        <v>SAS vs PHX - Q3 07:07.00</v>
      </c>
      <c r="M2692">
        <v>25</v>
      </c>
      <c r="N2692">
        <v>-138</v>
      </c>
      <c r="O2692">
        <v>210</v>
      </c>
      <c r="P2692">
        <v>-138</v>
      </c>
      <c r="Q2692">
        <v>210</v>
      </c>
      <c r="R2692" t="s">
        <v>21</v>
      </c>
      <c r="S2692" t="s">
        <v>21</v>
      </c>
    </row>
    <row r="2693" spans="1:19" hidden="1" x14ac:dyDescent="0.25">
      <c r="A2693">
        <v>21301030</v>
      </c>
      <c r="B2693" t="s">
        <v>26</v>
      </c>
      <c r="C2693" t="s">
        <v>19</v>
      </c>
      <c r="D2693">
        <v>13</v>
      </c>
      <c r="E2693">
        <v>6</v>
      </c>
      <c r="F2693">
        <v>7</v>
      </c>
      <c r="G2693">
        <v>1</v>
      </c>
      <c r="H2693" s="1">
        <v>4.9421296296296297E-3</v>
      </c>
      <c r="I2693">
        <v>2013</v>
      </c>
      <c r="J2693" t="s">
        <v>20</v>
      </c>
      <c r="K2693" s="2" t="str">
        <f>HYPERLINK("https://www.nba.com/stats/events?CFID=&amp;CFPARAMS=&amp;GameEventID=37&amp;GameID=0021301030&amp;Season=2013-14&amp;flag=1&amp;title=Leonard%2025'%203PT%20Jump%20Shot%20(7%20PTS)%20(Duncan%201%20AST)", "Leonard 25' 3PT Jump Shot (7 PTS) (Duncan 1 AST)")</f>
        <v>Leonard 25' 3PT Jump Shot (7 PTS) (Duncan 1 AST)</v>
      </c>
      <c r="L2693" s="2" t="str">
        <f>HYPERLINK("https://www.nba.com/game/...-vs-...-0021301030/play-by-play?watchFullGame=true", "SAS vs SAC - Q1 07:07.00")</f>
        <v>SAS vs SAC - Q1 07:07.00</v>
      </c>
      <c r="M2693">
        <v>25</v>
      </c>
      <c r="N2693">
        <v>196</v>
      </c>
      <c r="O2693">
        <v>154</v>
      </c>
      <c r="P2693">
        <v>196</v>
      </c>
      <c r="Q2693">
        <v>154</v>
      </c>
      <c r="R2693" t="s">
        <v>21</v>
      </c>
      <c r="S2693" t="s">
        <v>21</v>
      </c>
    </row>
    <row r="2694" spans="1:19" hidden="1" x14ac:dyDescent="0.25">
      <c r="A2694">
        <v>21600225</v>
      </c>
      <c r="B2694" t="s">
        <v>26</v>
      </c>
      <c r="C2694" t="s">
        <v>36</v>
      </c>
      <c r="D2694">
        <v>89</v>
      </c>
      <c r="E2694">
        <v>84</v>
      </c>
      <c r="F2694">
        <v>5</v>
      </c>
      <c r="G2694">
        <v>4</v>
      </c>
      <c r="H2694" s="1">
        <v>5.0462962962962961E-3</v>
      </c>
      <c r="I2694">
        <v>2016</v>
      </c>
      <c r="J2694" t="s">
        <v>20</v>
      </c>
      <c r="K2694" s="2" t="str">
        <f>HYPERLINK("https://www.nba.com/stats/events?CFID=&amp;CFPARAMS=&amp;GameEventID=416&amp;GameID=0021600225&amp;Season=2016-17&amp;flag=1&amp;title=Leonard%2025'%203PT%20Pullup%20Jump%20Shot%20(19%20PTS)", "Leonard 25' 3PT Pullup Jump Shot (19 PTS)")</f>
        <v>Leonard 25' 3PT Pullup Jump Shot (19 PTS)</v>
      </c>
      <c r="L2694" s="2" t="str">
        <f>HYPERLINK("https://www.nba.com/game/...-vs-...-0021600225/play-by-play?watchFullGame=true", "SAS vs BOS - Q4 07:16.00")</f>
        <v>SAS vs BOS - Q4 07:16.00</v>
      </c>
      <c r="M2694">
        <v>25</v>
      </c>
      <c r="N2694">
        <v>-30</v>
      </c>
      <c r="O2694">
        <v>249</v>
      </c>
      <c r="P2694">
        <v>-30</v>
      </c>
      <c r="Q2694">
        <v>249</v>
      </c>
      <c r="R2694" t="s">
        <v>21</v>
      </c>
      <c r="S2694" t="s">
        <v>21</v>
      </c>
    </row>
    <row r="2695" spans="1:19" hidden="1" x14ac:dyDescent="0.25">
      <c r="A2695">
        <v>21500280</v>
      </c>
      <c r="B2695" t="s">
        <v>26</v>
      </c>
      <c r="C2695" t="s">
        <v>19</v>
      </c>
      <c r="D2695">
        <v>32</v>
      </c>
      <c r="E2695">
        <v>25</v>
      </c>
      <c r="F2695">
        <v>7</v>
      </c>
      <c r="G2695">
        <v>2</v>
      </c>
      <c r="H2695" s="1">
        <v>5.0694444444444441E-3</v>
      </c>
      <c r="I2695">
        <v>2015</v>
      </c>
      <c r="J2695" t="s">
        <v>20</v>
      </c>
      <c r="K2695" s="2" t="str">
        <f>HYPERLINK("https://www.nba.com/stats/events?CFID=&amp;CFPARAMS=&amp;GameEventID=173&amp;GameID=0021500280&amp;Season=2015-16&amp;flag=1&amp;title=Leonard%2025'%203PT%20Jump%20Shot%20(5%20PTS)%20(Duncan%202%20AST)", "Leonard 25' 3PT Jump Shot (5 PTS) (Duncan 2 AST)")</f>
        <v>Leonard 25' 3PT Jump Shot (5 PTS) (Duncan 2 AST)</v>
      </c>
      <c r="L2695" s="2" t="str">
        <f>HYPERLINK("https://www.nba.com/game/...-vs-...-0021500280/play-by-play?watchFullGame=true", "SAS vs MEM - Q2 07:18.00")</f>
        <v>SAS vs MEM - Q2 07:18.00</v>
      </c>
      <c r="M2695">
        <v>25</v>
      </c>
      <c r="N2695">
        <v>150</v>
      </c>
      <c r="O2695">
        <v>203</v>
      </c>
      <c r="P2695">
        <v>150</v>
      </c>
      <c r="Q2695">
        <v>203</v>
      </c>
      <c r="R2695" t="s">
        <v>21</v>
      </c>
      <c r="S2695" t="s">
        <v>21</v>
      </c>
    </row>
    <row r="2696" spans="1:19" hidden="1" x14ac:dyDescent="0.25">
      <c r="A2696">
        <v>21600558</v>
      </c>
      <c r="B2696" t="s">
        <v>26</v>
      </c>
      <c r="C2696" t="s">
        <v>19</v>
      </c>
      <c r="D2696">
        <v>35</v>
      </c>
      <c r="E2696">
        <v>33</v>
      </c>
      <c r="F2696">
        <v>2</v>
      </c>
      <c r="G2696">
        <v>2</v>
      </c>
      <c r="H2696" s="1">
        <v>5.0810185185185186E-3</v>
      </c>
      <c r="I2696">
        <v>2016</v>
      </c>
      <c r="J2696" t="s">
        <v>20</v>
      </c>
      <c r="K2696" s="2" t="str">
        <f>HYPERLINK("https://www.nba.com/stats/events?CFID=&amp;CFPARAMS=&amp;GameEventID=157&amp;GameID=0021600558&amp;Season=2016-17&amp;flag=1&amp;title=Leonard%2025'%203PT%20Jump%20Shot%20(11%20PTS)%20(Parker%201%20AST)", "Leonard 25' 3PT Jump Shot (11 PTS) (Parker 1 AST)")</f>
        <v>Leonard 25' 3PT Jump Shot (11 PTS) (Parker 1 AST)</v>
      </c>
      <c r="L2696" s="2" t="str">
        <f>HYPERLINK("https://www.nba.com/game/...-vs-...-0021600558/play-by-play?watchFullGame=true", "SAS vs CHA - Q2 07:19.00")</f>
        <v>SAS vs CHA - Q2 07:19.00</v>
      </c>
      <c r="M2696">
        <v>25</v>
      </c>
      <c r="N2696">
        <v>146</v>
      </c>
      <c r="O2696">
        <v>200</v>
      </c>
      <c r="P2696">
        <v>146</v>
      </c>
      <c r="Q2696">
        <v>200</v>
      </c>
      <c r="R2696" t="s">
        <v>21</v>
      </c>
      <c r="S2696" t="s">
        <v>21</v>
      </c>
    </row>
    <row r="2697" spans="1:19" hidden="1" x14ac:dyDescent="0.25">
      <c r="A2697">
        <v>21500242</v>
      </c>
      <c r="B2697" t="s">
        <v>26</v>
      </c>
      <c r="C2697" t="s">
        <v>19</v>
      </c>
      <c r="D2697">
        <v>11</v>
      </c>
      <c r="E2697">
        <v>3</v>
      </c>
      <c r="F2697">
        <v>8</v>
      </c>
      <c r="G2697">
        <v>1</v>
      </c>
      <c r="H2697" s="1">
        <v>5.092592592592593E-3</v>
      </c>
      <c r="I2697">
        <v>2015</v>
      </c>
      <c r="J2697" t="s">
        <v>20</v>
      </c>
      <c r="K2697" s="2" t="str">
        <f>HYPERLINK("https://www.nba.com/stats/events?CFID=&amp;CFPARAMS=&amp;GameEventID=40&amp;GameID=0021500242&amp;Season=2015-16&amp;flag=1&amp;title=Leonard%2025'%203PT%20Jump%20Shot%20(3%20PTS)%20(Duncan%202%20AST)", "Leonard 25' 3PT Jump Shot (3 PTS) (Duncan 2 AST)")</f>
        <v>Leonard 25' 3PT Jump Shot (3 PTS) (Duncan 2 AST)</v>
      </c>
      <c r="L2697" s="2" t="str">
        <f>HYPERLINK("https://www.nba.com/game/...-vs-...-0021500242/play-by-play?watchFullGame=true", "SAS vs ATL - Q1 07:20.00")</f>
        <v>SAS vs ATL - Q1 07:20.00</v>
      </c>
      <c r="M2697">
        <v>25</v>
      </c>
      <c r="N2697">
        <v>-241</v>
      </c>
      <c r="O2697">
        <v>52</v>
      </c>
      <c r="P2697">
        <v>-241</v>
      </c>
      <c r="Q2697">
        <v>52</v>
      </c>
      <c r="R2697" t="s">
        <v>21</v>
      </c>
      <c r="S2697" t="s">
        <v>21</v>
      </c>
    </row>
    <row r="2698" spans="1:19" hidden="1" x14ac:dyDescent="0.25">
      <c r="A2698">
        <v>21300859</v>
      </c>
      <c r="B2698" t="s">
        <v>26</v>
      </c>
      <c r="C2698" t="s">
        <v>19</v>
      </c>
      <c r="D2698">
        <v>13</v>
      </c>
      <c r="E2698">
        <v>9</v>
      </c>
      <c r="F2698">
        <v>4</v>
      </c>
      <c r="G2698">
        <v>1</v>
      </c>
      <c r="H2698" s="1">
        <v>5.1041666666666666E-3</v>
      </c>
      <c r="I2698">
        <v>2013</v>
      </c>
      <c r="J2698" t="s">
        <v>20</v>
      </c>
      <c r="K2698" s="2" t="str">
        <f>HYPERLINK("https://www.nba.com/stats/events?CFID=&amp;CFPARAMS=&amp;GameEventID=58&amp;GameID=0021300859&amp;Season=2013-14&amp;flag=1&amp;title=Leonard%2025'%203PT%20Jump%20Shot%20(5%20PTS)%20(Joseph%201%20AST)", "Leonard 25' 3PT Jump Shot (5 PTS) (Joseph 1 AST)")</f>
        <v>Leonard 25' 3PT Jump Shot (5 PTS) (Joseph 1 AST)</v>
      </c>
      <c r="L2698" s="2" t="str">
        <f>HYPERLINK("https://www.nba.com/game/...-vs-...-0021300859/play-by-play?watchFullGame=true", "SAS vs DET - Q1 07:21.00")</f>
        <v>SAS vs DET - Q1 07:21.00</v>
      </c>
      <c r="M2698">
        <v>25</v>
      </c>
      <c r="N2698">
        <v>-134</v>
      </c>
      <c r="O2698">
        <v>209</v>
      </c>
      <c r="P2698">
        <v>-134</v>
      </c>
      <c r="Q2698">
        <v>209</v>
      </c>
      <c r="R2698" t="s">
        <v>21</v>
      </c>
      <c r="S2698" t="s">
        <v>21</v>
      </c>
    </row>
    <row r="2699" spans="1:19" hidden="1" x14ac:dyDescent="0.25">
      <c r="A2699">
        <v>41400163</v>
      </c>
      <c r="B2699" t="s">
        <v>26</v>
      </c>
      <c r="C2699" t="s">
        <v>19</v>
      </c>
      <c r="D2699">
        <v>59</v>
      </c>
      <c r="E2699">
        <v>43</v>
      </c>
      <c r="F2699">
        <v>16</v>
      </c>
      <c r="G2699">
        <v>3</v>
      </c>
      <c r="H2699" s="1">
        <v>5.1273148148148146E-3</v>
      </c>
      <c r="I2699" t="s">
        <v>56</v>
      </c>
      <c r="J2699" t="s">
        <v>20</v>
      </c>
      <c r="K2699" s="2" t="str">
        <f>HYPERLINK("https://www.nba.com/stats/events?CFID=&amp;CFPARAMS=&amp;GameEventID=273&amp;GameID=0041400163&amp;Season=2014-15&amp;flag=1&amp;title=Leonard%2025'%203PT%20Jump%20Shot%20(27%20PTS)%20(Parker%203%20AST)", "Leonard 25' 3PT Jump Shot (27 PTS) (Parker 3 AST)")</f>
        <v>Leonard 25' 3PT Jump Shot (27 PTS) (Parker 3 AST)</v>
      </c>
      <c r="L2699" s="2" t="str">
        <f>HYPERLINK("https://www.nba.com/game/...-vs-...-0041400163/play-by-play?watchFullGame=true", "SAS vs LAC - Q3 07:23.00")</f>
        <v>SAS vs LAC - Q3 07:23.00</v>
      </c>
      <c r="M2699">
        <v>25</v>
      </c>
      <c r="N2699">
        <v>185</v>
      </c>
      <c r="O2699">
        <v>175</v>
      </c>
      <c r="P2699">
        <v>185</v>
      </c>
      <c r="Q2699">
        <v>175</v>
      </c>
      <c r="R2699" t="s">
        <v>21</v>
      </c>
      <c r="S2699" t="s">
        <v>21</v>
      </c>
    </row>
    <row r="2700" spans="1:19" hidden="1" x14ac:dyDescent="0.25">
      <c r="A2700">
        <v>41500231</v>
      </c>
      <c r="B2700" t="s">
        <v>26</v>
      </c>
      <c r="C2700" t="s">
        <v>19</v>
      </c>
      <c r="D2700">
        <v>56</v>
      </c>
      <c r="E2700">
        <v>28</v>
      </c>
      <c r="F2700">
        <v>28</v>
      </c>
      <c r="G2700">
        <v>2</v>
      </c>
      <c r="H2700" s="1">
        <v>5.138888888888889E-3</v>
      </c>
      <c r="I2700" t="s">
        <v>57</v>
      </c>
      <c r="J2700" t="s">
        <v>20</v>
      </c>
      <c r="K2700" s="2" t="str">
        <f>HYPERLINK("https://www.nba.com/stats/events?CFID=&amp;CFPARAMS=&amp;GameEventID=172&amp;GameID=0041500231&amp;Season=2015-16&amp;flag=1&amp;title=Leonard%2025'%203PT%20Jump%20Shot%20(15%20PTS)%20(Diaw%202%20AST)", "Leonard 25' 3PT Jump Shot (15 PTS) (Diaw 2 AST)")</f>
        <v>Leonard 25' 3PT Jump Shot (15 PTS) (Diaw 2 AST)</v>
      </c>
      <c r="L2700" s="2" t="str">
        <f>HYPERLINK("https://www.nba.com/game/...-vs-...-0041500231/play-by-play?watchFullGame=true", "SAS vs OKC - Q2 07:24.00")</f>
        <v>SAS vs OKC - Q2 07:24.00</v>
      </c>
      <c r="M2700">
        <v>25</v>
      </c>
      <c r="N2700">
        <v>53</v>
      </c>
      <c r="O2700">
        <v>249</v>
      </c>
      <c r="P2700">
        <v>53</v>
      </c>
      <c r="Q2700">
        <v>249</v>
      </c>
      <c r="R2700" t="s">
        <v>21</v>
      </c>
      <c r="S2700" t="s">
        <v>21</v>
      </c>
    </row>
    <row r="2701" spans="1:19" hidden="1" x14ac:dyDescent="0.25">
      <c r="A2701">
        <v>21501063</v>
      </c>
      <c r="B2701" t="s">
        <v>26</v>
      </c>
      <c r="C2701" t="s">
        <v>36</v>
      </c>
      <c r="D2701">
        <v>12</v>
      </c>
      <c r="E2701">
        <v>4</v>
      </c>
      <c r="F2701">
        <v>8</v>
      </c>
      <c r="G2701">
        <v>1</v>
      </c>
      <c r="H2701" s="1">
        <v>5.1736111111111115E-3</v>
      </c>
      <c r="I2701">
        <v>2015</v>
      </c>
      <c r="J2701" t="s">
        <v>20</v>
      </c>
      <c r="K2701" s="2" t="str">
        <f>HYPERLINK("https://www.nba.com/stats/events?CFID=&amp;CFPARAMS=&amp;GameEventID=34&amp;GameID=0021501063&amp;Season=2015-16&amp;flag=1&amp;title=Leonard%2025'%203PT%20Pullup%20Jump%20Shot%20(8%20PTS)", "Leonard 25' 3PT Pullup Jump Shot (8 PTS)")</f>
        <v>Leonard 25' 3PT Pullup Jump Shot (8 PTS)</v>
      </c>
      <c r="L2701" s="2" t="str">
        <f>HYPERLINK("https://www.nba.com/game/...-vs-...-0021501063/play-by-play?watchFullGame=true", "SAS vs MIA - Q1 07:27.00")</f>
        <v>SAS vs MIA - Q1 07:27.00</v>
      </c>
      <c r="M2701">
        <v>25</v>
      </c>
      <c r="N2701">
        <v>-168</v>
      </c>
      <c r="O2701">
        <v>185</v>
      </c>
      <c r="P2701">
        <v>-168</v>
      </c>
      <c r="Q2701">
        <v>185</v>
      </c>
      <c r="R2701" t="s">
        <v>21</v>
      </c>
      <c r="S2701" t="s">
        <v>21</v>
      </c>
    </row>
    <row r="2702" spans="1:19" hidden="1" x14ac:dyDescent="0.25">
      <c r="A2702">
        <v>21501177</v>
      </c>
      <c r="B2702" t="s">
        <v>26</v>
      </c>
      <c r="C2702" t="s">
        <v>36</v>
      </c>
      <c r="D2702">
        <v>24</v>
      </c>
      <c r="E2702">
        <v>36</v>
      </c>
      <c r="F2702">
        <v>12</v>
      </c>
      <c r="G2702">
        <v>2</v>
      </c>
      <c r="H2702" s="1">
        <v>5.2546296296296299E-3</v>
      </c>
      <c r="I2702">
        <v>2015</v>
      </c>
      <c r="J2702" t="s">
        <v>20</v>
      </c>
      <c r="K2702" s="2" t="str">
        <f>HYPERLINK("https://www.nba.com/stats/events?CFID=&amp;CFPARAMS=&amp;GameEventID=159&amp;GameID=0021501177&amp;Season=2015-16&amp;flag=1&amp;title=Leonard%2025'%203PT%20Pullup%20Jump%20Shot%20(8%20PTS)%20(Aldridge%201%20AST)", "Leonard 25' 3PT Pullup Jump Shot (8 PTS) (Aldridge 1 AST)")</f>
        <v>Leonard 25' 3PT Pullup Jump Shot (8 PTS) (Aldridge 1 AST)</v>
      </c>
      <c r="L2702" s="2" t="str">
        <f>HYPERLINK("https://www.nba.com/game/...-vs-...-0021501177/play-by-play?watchFullGame=true", "SAS vs GSW - Q2 07:34.00")</f>
        <v>SAS vs GSW - Q2 07:34.00</v>
      </c>
      <c r="M2702">
        <v>25</v>
      </c>
      <c r="N2702">
        <v>-114</v>
      </c>
      <c r="O2702">
        <v>219</v>
      </c>
      <c r="P2702">
        <v>-114</v>
      </c>
      <c r="Q2702">
        <v>219</v>
      </c>
      <c r="R2702" t="s">
        <v>21</v>
      </c>
      <c r="S2702" t="s">
        <v>21</v>
      </c>
    </row>
    <row r="2703" spans="1:19" hidden="1" x14ac:dyDescent="0.25">
      <c r="A2703">
        <v>41800115</v>
      </c>
      <c r="B2703" t="s">
        <v>26</v>
      </c>
      <c r="C2703" t="s">
        <v>19</v>
      </c>
      <c r="D2703">
        <v>47</v>
      </c>
      <c r="E2703">
        <v>29</v>
      </c>
      <c r="F2703">
        <v>18</v>
      </c>
      <c r="G2703">
        <v>2</v>
      </c>
      <c r="H2703" s="1">
        <v>5.324074074074074E-3</v>
      </c>
      <c r="I2703" t="s">
        <v>60</v>
      </c>
      <c r="J2703" t="s">
        <v>48</v>
      </c>
      <c r="K2703" s="2" t="str">
        <f>HYPERLINK("https://www.nba.com/stats/events?CFID=&amp;CFPARAMS=&amp;GameEventID=214&amp;GameID=0041800115&amp;Season=2018-19&amp;flag=1&amp;title=Leonard%2025'%203PT%20Jump%20Shot%20(10%20PTS)%20(Lowry%204%20AST)", "Leonard 25' 3PT Jump Shot (10 PTS) (Lowry 4 AST)")</f>
        <v>Leonard 25' 3PT Jump Shot (10 PTS) (Lowry 4 AST)</v>
      </c>
      <c r="L2703" s="2" t="str">
        <f>HYPERLINK("https://www.nba.com/game/...-vs-...-0041800115/play-by-play?watchFullGame=true", "TOR vs ORL - Q2 07:40.00")</f>
        <v>TOR vs ORL - Q2 07:40.00</v>
      </c>
      <c r="M2703">
        <v>25</v>
      </c>
      <c r="N2703">
        <v>-175</v>
      </c>
      <c r="O2703">
        <v>181</v>
      </c>
      <c r="P2703">
        <v>-175</v>
      </c>
      <c r="Q2703">
        <v>181</v>
      </c>
      <c r="R2703" t="s">
        <v>21</v>
      </c>
      <c r="S2703" t="s">
        <v>21</v>
      </c>
    </row>
    <row r="2704" spans="1:19" hidden="1" x14ac:dyDescent="0.25">
      <c r="A2704">
        <v>21700550</v>
      </c>
      <c r="B2704" t="s">
        <v>26</v>
      </c>
      <c r="C2704" t="s">
        <v>19</v>
      </c>
      <c r="D2704">
        <v>60</v>
      </c>
      <c r="E2704">
        <v>59</v>
      </c>
      <c r="F2704">
        <v>1</v>
      </c>
      <c r="G2704">
        <v>3</v>
      </c>
      <c r="H2704" s="1">
        <v>5.37037037037037E-3</v>
      </c>
      <c r="I2704">
        <v>2017</v>
      </c>
      <c r="J2704" t="s">
        <v>20</v>
      </c>
      <c r="K2704" s="2" t="str">
        <f>HYPERLINK("https://www.nba.com/stats/events?CFID=&amp;CFPARAMS=&amp;GameEventID=365&amp;GameID=0021700550&amp;Season=2017-18&amp;flag=1&amp;title=Leonard%2025'%203PT%20Jump%20Shot%20(18%20PTS)%20(Aldridge%202%20AST)", "Leonard 25' 3PT Jump Shot (18 PTS) (Aldridge 2 AST)")</f>
        <v>Leonard 25' 3PT Jump Shot (18 PTS) (Aldridge 2 AST)</v>
      </c>
      <c r="L2704" s="2" t="str">
        <f>HYPERLINK("https://www.nba.com/game/...-vs-...-0021700550/play-by-play?watchFullGame=true", "SAS vs NYK - Q3 07:44.00")</f>
        <v>SAS vs NYK - Q3 07:44.00</v>
      </c>
      <c r="M2704">
        <v>25</v>
      </c>
      <c r="N2704">
        <v>57</v>
      </c>
      <c r="O2704">
        <v>247</v>
      </c>
      <c r="P2704">
        <v>57</v>
      </c>
      <c r="Q2704">
        <v>247</v>
      </c>
      <c r="R2704" t="s">
        <v>21</v>
      </c>
      <c r="S2704" t="s">
        <v>21</v>
      </c>
    </row>
    <row r="2705" spans="1:19" hidden="1" x14ac:dyDescent="0.25">
      <c r="A2705">
        <v>21500860</v>
      </c>
      <c r="B2705" t="s">
        <v>26</v>
      </c>
      <c r="C2705" t="s">
        <v>19</v>
      </c>
      <c r="D2705">
        <v>76</v>
      </c>
      <c r="E2705">
        <v>65</v>
      </c>
      <c r="F2705">
        <v>11</v>
      </c>
      <c r="G2705">
        <v>4</v>
      </c>
      <c r="H2705" s="1">
        <v>5.4166666666666669E-3</v>
      </c>
      <c r="I2705">
        <v>2015</v>
      </c>
      <c r="J2705" t="s">
        <v>20</v>
      </c>
      <c r="K2705" s="2" t="str">
        <f>HYPERLINK("https://www.nba.com/stats/events?CFID=&amp;CFPARAMS=&amp;GameEventID=370&amp;GameID=0021500860&amp;Season=2015-16&amp;flag=1&amp;title=Leonard%2025'%203PT%20Jump%20Shot%20(24%20PTS)%20(Parker%205%20AST)", "Leonard 25' 3PT Jump Shot (24 PTS) (Parker 5 AST)")</f>
        <v>Leonard 25' 3PT Jump Shot (24 PTS) (Parker 5 AST)</v>
      </c>
      <c r="L2705" s="2" t="str">
        <f>HYPERLINK("https://www.nba.com/game/...-vs-...-0021500860/play-by-play?watchFullGame=true", "SAS vs UTA - Q4 07:48.00")</f>
        <v>SAS vs UTA - Q4 07:48.00</v>
      </c>
      <c r="M2705">
        <v>25</v>
      </c>
      <c r="N2705">
        <v>-99</v>
      </c>
      <c r="O2705">
        <v>228</v>
      </c>
      <c r="P2705">
        <v>-99</v>
      </c>
      <c r="Q2705">
        <v>228</v>
      </c>
      <c r="R2705" t="s">
        <v>21</v>
      </c>
      <c r="S2705" t="s">
        <v>21</v>
      </c>
    </row>
    <row r="2706" spans="1:19" hidden="1" x14ac:dyDescent="0.25">
      <c r="A2706">
        <v>21300170</v>
      </c>
      <c r="B2706" t="s">
        <v>26</v>
      </c>
      <c r="C2706" t="s">
        <v>19</v>
      </c>
      <c r="D2706">
        <v>61</v>
      </c>
      <c r="E2706">
        <v>52</v>
      </c>
      <c r="F2706">
        <v>9</v>
      </c>
      <c r="G2706">
        <v>3</v>
      </c>
      <c r="H2706" s="1">
        <v>5.4513888888888893E-3</v>
      </c>
      <c r="I2706">
        <v>2013</v>
      </c>
      <c r="J2706" t="s">
        <v>20</v>
      </c>
      <c r="K2706" s="2" t="str">
        <f>HYPERLINK("https://www.nba.com/stats/events?CFID=&amp;CFPARAMS=&amp;GameEventID=281&amp;GameID=0021300170&amp;Season=2013-14&amp;flag=1&amp;title=Leonard%2025'%203PT%20Jump%20Shot%20(14%20PTS)%20(Bonner%201%20AST)", "Leonard 25' 3PT Jump Shot (14 PTS) (Bonner 1 AST)")</f>
        <v>Leonard 25' 3PT Jump Shot (14 PTS) (Bonner 1 AST)</v>
      </c>
      <c r="L2706" s="2" t="str">
        <f>HYPERLINK("https://www.nba.com/game/...-vs-...-0021300170/play-by-play?watchFullGame=true", "SAS vs BOS - Q3 07:51.00")</f>
        <v>SAS vs BOS - Q3 07:51.00</v>
      </c>
      <c r="M2706">
        <v>25</v>
      </c>
      <c r="N2706">
        <v>-155</v>
      </c>
      <c r="O2706">
        <v>200</v>
      </c>
      <c r="P2706">
        <v>-155</v>
      </c>
      <c r="Q2706">
        <v>200</v>
      </c>
      <c r="R2706" t="s">
        <v>21</v>
      </c>
      <c r="S2706" t="s">
        <v>21</v>
      </c>
    </row>
    <row r="2707" spans="1:19" hidden="1" x14ac:dyDescent="0.25">
      <c r="A2707">
        <v>21500590</v>
      </c>
      <c r="B2707" t="s">
        <v>26</v>
      </c>
      <c r="C2707" t="s">
        <v>19</v>
      </c>
      <c r="D2707">
        <v>57</v>
      </c>
      <c r="E2707">
        <v>55</v>
      </c>
      <c r="F2707">
        <v>2</v>
      </c>
      <c r="G2707">
        <v>3</v>
      </c>
      <c r="H2707" s="1">
        <v>5.4513888888888893E-3</v>
      </c>
      <c r="I2707">
        <v>2015</v>
      </c>
      <c r="J2707" t="s">
        <v>20</v>
      </c>
      <c r="K2707" s="2" t="str">
        <f>HYPERLINK("https://www.nba.com/stats/events?CFID=&amp;CFPARAMS=&amp;GameEventID=280&amp;GameID=0021500590&amp;Season=2015-16&amp;flag=1&amp;title=Leonard%2025'%203PT%20Jump%20Shot%20(11%20PTS)%20(Aldridge%202%20AST)", "Leonard 25' 3PT Jump Shot (11 PTS) (Aldridge 2 AST)")</f>
        <v>Leonard 25' 3PT Jump Shot (11 PTS) (Aldridge 2 AST)</v>
      </c>
      <c r="L2707" s="2" t="str">
        <f>HYPERLINK("https://www.nba.com/game/...-vs-...-0021500590/play-by-play?watchFullGame=true", "SAS vs CLE - Q3 07:51.00")</f>
        <v>SAS vs CLE - Q3 07:51.00</v>
      </c>
      <c r="M2707">
        <v>25</v>
      </c>
      <c r="N2707">
        <v>28</v>
      </c>
      <c r="O2707">
        <v>244</v>
      </c>
      <c r="P2707">
        <v>28</v>
      </c>
      <c r="Q2707">
        <v>244</v>
      </c>
      <c r="R2707" t="s">
        <v>21</v>
      </c>
      <c r="S2707" t="s">
        <v>21</v>
      </c>
    </row>
    <row r="2708" spans="1:19" hidden="1" x14ac:dyDescent="0.25">
      <c r="A2708">
        <v>21601011</v>
      </c>
      <c r="B2708" t="s">
        <v>26</v>
      </c>
      <c r="C2708" t="s">
        <v>36</v>
      </c>
      <c r="D2708">
        <v>14</v>
      </c>
      <c r="E2708">
        <v>7</v>
      </c>
      <c r="F2708">
        <v>7</v>
      </c>
      <c r="G2708">
        <v>1</v>
      </c>
      <c r="H2708" s="1">
        <v>5.4513888888888893E-3</v>
      </c>
      <c r="I2708">
        <v>2016</v>
      </c>
      <c r="J2708" t="s">
        <v>20</v>
      </c>
      <c r="K2708" s="2" t="str">
        <f>HYPERLINK("https://www.nba.com/stats/events?CFID=&amp;CFPARAMS=&amp;GameEventID=26&amp;GameID=0021601011&amp;Season=2016-17&amp;flag=1&amp;title=Leonard%2025'%203PT%20Pullup%20Jump%20Shot%20(3%20PTS)", "Leonard 25' 3PT Pullup Jump Shot (3 PTS)")</f>
        <v>Leonard 25' 3PT Pullup Jump Shot (3 PTS)</v>
      </c>
      <c r="L2708" s="2" t="str">
        <f>HYPERLINK("https://www.nba.com/game/...-vs-...-0021601011/play-by-play?watchFullGame=true", "SAS vs POR - Q1 07:51.00")</f>
        <v>SAS vs POR - Q1 07:51.00</v>
      </c>
      <c r="M2708">
        <v>25</v>
      </c>
      <c r="N2708">
        <v>82</v>
      </c>
      <c r="O2708">
        <v>232</v>
      </c>
      <c r="P2708">
        <v>82</v>
      </c>
      <c r="Q2708">
        <v>232</v>
      </c>
      <c r="R2708" t="s">
        <v>21</v>
      </c>
      <c r="S2708" t="s">
        <v>21</v>
      </c>
    </row>
    <row r="2709" spans="1:19" hidden="1" x14ac:dyDescent="0.25">
      <c r="A2709">
        <v>21501140</v>
      </c>
      <c r="B2709" t="s">
        <v>26</v>
      </c>
      <c r="C2709" t="s">
        <v>19</v>
      </c>
      <c r="D2709">
        <v>7</v>
      </c>
      <c r="E2709">
        <v>4</v>
      </c>
      <c r="F2709">
        <v>3</v>
      </c>
      <c r="G2709">
        <v>1</v>
      </c>
      <c r="H2709" s="1">
        <v>5.4745370370370373E-3</v>
      </c>
      <c r="I2709">
        <v>2015</v>
      </c>
      <c r="J2709" t="s">
        <v>20</v>
      </c>
      <c r="K2709" s="2" t="str">
        <f>HYPERLINK("https://www.nba.com/stats/events?CFID=&amp;CFPARAMS=&amp;GameEventID=34&amp;GameID=0021501140&amp;Season=2015-16&amp;flag=1&amp;title=Leonard%2025'%203PT%20Jump%20Shot%20(3%20PTS)", "Leonard 25' 3PT Jump Shot (3 PTS)")</f>
        <v>Leonard 25' 3PT Jump Shot (3 PTS)</v>
      </c>
      <c r="L2709" s="2" t="str">
        <f>HYPERLINK("https://www.nba.com/game/...-vs-...-0021501140/play-by-play?watchFullGame=true", "SAS vs TOR - Q1 07:53.00")</f>
        <v>SAS vs TOR - Q1 07:53.00</v>
      </c>
      <c r="M2709">
        <v>25</v>
      </c>
      <c r="N2709">
        <v>161</v>
      </c>
      <c r="O2709">
        <v>190</v>
      </c>
      <c r="P2709">
        <v>161</v>
      </c>
      <c r="Q2709">
        <v>190</v>
      </c>
      <c r="R2709" t="s">
        <v>21</v>
      </c>
      <c r="S2709" t="s">
        <v>21</v>
      </c>
    </row>
    <row r="2710" spans="1:19" hidden="1" x14ac:dyDescent="0.25">
      <c r="A2710">
        <v>21401028</v>
      </c>
      <c r="B2710" t="s">
        <v>26</v>
      </c>
      <c r="C2710" t="s">
        <v>19</v>
      </c>
      <c r="D2710">
        <v>15</v>
      </c>
      <c r="E2710">
        <v>4</v>
      </c>
      <c r="F2710">
        <v>11</v>
      </c>
      <c r="G2710">
        <v>1</v>
      </c>
      <c r="H2710" s="1">
        <v>5.4976851851851853E-3</v>
      </c>
      <c r="I2710">
        <v>2014</v>
      </c>
      <c r="J2710" t="s">
        <v>20</v>
      </c>
      <c r="K2710" s="2" t="str">
        <f>HYPERLINK("https://www.nba.com/stats/events?CFID=&amp;CFPARAMS=&amp;GameEventID=32&amp;GameID=0021401028&amp;Season=2014-15&amp;flag=1&amp;title=Leonard%2025'%203PT%20Jump%20Shot%20(7%20PTS)%20(Parker%202%20AST)", "Leonard 25' 3PT Jump Shot (7 PTS) (Parker 2 AST)")</f>
        <v>Leonard 25' 3PT Jump Shot (7 PTS) (Parker 2 AST)</v>
      </c>
      <c r="L2710" s="2" t="str">
        <f>HYPERLINK("https://www.nba.com/game/...-vs-...-0021401028/play-by-play?watchFullGame=true", "SAS vs BOS - Q1 07:55.00")</f>
        <v>SAS vs BOS - Q1 07:55.00</v>
      </c>
      <c r="M2710">
        <v>25</v>
      </c>
      <c r="N2710">
        <v>-182</v>
      </c>
      <c r="O2710">
        <v>170</v>
      </c>
      <c r="P2710">
        <v>-182</v>
      </c>
      <c r="Q2710">
        <v>170</v>
      </c>
      <c r="R2710" t="s">
        <v>21</v>
      </c>
      <c r="S2710" t="s">
        <v>21</v>
      </c>
    </row>
    <row r="2711" spans="1:19" hidden="1" x14ac:dyDescent="0.25">
      <c r="A2711">
        <v>41300222</v>
      </c>
      <c r="B2711" t="s">
        <v>26</v>
      </c>
      <c r="C2711" t="s">
        <v>19</v>
      </c>
      <c r="D2711">
        <v>77</v>
      </c>
      <c r="E2711">
        <v>59</v>
      </c>
      <c r="F2711">
        <v>18</v>
      </c>
      <c r="G2711">
        <v>3</v>
      </c>
      <c r="H2711" s="1">
        <v>5.4976851851851853E-3</v>
      </c>
      <c r="I2711" t="s">
        <v>55</v>
      </c>
      <c r="J2711" t="s">
        <v>20</v>
      </c>
      <c r="K2711" s="2" t="str">
        <f>HYPERLINK("https://www.nba.com/stats/events?CFID=&amp;CFPARAMS=&amp;GameEventID=292&amp;GameID=0041300222&amp;Season=2013-14&amp;flag=1&amp;title=Leonard%2025'%203PT%20Jump%20Shot%20(17%20PTS)", "Leonard 25' 3PT Jump Shot (17 PTS)")</f>
        <v>Leonard 25' 3PT Jump Shot (17 PTS)</v>
      </c>
      <c r="L2711" s="2" t="str">
        <f>HYPERLINK("https://www.nba.com/game/...-vs-...-0041300222/play-by-play?watchFullGame=true", "SAS vs POR - Q3 07:55.00")</f>
        <v>SAS vs POR - Q3 07:55.00</v>
      </c>
      <c r="M2711">
        <v>25</v>
      </c>
      <c r="N2711">
        <v>166</v>
      </c>
      <c r="O2711">
        <v>183</v>
      </c>
      <c r="P2711">
        <v>166</v>
      </c>
      <c r="Q2711">
        <v>183</v>
      </c>
      <c r="R2711" t="s">
        <v>21</v>
      </c>
      <c r="S2711" t="s">
        <v>21</v>
      </c>
    </row>
    <row r="2712" spans="1:19" hidden="1" x14ac:dyDescent="0.25">
      <c r="A2712">
        <v>21500465</v>
      </c>
      <c r="B2712" t="s">
        <v>26</v>
      </c>
      <c r="C2712" t="s">
        <v>19</v>
      </c>
      <c r="D2712">
        <v>6</v>
      </c>
      <c r="E2712">
        <v>12</v>
      </c>
      <c r="F2712">
        <v>6</v>
      </c>
      <c r="G2712">
        <v>1</v>
      </c>
      <c r="H2712" s="1">
        <v>5.5092592592592589E-3</v>
      </c>
      <c r="I2712">
        <v>2015</v>
      </c>
      <c r="J2712" t="s">
        <v>20</v>
      </c>
      <c r="K2712" s="2" t="str">
        <f>HYPERLINK("https://www.nba.com/stats/events?CFID=&amp;CFPARAMS=&amp;GameEventID=34&amp;GameID=0021500465&amp;Season=2015-16&amp;flag=1&amp;title=Leonard%2025'%203PT%20Jump%20Shot%20(5%20PTS)%20(Parker%201%20AST)", "Leonard 25' 3PT Jump Shot (5 PTS) (Parker 1 AST)")</f>
        <v>Leonard 25' 3PT Jump Shot (5 PTS) (Parker 1 AST)</v>
      </c>
      <c r="L2712" s="2" t="str">
        <f>HYPERLINK("https://www.nba.com/game/...-vs-...-0021500465/play-by-play?watchFullGame=true", "SAS vs MIN - Q1 07:56.00")</f>
        <v>SAS vs MIN - Q1 07:56.00</v>
      </c>
      <c r="M2712">
        <v>25</v>
      </c>
      <c r="N2712">
        <v>146</v>
      </c>
      <c r="O2712">
        <v>198</v>
      </c>
      <c r="P2712">
        <v>146</v>
      </c>
      <c r="Q2712">
        <v>198</v>
      </c>
      <c r="R2712" t="s">
        <v>21</v>
      </c>
      <c r="S2712" t="s">
        <v>21</v>
      </c>
    </row>
    <row r="2713" spans="1:19" hidden="1" x14ac:dyDescent="0.25">
      <c r="A2713">
        <v>21800739</v>
      </c>
      <c r="B2713" t="s">
        <v>26</v>
      </c>
      <c r="C2713" t="s">
        <v>36</v>
      </c>
      <c r="D2713">
        <v>15</v>
      </c>
      <c r="E2713">
        <v>7</v>
      </c>
      <c r="F2713">
        <v>8</v>
      </c>
      <c r="G2713">
        <v>1</v>
      </c>
      <c r="H2713" s="1">
        <v>5.6134259259259262E-3</v>
      </c>
      <c r="I2713">
        <v>2018</v>
      </c>
      <c r="J2713" t="s">
        <v>48</v>
      </c>
      <c r="K2713" s="2" t="str">
        <f>HYPERLINK("https://www.nba.com/stats/events?CFID=&amp;CFPARAMS=&amp;GameEventID=43&amp;GameID=0021800739&amp;Season=2018-19&amp;flag=1&amp;title=Leonard%2025'%203PT%20Pullup%20Jump%20Shot%20(6%20PTS)", "Leonard 25' 3PT Pullup Jump Shot (6 PTS)")</f>
        <v>Leonard 25' 3PT Pullup Jump Shot (6 PTS)</v>
      </c>
      <c r="L2713" s="2" t="str">
        <f>HYPERLINK("https://www.nba.com/game/...-vs-...-0021800739/play-by-play?watchFullGame=true", "TOR vs DAL - Q1 08:05.00")</f>
        <v>TOR vs DAL - Q1 08:05.00</v>
      </c>
      <c r="M2713">
        <v>25</v>
      </c>
      <c r="N2713">
        <v>185</v>
      </c>
      <c r="O2713">
        <v>164</v>
      </c>
      <c r="P2713">
        <v>185</v>
      </c>
      <c r="Q2713">
        <v>164</v>
      </c>
      <c r="R2713" t="s">
        <v>21</v>
      </c>
      <c r="S2713" t="s">
        <v>21</v>
      </c>
    </row>
    <row r="2714" spans="1:19" hidden="1" x14ac:dyDescent="0.25">
      <c r="A2714">
        <v>21600114</v>
      </c>
      <c r="B2714" t="s">
        <v>26</v>
      </c>
      <c r="C2714" t="s">
        <v>19</v>
      </c>
      <c r="D2714">
        <v>11</v>
      </c>
      <c r="E2714">
        <v>10</v>
      </c>
      <c r="F2714">
        <v>1</v>
      </c>
      <c r="G2714">
        <v>1</v>
      </c>
      <c r="H2714" s="1">
        <v>5.6365740740740742E-3</v>
      </c>
      <c r="I2714">
        <v>2016</v>
      </c>
      <c r="J2714" t="s">
        <v>20</v>
      </c>
      <c r="K2714" s="2" t="str">
        <f>HYPERLINK("https://www.nba.com/stats/events?CFID=&amp;CFPARAMS=&amp;GameEventID=37&amp;GameID=0021600114&amp;Season=2016-17&amp;flag=1&amp;title=Leonard%2025'%203PT%20Jump%20Shot%20(5%20PTS)%20(Mills%202%20AST)", "Leonard 25' 3PT Jump Shot (5 PTS) (Mills 2 AST)")</f>
        <v>Leonard 25' 3PT Jump Shot (5 PTS) (Mills 2 AST)</v>
      </c>
      <c r="L2714" s="2" t="str">
        <f>HYPERLINK("https://www.nba.com/game/...-vs-...-0021600114/play-by-play?watchFullGame=true", "SAS vs HOU - Q1 08:07.00")</f>
        <v>SAS vs HOU - Q1 08:07.00</v>
      </c>
      <c r="M2714">
        <v>25</v>
      </c>
      <c r="N2714">
        <v>-204</v>
      </c>
      <c r="O2714">
        <v>136</v>
      </c>
      <c r="P2714">
        <v>-204</v>
      </c>
      <c r="Q2714">
        <v>136</v>
      </c>
      <c r="R2714" t="s">
        <v>21</v>
      </c>
      <c r="S2714" t="s">
        <v>21</v>
      </c>
    </row>
    <row r="2715" spans="1:19" hidden="1" x14ac:dyDescent="0.25">
      <c r="A2715">
        <v>21700402</v>
      </c>
      <c r="B2715" t="s">
        <v>26</v>
      </c>
      <c r="C2715" t="s">
        <v>19</v>
      </c>
      <c r="D2715">
        <v>30</v>
      </c>
      <c r="E2715">
        <v>36</v>
      </c>
      <c r="F2715">
        <v>6</v>
      </c>
      <c r="G2715">
        <v>2</v>
      </c>
      <c r="H2715" s="1">
        <v>5.6365740740740742E-3</v>
      </c>
      <c r="I2715">
        <v>2017</v>
      </c>
      <c r="J2715" t="s">
        <v>20</v>
      </c>
      <c r="K2715" s="2" t="str">
        <f>HYPERLINK("https://www.nba.com/stats/events?CFID=&amp;CFPARAMS=&amp;GameEventID=187&amp;GameID=0021700402&amp;Season=2017-18&amp;flag=1&amp;title=Leonard%2025'%203PT%20Jump%20Shot%20(9%20PTS)%20(Parker%201%20AST)", "Leonard 25' 3PT Jump Shot (9 PTS) (Parker 1 AST)")</f>
        <v>Leonard 25' 3PT Jump Shot (9 PTS) (Parker 1 AST)</v>
      </c>
      <c r="L2715" s="2" t="str">
        <f>HYPERLINK("https://www.nba.com/game/...-vs-...-0021700402/play-by-play?watchFullGame=true", "SAS vs DAL - Q2 08:07.00")</f>
        <v>SAS vs DAL - Q2 08:07.00</v>
      </c>
      <c r="M2715">
        <v>25</v>
      </c>
      <c r="N2715">
        <v>180</v>
      </c>
      <c r="O2715">
        <v>178</v>
      </c>
      <c r="P2715">
        <v>180</v>
      </c>
      <c r="Q2715">
        <v>178</v>
      </c>
      <c r="R2715" t="s">
        <v>21</v>
      </c>
      <c r="S2715" t="s">
        <v>21</v>
      </c>
    </row>
    <row r="2716" spans="1:19" hidden="1" x14ac:dyDescent="0.25">
      <c r="A2716">
        <v>21600150</v>
      </c>
      <c r="B2716" t="s">
        <v>26</v>
      </c>
      <c r="C2716" t="s">
        <v>19</v>
      </c>
      <c r="D2716">
        <v>76</v>
      </c>
      <c r="E2716">
        <v>66</v>
      </c>
      <c r="F2716">
        <v>10</v>
      </c>
      <c r="G2716">
        <v>4</v>
      </c>
      <c r="H2716" s="1">
        <v>5.6481481481481478E-3</v>
      </c>
      <c r="I2716">
        <v>2016</v>
      </c>
      <c r="J2716" t="s">
        <v>20</v>
      </c>
      <c r="K2716" s="2" t="str">
        <f>HYPERLINK("https://www.nba.com/stats/events?CFID=&amp;CFPARAMS=&amp;GameEventID=423&amp;GameID=0021600150&amp;Season=2016-17&amp;flag=1&amp;title=Leonard%2025'%203PT%20Jump%20Shot%20(16%20PTS)%20(Aldridge%202%20AST)", "Leonard 25' 3PT Jump Shot (16 PTS) (Aldridge 2 AST)")</f>
        <v>Leonard 25' 3PT Jump Shot (16 PTS) (Aldridge 2 AST)</v>
      </c>
      <c r="L2716" s="2" t="str">
        <f>HYPERLINK("https://www.nba.com/game/...-vs-...-0021600150/play-by-play?watchFullGame=true", "SAS vs MIA - Q4 08:08.00")</f>
        <v>SAS vs MIA - Q4 08:08.00</v>
      </c>
      <c r="M2716">
        <v>25</v>
      </c>
      <c r="N2716">
        <v>-65</v>
      </c>
      <c r="O2716">
        <v>237</v>
      </c>
      <c r="P2716">
        <v>-65</v>
      </c>
      <c r="Q2716">
        <v>237</v>
      </c>
      <c r="R2716" t="s">
        <v>21</v>
      </c>
      <c r="S2716" t="s">
        <v>21</v>
      </c>
    </row>
    <row r="2717" spans="1:19" hidden="1" x14ac:dyDescent="0.25">
      <c r="A2717">
        <v>21601151</v>
      </c>
      <c r="B2717" t="s">
        <v>26</v>
      </c>
      <c r="C2717" t="s">
        <v>36</v>
      </c>
      <c r="D2717">
        <v>70</v>
      </c>
      <c r="E2717">
        <v>60</v>
      </c>
      <c r="F2717">
        <v>10</v>
      </c>
      <c r="G2717">
        <v>3</v>
      </c>
      <c r="H2717" s="1">
        <v>5.6712962962962967E-3</v>
      </c>
      <c r="I2717">
        <v>2016</v>
      </c>
      <c r="J2717" t="s">
        <v>20</v>
      </c>
      <c r="K2717" s="2" t="str">
        <f>HYPERLINK("https://www.nba.com/stats/events?CFID=&amp;CFPARAMS=&amp;GameEventID=259&amp;GameID=0021601151&amp;Season=2016-17&amp;flag=1&amp;title=Leonard%2025'%203PT%20Pullup%20Jump%20Shot%20(14%20PTS)", "Leonard 25' 3PT Pullup Jump Shot (14 PTS)")</f>
        <v>Leonard 25' 3PT Pullup Jump Shot (14 PTS)</v>
      </c>
      <c r="L2717" s="2" t="str">
        <f>HYPERLINK("https://www.nba.com/game/...-vs-...-0021601151/play-by-play?watchFullGame=true", "SAS vs UTA - Q3 08:10.00")</f>
        <v>SAS vs UTA - Q3 08:10.00</v>
      </c>
      <c r="M2717">
        <v>25</v>
      </c>
      <c r="N2717">
        <v>60</v>
      </c>
      <c r="O2717">
        <v>247</v>
      </c>
      <c r="P2717">
        <v>60</v>
      </c>
      <c r="Q2717">
        <v>247</v>
      </c>
      <c r="R2717" t="s">
        <v>21</v>
      </c>
      <c r="S2717" t="s">
        <v>21</v>
      </c>
    </row>
    <row r="2718" spans="1:19" hidden="1" x14ac:dyDescent="0.25">
      <c r="A2718">
        <v>21600077</v>
      </c>
      <c r="B2718" t="s">
        <v>26</v>
      </c>
      <c r="C2718" t="s">
        <v>19</v>
      </c>
      <c r="D2718">
        <v>38</v>
      </c>
      <c r="E2718">
        <v>23</v>
      </c>
      <c r="F2718">
        <v>15</v>
      </c>
      <c r="G2718">
        <v>2</v>
      </c>
      <c r="H2718" s="1">
        <v>5.7175925925925927E-3</v>
      </c>
      <c r="I2718">
        <v>2016</v>
      </c>
      <c r="J2718" t="s">
        <v>20</v>
      </c>
      <c r="K2718" s="2" t="str">
        <f>HYPERLINK("https://www.nba.com/stats/events?CFID=&amp;CFPARAMS=&amp;GameEventID=172&amp;GameID=0021600077&amp;Season=2016-17&amp;flag=1&amp;title=Leonard%2025'%203PT%20Jump%20Shot%20(12%20PTS)%20(Mills%202%20AST)", "Leonard 25' 3PT Jump Shot (12 PTS) (Mills 2 AST)")</f>
        <v>Leonard 25' 3PT Jump Shot (12 PTS) (Mills 2 AST)</v>
      </c>
      <c r="L2718" s="2" t="str">
        <f>HYPERLINK("https://www.nba.com/game/...-vs-...-0021600077/play-by-play?watchFullGame=true", "SAS vs UTA - Q2 08:14.00")</f>
        <v>SAS vs UTA - Q2 08:14.00</v>
      </c>
      <c r="M2718">
        <v>25</v>
      </c>
      <c r="N2718">
        <v>-184</v>
      </c>
      <c r="O2718">
        <v>164</v>
      </c>
      <c r="P2718">
        <v>-184</v>
      </c>
      <c r="Q2718">
        <v>164</v>
      </c>
      <c r="R2718" t="s">
        <v>21</v>
      </c>
      <c r="S2718" t="s">
        <v>21</v>
      </c>
    </row>
    <row r="2719" spans="1:19" hidden="1" x14ac:dyDescent="0.25">
      <c r="A2719">
        <v>21601070</v>
      </c>
      <c r="B2719" t="s">
        <v>26</v>
      </c>
      <c r="C2719" t="s">
        <v>19</v>
      </c>
      <c r="D2719">
        <v>41</v>
      </c>
      <c r="E2719">
        <v>30</v>
      </c>
      <c r="F2719">
        <v>11</v>
      </c>
      <c r="G2719">
        <v>2</v>
      </c>
      <c r="H2719" s="1">
        <v>5.7175925925925927E-3</v>
      </c>
      <c r="I2719">
        <v>2016</v>
      </c>
      <c r="J2719" t="s">
        <v>20</v>
      </c>
      <c r="K2719" s="2" t="str">
        <f>HYPERLINK("https://www.nba.com/stats/events?CFID=&amp;CFPARAMS=&amp;GameEventID=155&amp;GameID=0021601070&amp;Season=2016-17&amp;flag=1&amp;title=Leonard%2025'%203PT%20Jump%20Shot%20(7%20PTS)%20(Green%201%20AST)", "Leonard 25' 3PT Jump Shot (7 PTS) (Green 1 AST)")</f>
        <v>Leonard 25' 3PT Jump Shot (7 PTS) (Green 1 AST)</v>
      </c>
      <c r="L2719" s="2" t="str">
        <f>HYPERLINK("https://www.nba.com/game/...-vs-...-0021601070/play-by-play?watchFullGame=true", "SAS vs MEM - Q2 08:14.00")</f>
        <v>SAS vs MEM - Q2 08:14.00</v>
      </c>
      <c r="M2719">
        <v>25</v>
      </c>
      <c r="N2719">
        <v>202</v>
      </c>
      <c r="O2719">
        <v>144</v>
      </c>
      <c r="P2719">
        <v>202</v>
      </c>
      <c r="Q2719">
        <v>144</v>
      </c>
      <c r="R2719" t="s">
        <v>21</v>
      </c>
      <c r="S2719" t="s">
        <v>21</v>
      </c>
    </row>
    <row r="2720" spans="1:19" hidden="1" x14ac:dyDescent="0.25">
      <c r="A2720">
        <v>21801023</v>
      </c>
      <c r="B2720" t="s">
        <v>26</v>
      </c>
      <c r="C2720" t="s">
        <v>19</v>
      </c>
      <c r="D2720">
        <v>11</v>
      </c>
      <c r="E2720">
        <v>6</v>
      </c>
      <c r="F2720">
        <v>5</v>
      </c>
      <c r="G2720">
        <v>1</v>
      </c>
      <c r="H2720" s="1">
        <v>5.7291666666666663E-3</v>
      </c>
      <c r="I2720">
        <v>2018</v>
      </c>
      <c r="J2720" t="s">
        <v>48</v>
      </c>
      <c r="K2720" s="2" t="str">
        <f>HYPERLINK("https://www.nba.com/stats/events?CFID=&amp;CFPARAMS=&amp;GameEventID=57&amp;GameID=0021801023&amp;Season=2018-19&amp;flag=1&amp;title=Leonard%2025'%203PT%20Jump%20Shot%20(6%20PTS)%20(Siakam%202%20AST)", "Leonard 25' 3PT Jump Shot (6 PTS) (Siakam 2 AST)")</f>
        <v>Leonard 25' 3PT Jump Shot (6 PTS) (Siakam 2 AST)</v>
      </c>
      <c r="L2720" s="2" t="str">
        <f>HYPERLINK("https://www.nba.com/game/...-vs-...-0021801023/play-by-play?watchFullGame=true", "TOR vs LAL - Q1 08:15.00")</f>
        <v>TOR vs LAL - Q1 08:15.00</v>
      </c>
      <c r="M2720">
        <v>25</v>
      </c>
      <c r="N2720">
        <v>26</v>
      </c>
      <c r="O2720">
        <v>247</v>
      </c>
      <c r="P2720">
        <v>26</v>
      </c>
      <c r="Q2720">
        <v>247</v>
      </c>
      <c r="R2720" t="s">
        <v>21</v>
      </c>
      <c r="S2720" t="s">
        <v>21</v>
      </c>
    </row>
    <row r="2721" spans="1:19" hidden="1" x14ac:dyDescent="0.25">
      <c r="A2721">
        <v>21300554</v>
      </c>
      <c r="B2721" t="s">
        <v>26</v>
      </c>
      <c r="C2721" t="s">
        <v>19</v>
      </c>
      <c r="D2721">
        <v>63</v>
      </c>
      <c r="E2721">
        <v>55</v>
      </c>
      <c r="F2721">
        <v>8</v>
      </c>
      <c r="G2721">
        <v>3</v>
      </c>
      <c r="H2721" s="1">
        <v>5.7754629629629631E-3</v>
      </c>
      <c r="I2721">
        <v>2013</v>
      </c>
      <c r="J2721" t="s">
        <v>20</v>
      </c>
      <c r="K2721" s="2" t="str">
        <f>HYPERLINK("https://www.nba.com/stats/events?CFID=&amp;CFPARAMS=&amp;GameEventID=269&amp;GameID=0021300554&amp;Season=2013-14&amp;flag=1&amp;title=Leonard%2025'%203PT%20Jump%20Shot%20(11%20PTS)%20(Parker%208%20AST)", "Leonard 25' 3PT Jump Shot (11 PTS) (Parker 8 AST)")</f>
        <v>Leonard 25' 3PT Jump Shot (11 PTS) (Parker 8 AST)</v>
      </c>
      <c r="L2721" s="2" t="str">
        <f>HYPERLINK("https://www.nba.com/game/...-vs-...-0021300554/play-by-play?watchFullGame=true", "SAS vs MIN - Q3 08:19.00")</f>
        <v>SAS vs MIN - Q3 08:19.00</v>
      </c>
      <c r="M2721">
        <v>25</v>
      </c>
      <c r="N2721">
        <v>9</v>
      </c>
      <c r="O2721">
        <v>246</v>
      </c>
      <c r="P2721">
        <v>9</v>
      </c>
      <c r="Q2721">
        <v>246</v>
      </c>
      <c r="R2721" t="s">
        <v>21</v>
      </c>
      <c r="S2721" t="s">
        <v>21</v>
      </c>
    </row>
    <row r="2722" spans="1:19" hidden="1" x14ac:dyDescent="0.25">
      <c r="A2722">
        <v>21600902</v>
      </c>
      <c r="B2722" t="s">
        <v>26</v>
      </c>
      <c r="C2722" t="s">
        <v>19</v>
      </c>
      <c r="D2722">
        <v>55</v>
      </c>
      <c r="E2722">
        <v>58</v>
      </c>
      <c r="F2722">
        <v>3</v>
      </c>
      <c r="G2722">
        <v>3</v>
      </c>
      <c r="H2722" s="1">
        <v>5.7870370370370367E-3</v>
      </c>
      <c r="I2722">
        <v>2016</v>
      </c>
      <c r="J2722" t="s">
        <v>20</v>
      </c>
      <c r="K2722" s="2" t="str">
        <f>HYPERLINK("https://www.nba.com/stats/events?CFID=&amp;CFPARAMS=&amp;GameEventID=310&amp;GameID=0021600902&amp;Season=2016-17&amp;flag=1&amp;title=Leonard%2025'%203PT%20Jump%20Shot%20(17%20PTS)%20(Green%201%20AST)", "Leonard 25' 3PT Jump Shot (17 PTS) (Green 1 AST)")</f>
        <v>Leonard 25' 3PT Jump Shot (17 PTS) (Green 1 AST)</v>
      </c>
      <c r="L2722" s="2" t="str">
        <f>HYPERLINK("https://www.nba.com/game/...-vs-...-0021600902/play-by-play?watchFullGame=true", "SAS vs IND - Q3 08:20.00")</f>
        <v>SAS vs IND - Q3 08:20.00</v>
      </c>
      <c r="M2722">
        <v>25</v>
      </c>
      <c r="N2722">
        <v>212</v>
      </c>
      <c r="O2722">
        <v>129</v>
      </c>
      <c r="P2722">
        <v>212</v>
      </c>
      <c r="Q2722">
        <v>129</v>
      </c>
      <c r="R2722" t="s">
        <v>21</v>
      </c>
      <c r="S2722" t="s">
        <v>21</v>
      </c>
    </row>
    <row r="2723" spans="1:19" hidden="1" x14ac:dyDescent="0.25">
      <c r="A2723">
        <v>21600454</v>
      </c>
      <c r="B2723" t="s">
        <v>26</v>
      </c>
      <c r="C2723" t="s">
        <v>19</v>
      </c>
      <c r="D2723">
        <v>66</v>
      </c>
      <c r="E2723">
        <v>55</v>
      </c>
      <c r="F2723">
        <v>11</v>
      </c>
      <c r="G2723">
        <v>3</v>
      </c>
      <c r="H2723" s="1">
        <v>5.8912037037037041E-3</v>
      </c>
      <c r="I2723">
        <v>2016</v>
      </c>
      <c r="J2723" t="s">
        <v>20</v>
      </c>
      <c r="K2723" s="2" t="str">
        <f>HYPERLINK("https://www.nba.com/stats/events?CFID=&amp;CFPARAMS=&amp;GameEventID=300&amp;GameID=0021600454&amp;Season=2016-17&amp;flag=1&amp;title=Leonard%2025'%203PT%20Jump%20Shot%20(17%20PTS)%20(Murray%201%20AST)", "Leonard 25' 3PT Jump Shot (17 PTS) (Murray 1 AST)")</f>
        <v>Leonard 25' 3PT Jump Shot (17 PTS) (Murray 1 AST)</v>
      </c>
      <c r="L2723" s="2" t="str">
        <f>HYPERLINK("https://www.nba.com/game/...-vs-...-0021600454/play-by-play?watchFullGame=true", "SAS vs POR - Q3 08:29.00")</f>
        <v>SAS vs POR - Q3 08:29.00</v>
      </c>
      <c r="M2723">
        <v>25</v>
      </c>
      <c r="N2723">
        <v>189</v>
      </c>
      <c r="O2723">
        <v>159</v>
      </c>
      <c r="P2723">
        <v>189</v>
      </c>
      <c r="Q2723">
        <v>159</v>
      </c>
      <c r="R2723" t="s">
        <v>21</v>
      </c>
      <c r="S2723" t="s">
        <v>21</v>
      </c>
    </row>
    <row r="2724" spans="1:19" hidden="1" x14ac:dyDescent="0.25">
      <c r="A2724">
        <v>21600053</v>
      </c>
      <c r="B2724" t="s">
        <v>26</v>
      </c>
      <c r="C2724" t="s">
        <v>36</v>
      </c>
      <c r="D2724">
        <v>7</v>
      </c>
      <c r="E2724">
        <v>8</v>
      </c>
      <c r="F2724">
        <v>1</v>
      </c>
      <c r="G2724">
        <v>1</v>
      </c>
      <c r="H2724" s="1">
        <v>5.9837962962962961E-3</v>
      </c>
      <c r="I2724">
        <v>2016</v>
      </c>
      <c r="J2724" t="s">
        <v>20</v>
      </c>
      <c r="K2724" s="2" t="str">
        <f>HYPERLINK("https://www.nba.com/stats/events?CFID=&amp;CFPARAMS=&amp;GameEventID=21&amp;GameID=0021600053&amp;Season=2016-17&amp;flag=1&amp;title=Leonard%2025'%203PT%20Pullup%20Jump%20Shot%20(5%20PTS)", "Leonard 25' 3PT Pullup Jump Shot (5 PTS)")</f>
        <v>Leonard 25' 3PT Pullup Jump Shot (5 PTS)</v>
      </c>
      <c r="L2724" s="2" t="str">
        <f>HYPERLINK("https://www.nba.com/game/...-vs-...-0021600053/play-by-play?watchFullGame=true", "SAS vs UTA - Q1 08:37.00")</f>
        <v>SAS vs UTA - Q1 08:37.00</v>
      </c>
      <c r="M2724">
        <v>25</v>
      </c>
      <c r="N2724">
        <v>135</v>
      </c>
      <c r="O2724">
        <v>205</v>
      </c>
      <c r="P2724">
        <v>135</v>
      </c>
      <c r="Q2724">
        <v>205</v>
      </c>
      <c r="R2724" t="s">
        <v>21</v>
      </c>
      <c r="S2724" t="s">
        <v>21</v>
      </c>
    </row>
    <row r="2725" spans="1:19" hidden="1" x14ac:dyDescent="0.25">
      <c r="A2725">
        <v>21800427</v>
      </c>
      <c r="B2725" t="s">
        <v>26</v>
      </c>
      <c r="C2725" t="s">
        <v>65</v>
      </c>
      <c r="D2725">
        <v>59</v>
      </c>
      <c r="E2725">
        <v>64</v>
      </c>
      <c r="F2725">
        <v>5</v>
      </c>
      <c r="G2725">
        <v>3</v>
      </c>
      <c r="H2725" s="1">
        <v>6.030092592592593E-3</v>
      </c>
      <c r="I2725">
        <v>2018</v>
      </c>
      <c r="J2725" t="s">
        <v>48</v>
      </c>
      <c r="K2725" s="2" t="str">
        <f>HYPERLINK("https://www.nba.com/stats/events?CFID=&amp;CFPARAMS=&amp;GameEventID=325&amp;GameID=0021800427&amp;Season=2018-19&amp;flag=1&amp;title=Leonard%2025'%203PT%20Running%20Pull-Up%20Jump%20Shot%20(10%20PTS)", "Leonard 25' 3PT Running Pull-Up Jump Shot (10 PTS)")</f>
        <v>Leonard 25' 3PT Running Pull-Up Jump Shot (10 PTS)</v>
      </c>
      <c r="L2725" s="2" t="str">
        <f>HYPERLINK("https://www.nba.com/game/...-vs-...-0021800427/play-by-play?watchFullGame=true", "TOR vs POR - Q3 08:41.00")</f>
        <v>TOR vs POR - Q3 08:41.00</v>
      </c>
      <c r="M2725">
        <v>25</v>
      </c>
      <c r="N2725">
        <v>43</v>
      </c>
      <c r="O2725">
        <v>244</v>
      </c>
      <c r="P2725">
        <v>43</v>
      </c>
      <c r="Q2725">
        <v>244</v>
      </c>
      <c r="R2725" t="s">
        <v>21</v>
      </c>
      <c r="S2725" t="s">
        <v>21</v>
      </c>
    </row>
    <row r="2726" spans="1:19" hidden="1" x14ac:dyDescent="0.25">
      <c r="A2726">
        <v>41800112</v>
      </c>
      <c r="B2726" t="s">
        <v>26</v>
      </c>
      <c r="C2726" t="s">
        <v>19</v>
      </c>
      <c r="D2726">
        <v>99</v>
      </c>
      <c r="E2726">
        <v>69</v>
      </c>
      <c r="F2726">
        <v>30</v>
      </c>
      <c r="G2726">
        <v>4</v>
      </c>
      <c r="H2726" s="1">
        <v>6.1111111111111114E-3</v>
      </c>
      <c r="I2726" t="s">
        <v>60</v>
      </c>
      <c r="J2726" t="s">
        <v>48</v>
      </c>
      <c r="K2726" s="2" t="str">
        <f>HYPERLINK("https://www.nba.com/stats/events?CFID=&amp;CFPARAMS=&amp;GameEventID=515&amp;GameID=0041800112&amp;Season=2018-19&amp;flag=1&amp;title=Leonard%2025'%203PT%20Jump%20Shot%20(37%20PTS)%20(Powell%201%20AST)", "Leonard 25' 3PT Jump Shot (37 PTS) (Powell 1 AST)")</f>
        <v>Leonard 25' 3PT Jump Shot (37 PTS) (Powell 1 AST)</v>
      </c>
      <c r="L2726" s="2" t="str">
        <f>HYPERLINK("https://www.nba.com/game/...-vs-...-0041800112/play-by-play?watchFullGame=true", "TOR vs ORL - Q4 08:48.00")</f>
        <v>TOR vs ORL - Q4 08:48.00</v>
      </c>
      <c r="M2726">
        <v>25</v>
      </c>
      <c r="N2726">
        <v>241</v>
      </c>
      <c r="O2726">
        <v>67</v>
      </c>
      <c r="P2726">
        <v>241</v>
      </c>
      <c r="Q2726">
        <v>67</v>
      </c>
      <c r="R2726" t="s">
        <v>21</v>
      </c>
      <c r="S2726" t="s">
        <v>21</v>
      </c>
    </row>
    <row r="2727" spans="1:19" hidden="1" x14ac:dyDescent="0.25">
      <c r="A2727">
        <v>41300143</v>
      </c>
      <c r="B2727" t="s">
        <v>26</v>
      </c>
      <c r="C2727" t="s">
        <v>19</v>
      </c>
      <c r="D2727">
        <v>85</v>
      </c>
      <c r="E2727">
        <v>85</v>
      </c>
      <c r="F2727">
        <v>0</v>
      </c>
      <c r="G2727">
        <v>4</v>
      </c>
      <c r="H2727" s="1">
        <v>6.145833333333333E-3</v>
      </c>
      <c r="I2727" t="s">
        <v>55</v>
      </c>
      <c r="J2727" t="s">
        <v>20</v>
      </c>
      <c r="K2727" s="2" t="str">
        <f>HYPERLINK("https://www.nba.com/stats/events?CFID=&amp;CFPARAMS=&amp;GameEventID=417&amp;GameID=0041300143&amp;Season=2013-14&amp;flag=1&amp;title=Leonard%2025'%203PT%20Jump%20Shot%20(14%20PTS)%20(Mills%203%20AST)", "Leonard 25' 3PT Jump Shot (14 PTS) (Mills 3 AST)")</f>
        <v>Leonard 25' 3PT Jump Shot (14 PTS) (Mills 3 AST)</v>
      </c>
      <c r="L2727" s="2" t="str">
        <f>HYPERLINK("https://www.nba.com/game/...-vs-...-0041300143/play-by-play?watchFullGame=true", "SAS vs DAL - Q4 08:51.00")</f>
        <v>SAS vs DAL - Q4 08:51.00</v>
      </c>
      <c r="M2727">
        <v>25</v>
      </c>
      <c r="N2727">
        <v>-169</v>
      </c>
      <c r="O2727">
        <v>179</v>
      </c>
      <c r="P2727">
        <v>-169</v>
      </c>
      <c r="Q2727">
        <v>179</v>
      </c>
      <c r="R2727" t="s">
        <v>21</v>
      </c>
      <c r="S2727" t="s">
        <v>21</v>
      </c>
    </row>
    <row r="2728" spans="1:19" hidden="1" x14ac:dyDescent="0.25">
      <c r="A2728">
        <v>21800316</v>
      </c>
      <c r="B2728" t="s">
        <v>26</v>
      </c>
      <c r="C2728" t="s">
        <v>19</v>
      </c>
      <c r="D2728">
        <v>77</v>
      </c>
      <c r="E2728">
        <v>62</v>
      </c>
      <c r="F2728">
        <v>15</v>
      </c>
      <c r="G2728">
        <v>3</v>
      </c>
      <c r="H2728" s="1">
        <v>6.2152777777777779E-3</v>
      </c>
      <c r="I2728">
        <v>2018</v>
      </c>
      <c r="J2728" t="s">
        <v>48</v>
      </c>
      <c r="K2728" s="2" t="str">
        <f>HYPERLINK("https://www.nba.com/stats/events?CFID=&amp;CFPARAMS=&amp;GameEventID=373&amp;GameID=0021800316&amp;Season=2018-19&amp;flag=1&amp;title=Leonard%2025'%203PT%20Jump%20Shot%20(27%20PTS)%20(Lowry%208%20AST)", "Leonard 25' 3PT Jump Shot (27 PTS) (Lowry 8 AST)")</f>
        <v>Leonard 25' 3PT Jump Shot (27 PTS) (Lowry 8 AST)</v>
      </c>
      <c r="L2728" s="2" t="str">
        <f>HYPERLINK("https://www.nba.com/game/...-vs-...-0021800316/play-by-play?watchFullGame=true", "TOR vs GSW - Q3 08:57.00")</f>
        <v>TOR vs GSW - Q3 08:57.00</v>
      </c>
      <c r="M2728">
        <v>25</v>
      </c>
      <c r="N2728">
        <v>-221</v>
      </c>
      <c r="O2728">
        <v>115</v>
      </c>
      <c r="P2728">
        <v>-221</v>
      </c>
      <c r="Q2728">
        <v>115</v>
      </c>
      <c r="R2728" t="s">
        <v>21</v>
      </c>
      <c r="S2728" t="s">
        <v>21</v>
      </c>
    </row>
    <row r="2729" spans="1:19" hidden="1" x14ac:dyDescent="0.25">
      <c r="A2729">
        <v>21300993</v>
      </c>
      <c r="B2729" t="s">
        <v>26</v>
      </c>
      <c r="C2729" t="s">
        <v>39</v>
      </c>
      <c r="D2729">
        <v>97</v>
      </c>
      <c r="E2729">
        <v>83</v>
      </c>
      <c r="F2729">
        <v>14</v>
      </c>
      <c r="G2729">
        <v>4</v>
      </c>
      <c r="H2729" s="1">
        <v>6.3541666666666668E-3</v>
      </c>
      <c r="I2729">
        <v>2013</v>
      </c>
      <c r="J2729" t="s">
        <v>20</v>
      </c>
      <c r="K2729" s="2" t="str">
        <f>HYPERLINK("https://www.nba.com/stats/events?CFID=&amp;CFPARAMS=&amp;GameEventID=375&amp;GameID=0021300993&amp;Season=2013-14&amp;flag=1&amp;title=Leonard%2025'%203PT%20Step%20Back%20Jump%20Shot%20(9%20PTS)", "Leonard 25' 3PT Step Back Jump Shot (9 PTS)")</f>
        <v>Leonard 25' 3PT Step Back Jump Shot (9 PTS)</v>
      </c>
      <c r="L2729" s="2" t="str">
        <f>HYPERLINK("https://www.nba.com/game/...-vs-...-0021300993/play-by-play?watchFullGame=true", "SAS vs UTA - Q4 09:09.00")</f>
        <v>SAS vs UTA - Q4 09:09.00</v>
      </c>
      <c r="M2729">
        <v>25</v>
      </c>
      <c r="N2729">
        <v>-73</v>
      </c>
      <c r="O2729">
        <v>236</v>
      </c>
      <c r="P2729">
        <v>-73</v>
      </c>
      <c r="Q2729">
        <v>236</v>
      </c>
      <c r="R2729" t="s">
        <v>21</v>
      </c>
      <c r="S2729" t="s">
        <v>21</v>
      </c>
    </row>
    <row r="2730" spans="1:19" hidden="1" x14ac:dyDescent="0.25">
      <c r="A2730">
        <v>21600127</v>
      </c>
      <c r="B2730" t="s">
        <v>26</v>
      </c>
      <c r="C2730" t="s">
        <v>19</v>
      </c>
      <c r="D2730">
        <v>7</v>
      </c>
      <c r="E2730">
        <v>6</v>
      </c>
      <c r="F2730">
        <v>1</v>
      </c>
      <c r="G2730">
        <v>1</v>
      </c>
      <c r="H2730" s="1">
        <v>6.3541666666666668E-3</v>
      </c>
      <c r="I2730">
        <v>2016</v>
      </c>
      <c r="J2730" t="s">
        <v>20</v>
      </c>
      <c r="K2730" s="2" t="str">
        <f>HYPERLINK("https://www.nba.com/stats/events?CFID=&amp;CFPARAMS=&amp;GameEventID=17&amp;GameID=0021600127&amp;Season=2016-17&amp;flag=1&amp;title=Leonard%2025'%203PT%20Jump%20Shot%20(3%20PTS)%20(Parker%202%20AST)", "Leonard 25' 3PT Jump Shot (3 PTS) (Parker 2 AST)")</f>
        <v>Leonard 25' 3PT Jump Shot (3 PTS) (Parker 2 AST)</v>
      </c>
      <c r="L2730" s="2" t="str">
        <f>HYPERLINK("https://www.nba.com/game/...-vs-...-0021600127/play-by-play?watchFullGame=true", "SAS vs DET - Q1 09:09.00")</f>
        <v>SAS vs DET - Q1 09:09.00</v>
      </c>
      <c r="M2730">
        <v>25</v>
      </c>
      <c r="N2730">
        <v>192</v>
      </c>
      <c r="O2730">
        <v>156</v>
      </c>
      <c r="P2730">
        <v>192</v>
      </c>
      <c r="Q2730">
        <v>156</v>
      </c>
      <c r="R2730" t="s">
        <v>21</v>
      </c>
      <c r="S2730" t="s">
        <v>21</v>
      </c>
    </row>
    <row r="2731" spans="1:19" hidden="1" x14ac:dyDescent="0.25">
      <c r="A2731">
        <v>41800212</v>
      </c>
      <c r="B2731" t="s">
        <v>26</v>
      </c>
      <c r="C2731" t="s">
        <v>36</v>
      </c>
      <c r="D2731">
        <v>22</v>
      </c>
      <c r="E2731">
        <v>31</v>
      </c>
      <c r="F2731">
        <v>9</v>
      </c>
      <c r="G2731">
        <v>2</v>
      </c>
      <c r="H2731" s="1">
        <v>6.4004629629629628E-3</v>
      </c>
      <c r="I2731" t="s">
        <v>60</v>
      </c>
      <c r="J2731" t="s">
        <v>48</v>
      </c>
      <c r="K2731" s="2" t="str">
        <f>HYPERLINK("https://www.nba.com/stats/events?CFID=&amp;CFPARAMS=&amp;GameEventID=195&amp;GameID=0041800212&amp;Season=2018-19&amp;flag=1&amp;title=Leonard%2025'%203PT%20Pullup%20Jump%20Shot%20(9%20PTS)", "Leonard 25' 3PT Pullup Jump Shot (9 PTS)")</f>
        <v>Leonard 25' 3PT Pullup Jump Shot (9 PTS)</v>
      </c>
      <c r="L2731" s="2" t="str">
        <f>HYPERLINK("https://www.nba.com/game/...-vs-...-0041800212/play-by-play?watchFullGame=true", "TOR vs PHI - Q2 09:13.00")</f>
        <v>TOR vs PHI - Q2 09:13.00</v>
      </c>
      <c r="M2731">
        <v>25</v>
      </c>
      <c r="N2731">
        <v>-111</v>
      </c>
      <c r="O2731">
        <v>220</v>
      </c>
      <c r="P2731">
        <v>-111</v>
      </c>
      <c r="Q2731">
        <v>220</v>
      </c>
      <c r="R2731" t="s">
        <v>21</v>
      </c>
      <c r="S2731" t="s">
        <v>21</v>
      </c>
    </row>
    <row r="2732" spans="1:19" hidden="1" x14ac:dyDescent="0.25">
      <c r="A2732">
        <v>21600458</v>
      </c>
      <c r="B2732" t="s">
        <v>26</v>
      </c>
      <c r="C2732" t="s">
        <v>36</v>
      </c>
      <c r="D2732">
        <v>98</v>
      </c>
      <c r="E2732">
        <v>86</v>
      </c>
      <c r="F2732">
        <v>12</v>
      </c>
      <c r="G2732">
        <v>4</v>
      </c>
      <c r="H2732" s="1">
        <v>6.4120370370370373E-3</v>
      </c>
      <c r="I2732">
        <v>2016</v>
      </c>
      <c r="J2732" t="s">
        <v>20</v>
      </c>
      <c r="K2732" s="2" t="str">
        <f>HYPERLINK("https://www.nba.com/stats/events?CFID=&amp;CFPARAMS=&amp;GameEventID=409&amp;GameID=0021600458&amp;Season=2016-17&amp;flag=1&amp;title=Leonard%2025'%203PT%20Pullup%20Jump%20Shot%20(25%20PTS)%20(Green%203%20AST)", "Leonard 25' 3PT Pullup Jump Shot (25 PTS) (Green 3 AST)")</f>
        <v>Leonard 25' 3PT Pullup Jump Shot (25 PTS) (Green 3 AST)</v>
      </c>
      <c r="L2732" s="2" t="str">
        <f>HYPERLINK("https://www.nba.com/game/...-vs-...-0021600458/play-by-play?watchFullGame=true", "SAS vs CHI - Q4 09:14.00")</f>
        <v>SAS vs CHI - Q4 09:14.00</v>
      </c>
      <c r="M2732">
        <v>25</v>
      </c>
      <c r="N2732">
        <v>184</v>
      </c>
      <c r="O2732">
        <v>164</v>
      </c>
      <c r="P2732">
        <v>184</v>
      </c>
      <c r="Q2732">
        <v>164</v>
      </c>
      <c r="R2732" t="s">
        <v>21</v>
      </c>
      <c r="S2732" t="s">
        <v>21</v>
      </c>
    </row>
    <row r="2733" spans="1:19" hidden="1" x14ac:dyDescent="0.25">
      <c r="A2733">
        <v>21400624</v>
      </c>
      <c r="B2733" t="s">
        <v>26</v>
      </c>
      <c r="C2733" t="s">
        <v>19</v>
      </c>
      <c r="D2733">
        <v>91</v>
      </c>
      <c r="E2733">
        <v>78</v>
      </c>
      <c r="F2733">
        <v>13</v>
      </c>
      <c r="G2733">
        <v>4</v>
      </c>
      <c r="H2733" s="1">
        <v>6.4583333333333333E-3</v>
      </c>
      <c r="I2733">
        <v>2014</v>
      </c>
      <c r="J2733" t="s">
        <v>20</v>
      </c>
      <c r="K2733" s="2" t="str">
        <f>HYPERLINK("https://www.nba.com/stats/events?CFID=&amp;CFPARAMS=&amp;GameEventID=437&amp;GameID=0021400624&amp;Season=2014-15&amp;flag=1&amp;title=Leonard%2025'%203PT%20Jump%20Shot%20(17%20PTS)%20(D.%20Green%202%20AST)", "Leonard 25' 3PT Jump Shot (17 PTS) (D. Green 2 AST)")</f>
        <v>Leonard 25' 3PT Jump Shot (17 PTS) (D. Green 2 AST)</v>
      </c>
      <c r="L2733" s="2" t="str">
        <f>HYPERLINK("https://www.nba.com/game/...-vs-...-0021400624/play-by-play?watchFullGame=true", "SAS vs DEN - Q4 09:18.00")</f>
        <v>SAS vs DEN - Q4 09:18.00</v>
      </c>
      <c r="M2733">
        <v>25</v>
      </c>
      <c r="N2733">
        <v>-175</v>
      </c>
      <c r="O2733">
        <v>175</v>
      </c>
      <c r="P2733">
        <v>-175</v>
      </c>
      <c r="Q2733">
        <v>175</v>
      </c>
      <c r="R2733" t="s">
        <v>21</v>
      </c>
      <c r="S2733" t="s">
        <v>21</v>
      </c>
    </row>
    <row r="2734" spans="1:19" hidden="1" x14ac:dyDescent="0.25">
      <c r="A2734">
        <v>21600717</v>
      </c>
      <c r="B2734" t="s">
        <v>26</v>
      </c>
      <c r="C2734" t="s">
        <v>19</v>
      </c>
      <c r="D2734">
        <v>66</v>
      </c>
      <c r="E2734">
        <v>57</v>
      </c>
      <c r="F2734">
        <v>9</v>
      </c>
      <c r="G2734">
        <v>3</v>
      </c>
      <c r="H2734" s="1">
        <v>6.4930555555555557E-3</v>
      </c>
      <c r="I2734">
        <v>2016</v>
      </c>
      <c r="J2734" t="s">
        <v>20</v>
      </c>
      <c r="K2734" s="2" t="str">
        <f>HYPERLINK("https://www.nba.com/stats/events?CFID=&amp;CFPARAMS=&amp;GameEventID=289&amp;GameID=0021600717&amp;Season=2016-17&amp;flag=1&amp;title=Leonard%2025'%203PT%20Jump%20Shot%20(14%20PTS)%20(Aldridge%204%20AST)", "Leonard 25' 3PT Jump Shot (14 PTS) (Aldridge 4 AST)")</f>
        <v>Leonard 25' 3PT Jump Shot (14 PTS) (Aldridge 4 AST)</v>
      </c>
      <c r="L2734" s="2" t="str">
        <f>HYPERLINK("https://www.nba.com/game/...-vs-...-0021600717/play-by-play?watchFullGame=true", "SAS vs DAL - Q3 09:21.00")</f>
        <v>SAS vs DAL - Q3 09:21.00</v>
      </c>
      <c r="M2734">
        <v>25</v>
      </c>
      <c r="N2734">
        <v>148</v>
      </c>
      <c r="O2734">
        <v>203</v>
      </c>
      <c r="P2734">
        <v>148</v>
      </c>
      <c r="Q2734">
        <v>203</v>
      </c>
      <c r="R2734" t="s">
        <v>21</v>
      </c>
      <c r="S2734" t="s">
        <v>21</v>
      </c>
    </row>
    <row r="2735" spans="1:19" hidden="1" x14ac:dyDescent="0.25">
      <c r="A2735">
        <v>21801072</v>
      </c>
      <c r="B2735" t="s">
        <v>26</v>
      </c>
      <c r="C2735" t="s">
        <v>19</v>
      </c>
      <c r="D2735">
        <v>46</v>
      </c>
      <c r="E2735">
        <v>36</v>
      </c>
      <c r="F2735">
        <v>10</v>
      </c>
      <c r="G2735">
        <v>2</v>
      </c>
      <c r="H2735" s="1">
        <v>6.5162037037037037E-3</v>
      </c>
      <c r="I2735">
        <v>2018</v>
      </c>
      <c r="J2735" t="s">
        <v>48</v>
      </c>
      <c r="K2735" s="2" t="str">
        <f>HYPERLINK("https://www.nba.com/stats/events?CFID=&amp;CFPARAMS=&amp;GameEventID=188&amp;GameID=0021801072&amp;Season=2018-19&amp;flag=1&amp;title=Leonard%2025'%203PT%20Jump%20Shot%20(8%20PTS)%20(Powell%203%20AST)", "Leonard 25' 3PT Jump Shot (8 PTS) (Powell 3 AST)")</f>
        <v>Leonard 25' 3PT Jump Shot (8 PTS) (Powell 3 AST)</v>
      </c>
      <c r="L2735" s="2" t="str">
        <f>HYPERLINK("https://www.nba.com/game/...-vs-...-0021801072/play-by-play?watchFullGame=true", "TOR vs OKC - Q2 09:23.00")</f>
        <v>TOR vs OKC - Q2 09:23.00</v>
      </c>
      <c r="M2735">
        <v>25</v>
      </c>
      <c r="N2735">
        <v>38</v>
      </c>
      <c r="O2735">
        <v>252</v>
      </c>
      <c r="P2735">
        <v>38</v>
      </c>
      <c r="Q2735">
        <v>252</v>
      </c>
      <c r="R2735" t="s">
        <v>21</v>
      </c>
      <c r="S2735" t="s">
        <v>21</v>
      </c>
    </row>
    <row r="2736" spans="1:19" hidden="1" x14ac:dyDescent="0.25">
      <c r="A2736">
        <v>21501118</v>
      </c>
      <c r="B2736" t="s">
        <v>26</v>
      </c>
      <c r="C2736" t="s">
        <v>19</v>
      </c>
      <c r="D2736">
        <v>9</v>
      </c>
      <c r="E2736">
        <v>7</v>
      </c>
      <c r="F2736">
        <v>2</v>
      </c>
      <c r="G2736">
        <v>1</v>
      </c>
      <c r="H2736" s="1">
        <v>6.5856481481481478E-3</v>
      </c>
      <c r="I2736">
        <v>2015</v>
      </c>
      <c r="J2736" t="s">
        <v>20</v>
      </c>
      <c r="K2736" s="2" t="str">
        <f>HYPERLINK("https://www.nba.com/stats/events?CFID=&amp;CFPARAMS=&amp;GameEventID=18&amp;GameID=0021501118&amp;Season=2015-16&amp;flag=1&amp;title=Leonard%2025'%203PT%20Jump%20Shot%20(5%20PTS)%20(Parker%202%20AST)", "Leonard 25' 3PT Jump Shot (5 PTS) (Parker 2 AST)")</f>
        <v>Leonard 25' 3PT Jump Shot (5 PTS) (Parker 2 AST)</v>
      </c>
      <c r="L2736" s="2" t="str">
        <f>HYPERLINK("https://www.nba.com/game/...-vs-...-0021501118/play-by-play?watchFullGame=true", "SAS vs NOP - Q1 09:29.00")</f>
        <v>SAS vs NOP - Q1 09:29.00</v>
      </c>
      <c r="M2736">
        <v>25</v>
      </c>
      <c r="N2736">
        <v>-181</v>
      </c>
      <c r="O2736">
        <v>178</v>
      </c>
      <c r="P2736">
        <v>-181</v>
      </c>
      <c r="Q2736">
        <v>178</v>
      </c>
      <c r="R2736" t="s">
        <v>21</v>
      </c>
      <c r="S2736" t="s">
        <v>21</v>
      </c>
    </row>
    <row r="2737" spans="1:19" hidden="1" x14ac:dyDescent="0.25">
      <c r="A2737">
        <v>41300222</v>
      </c>
      <c r="B2737" t="s">
        <v>26</v>
      </c>
      <c r="C2737" t="s">
        <v>19</v>
      </c>
      <c r="D2737">
        <v>7</v>
      </c>
      <c r="E2737">
        <v>7</v>
      </c>
      <c r="F2737">
        <v>0</v>
      </c>
      <c r="G2737">
        <v>1</v>
      </c>
      <c r="H2737" s="1">
        <v>6.6087962962962966E-3</v>
      </c>
      <c r="I2737" t="s">
        <v>55</v>
      </c>
      <c r="J2737" t="s">
        <v>20</v>
      </c>
      <c r="K2737" s="2" t="str">
        <f>HYPERLINK("https://www.nba.com/stats/events?CFID=&amp;CFPARAMS=&amp;GameEventID=20&amp;GameID=0041300222&amp;Season=2013-14&amp;flag=1&amp;title=Leonard%2025'%203PT%20Jump%20Shot%20(5%20PTS)%20(Parker%201%20AST)", "Leonard 25' 3PT Jump Shot (5 PTS) (Parker 1 AST)")</f>
        <v>Leonard 25' 3PT Jump Shot (5 PTS) (Parker 1 AST)</v>
      </c>
      <c r="L2737" s="2" t="str">
        <f>HYPERLINK("https://www.nba.com/game/...-vs-...-0041300222/play-by-play?watchFullGame=true", "SAS vs POR - Q1 09:31.00")</f>
        <v>SAS vs POR - Q1 09:31.00</v>
      </c>
      <c r="M2737">
        <v>25</v>
      </c>
      <c r="N2737">
        <v>-62</v>
      </c>
      <c r="O2737">
        <v>246</v>
      </c>
      <c r="P2737">
        <v>-62</v>
      </c>
      <c r="Q2737">
        <v>246</v>
      </c>
      <c r="R2737" t="s">
        <v>21</v>
      </c>
      <c r="S2737" t="s">
        <v>21</v>
      </c>
    </row>
    <row r="2738" spans="1:19" hidden="1" x14ac:dyDescent="0.25">
      <c r="A2738">
        <v>21500566</v>
      </c>
      <c r="B2738" t="s">
        <v>26</v>
      </c>
      <c r="C2738" t="s">
        <v>19</v>
      </c>
      <c r="D2738">
        <v>82</v>
      </c>
      <c r="E2738">
        <v>64</v>
      </c>
      <c r="F2738">
        <v>18</v>
      </c>
      <c r="G2738">
        <v>4</v>
      </c>
      <c r="H2738" s="1">
        <v>6.6435185185185182E-3</v>
      </c>
      <c r="I2738">
        <v>2015</v>
      </c>
      <c r="J2738" t="s">
        <v>20</v>
      </c>
      <c r="K2738" s="2" t="str">
        <f>HYPERLINK("https://www.nba.com/stats/events?CFID=&amp;CFPARAMS=&amp;GameEventID=374&amp;GameID=0021500566&amp;Season=2015-16&amp;flag=1&amp;title=Leonard%2025'%203PT%20Jump%20Shot%20(14%20PTS)%20(Diaw%204%20AST)", "Leonard 25' 3PT Jump Shot (14 PTS) (Diaw 4 AST)")</f>
        <v>Leonard 25' 3PT Jump Shot (14 PTS) (Diaw 4 AST)</v>
      </c>
      <c r="L2738" s="2" t="str">
        <f>HYPERLINK("https://www.nba.com/game/...-vs-...-0021500566/play-by-play?watchFullGame=true", "SAS vs BKN - Q4 09:34.00")</f>
        <v>SAS vs BKN - Q4 09:34.00</v>
      </c>
      <c r="M2738">
        <v>25</v>
      </c>
      <c r="N2738">
        <v>-114</v>
      </c>
      <c r="O2738">
        <v>224</v>
      </c>
      <c r="P2738">
        <v>-114</v>
      </c>
      <c r="Q2738">
        <v>224</v>
      </c>
      <c r="R2738" t="s">
        <v>21</v>
      </c>
      <c r="S2738" t="s">
        <v>21</v>
      </c>
    </row>
    <row r="2739" spans="1:19" hidden="1" x14ac:dyDescent="0.25">
      <c r="A2739">
        <v>41600151</v>
      </c>
      <c r="B2739" t="s">
        <v>26</v>
      </c>
      <c r="C2739" t="s">
        <v>45</v>
      </c>
      <c r="D2739">
        <v>5</v>
      </c>
      <c r="E2739">
        <v>8</v>
      </c>
      <c r="F2739">
        <v>3</v>
      </c>
      <c r="G2739">
        <v>1</v>
      </c>
      <c r="H2739" s="1">
        <v>6.6550925925925927E-3</v>
      </c>
      <c r="I2739" t="s">
        <v>58</v>
      </c>
      <c r="J2739" t="s">
        <v>20</v>
      </c>
      <c r="K2739" s="2" t="str">
        <f>HYPERLINK("https://www.nba.com/stats/events?CFID=&amp;CFPARAMS=&amp;GameEventID=12&amp;GameID=0041600151&amp;Season=2016-17&amp;flag=1&amp;title=Leonard%2025'%203PT%20Pullup%20Bank%20Shot%20(3%20PTS)%20(Parker%201%20AST)", "Leonard 25' 3PT Pullup Bank Shot (3 PTS) (Parker 1 AST)")</f>
        <v>Leonard 25' 3PT Pullup Bank Shot (3 PTS) (Parker 1 AST)</v>
      </c>
      <c r="L2739" s="2" t="str">
        <f>HYPERLINK("https://www.nba.com/game/...-vs-...-0041600151/play-by-play?watchFullGame=true", "SAS vs MEM - Q1 09:35.00")</f>
        <v>SAS vs MEM - Q1 09:35.00</v>
      </c>
      <c r="M2739">
        <v>25</v>
      </c>
      <c r="N2739">
        <v>27</v>
      </c>
      <c r="O2739">
        <v>252</v>
      </c>
      <c r="P2739">
        <v>27</v>
      </c>
      <c r="Q2739">
        <v>252</v>
      </c>
      <c r="R2739" t="s">
        <v>21</v>
      </c>
      <c r="S2739" t="s">
        <v>21</v>
      </c>
    </row>
    <row r="2740" spans="1:19" hidden="1" x14ac:dyDescent="0.25">
      <c r="A2740">
        <v>21300589</v>
      </c>
      <c r="B2740" t="s">
        <v>26</v>
      </c>
      <c r="C2740" t="s">
        <v>19</v>
      </c>
      <c r="D2740">
        <v>10</v>
      </c>
      <c r="E2740">
        <v>6</v>
      </c>
      <c r="F2740">
        <v>4</v>
      </c>
      <c r="G2740">
        <v>1</v>
      </c>
      <c r="H2740" s="1">
        <v>6.6782407407407407E-3</v>
      </c>
      <c r="I2740">
        <v>2013</v>
      </c>
      <c r="J2740" t="s">
        <v>20</v>
      </c>
      <c r="K2740" s="2" t="str">
        <f>HYPERLINK("https://www.nba.com/stats/events?CFID=&amp;CFPARAMS=&amp;GameEventID=16&amp;GameID=0021300589&amp;Season=2013-14&amp;flag=1&amp;title=Leonard%2025'%203PT%20Jump%20Shot%20(3%20PTS)%20(Diaw%201%20AST)", "Leonard 25' 3PT Jump Shot (3 PTS) (Diaw 1 AST)")</f>
        <v>Leonard 25' 3PT Jump Shot (3 PTS) (Diaw 1 AST)</v>
      </c>
      <c r="L2740" s="2" t="str">
        <f>HYPERLINK("https://www.nba.com/game/...-vs-...-0021300589/play-by-play?watchFullGame=true", "SAS vs POR - Q1 09:37.00")</f>
        <v>SAS vs POR - Q1 09:37.00</v>
      </c>
      <c r="M2740">
        <v>25</v>
      </c>
      <c r="N2740">
        <v>141</v>
      </c>
      <c r="O2740">
        <v>208</v>
      </c>
      <c r="P2740">
        <v>141</v>
      </c>
      <c r="Q2740">
        <v>208</v>
      </c>
      <c r="R2740" t="s">
        <v>21</v>
      </c>
      <c r="S2740" t="s">
        <v>21</v>
      </c>
    </row>
    <row r="2741" spans="1:19" hidden="1" x14ac:dyDescent="0.25">
      <c r="A2741">
        <v>21400249</v>
      </c>
      <c r="B2741" t="s">
        <v>26</v>
      </c>
      <c r="C2741" t="s">
        <v>19</v>
      </c>
      <c r="D2741">
        <v>36</v>
      </c>
      <c r="E2741">
        <v>22</v>
      </c>
      <c r="F2741">
        <v>14</v>
      </c>
      <c r="G2741">
        <v>2</v>
      </c>
      <c r="H2741" s="1">
        <v>6.6898148148148151E-3</v>
      </c>
      <c r="I2741">
        <v>2014</v>
      </c>
      <c r="J2741" t="s">
        <v>20</v>
      </c>
      <c r="K2741" s="2" t="str">
        <f>HYPERLINK("https://www.nba.com/stats/events?CFID=&amp;CFPARAMS=&amp;GameEventID=157&amp;GameID=0021400249&amp;Season=2014-15&amp;flag=1&amp;title=Leonard%2025'%203PT%20Jump%20Shot%20(10%20PTS)%20(Belinelli%202%20AST)", "Leonard 25' 3PT Jump Shot (10 PTS) (Belinelli 2 AST)")</f>
        <v>Leonard 25' 3PT Jump Shot (10 PTS) (Belinelli 2 AST)</v>
      </c>
      <c r="L2741" s="2" t="str">
        <f>HYPERLINK("https://www.nba.com/game/...-vs-...-0021400249/play-by-play?watchFullGame=true", "SAS vs PHI - Q2 09:38.00")</f>
        <v>SAS vs PHI - Q2 09:38.00</v>
      </c>
      <c r="M2741">
        <v>25</v>
      </c>
      <c r="N2741">
        <v>177</v>
      </c>
      <c r="O2741">
        <v>178</v>
      </c>
      <c r="P2741">
        <v>177</v>
      </c>
      <c r="Q2741">
        <v>178</v>
      </c>
      <c r="R2741" t="s">
        <v>21</v>
      </c>
      <c r="S2741" t="s">
        <v>21</v>
      </c>
    </row>
    <row r="2742" spans="1:19" hidden="1" x14ac:dyDescent="0.25">
      <c r="A2742">
        <v>21601151</v>
      </c>
      <c r="B2742" t="s">
        <v>26</v>
      </c>
      <c r="C2742" t="s">
        <v>19</v>
      </c>
      <c r="D2742">
        <v>63</v>
      </c>
      <c r="E2742">
        <v>56</v>
      </c>
      <c r="F2742">
        <v>7</v>
      </c>
      <c r="G2742">
        <v>3</v>
      </c>
      <c r="H2742" s="1">
        <v>6.7013888888888887E-3</v>
      </c>
      <c r="I2742">
        <v>2016</v>
      </c>
      <c r="J2742" t="s">
        <v>20</v>
      </c>
      <c r="K2742" s="2" t="str">
        <f>HYPERLINK("https://www.nba.com/stats/events?CFID=&amp;CFPARAMS=&amp;GameEventID=245&amp;GameID=0021601151&amp;Season=2016-17&amp;flag=1&amp;title=Leonard%2025'%203PT%20Jump%20Shot%20(11%20PTS)%20(Anderson%203%20AST)", "Leonard 25' 3PT Jump Shot (11 PTS) (Anderson 3 AST)")</f>
        <v>Leonard 25' 3PT Jump Shot (11 PTS) (Anderson 3 AST)</v>
      </c>
      <c r="L2742" s="2" t="str">
        <f>HYPERLINK("https://www.nba.com/game/...-vs-...-0021601151/play-by-play?watchFullGame=true", "SAS vs UTA - Q3 09:39.00")</f>
        <v>SAS vs UTA - Q3 09:39.00</v>
      </c>
      <c r="M2742">
        <v>25</v>
      </c>
      <c r="N2742">
        <v>210</v>
      </c>
      <c r="O2742">
        <v>144</v>
      </c>
      <c r="P2742">
        <v>210</v>
      </c>
      <c r="Q2742">
        <v>144</v>
      </c>
      <c r="R2742" t="s">
        <v>21</v>
      </c>
      <c r="S2742" t="s">
        <v>21</v>
      </c>
    </row>
    <row r="2743" spans="1:19" hidden="1" x14ac:dyDescent="0.25">
      <c r="A2743">
        <v>21600558</v>
      </c>
      <c r="B2743" t="s">
        <v>26</v>
      </c>
      <c r="C2743" t="s">
        <v>19</v>
      </c>
      <c r="D2743">
        <v>29</v>
      </c>
      <c r="E2743">
        <v>30</v>
      </c>
      <c r="F2743">
        <v>1</v>
      </c>
      <c r="G2743">
        <v>2</v>
      </c>
      <c r="H2743" s="1">
        <v>6.7129629629629631E-3</v>
      </c>
      <c r="I2743">
        <v>2016</v>
      </c>
      <c r="J2743" t="s">
        <v>20</v>
      </c>
      <c r="K2743" s="2" t="str">
        <f>HYPERLINK("https://www.nba.com/stats/events?CFID=&amp;CFPARAMS=&amp;GameEventID=135&amp;GameID=0021600558&amp;Season=2016-17&amp;flag=1&amp;title=Leonard%2025'%203PT%20Jump%20Shot%20(8%20PTS)%20(Gasol%203%20AST)", "Leonard 25' 3PT Jump Shot (8 PTS) (Gasol 3 AST)")</f>
        <v>Leonard 25' 3PT Jump Shot (8 PTS) (Gasol 3 AST)</v>
      </c>
      <c r="L2743" s="2" t="str">
        <f>HYPERLINK("https://www.nba.com/game/...-vs-...-0021600558/play-by-play?watchFullGame=true", "SAS vs CHA - Q2 09:40.00")</f>
        <v>SAS vs CHA - Q2 09:40.00</v>
      </c>
      <c r="M2743">
        <v>25</v>
      </c>
      <c r="N2743">
        <v>-187</v>
      </c>
      <c r="O2743">
        <v>170</v>
      </c>
      <c r="P2743">
        <v>-187</v>
      </c>
      <c r="Q2743">
        <v>170</v>
      </c>
      <c r="R2743" t="s">
        <v>21</v>
      </c>
      <c r="S2743" t="s">
        <v>21</v>
      </c>
    </row>
    <row r="2744" spans="1:19" hidden="1" x14ac:dyDescent="0.25">
      <c r="A2744">
        <v>21400663</v>
      </c>
      <c r="B2744" t="s">
        <v>26</v>
      </c>
      <c r="C2744" t="s">
        <v>19</v>
      </c>
      <c r="D2744">
        <v>5</v>
      </c>
      <c r="E2744">
        <v>4</v>
      </c>
      <c r="F2744">
        <v>1</v>
      </c>
      <c r="G2744">
        <v>1</v>
      </c>
      <c r="H2744" s="1">
        <v>6.8171296296296296E-3</v>
      </c>
      <c r="I2744">
        <v>2014</v>
      </c>
      <c r="J2744" t="s">
        <v>20</v>
      </c>
      <c r="K2744" s="2" t="str">
        <f>HYPERLINK("https://www.nba.com/stats/events?CFID=&amp;CFPARAMS=&amp;GameEventID=14&amp;GameID=0021400663&amp;Season=2014-15&amp;flag=1&amp;title=Leonard%2025'%203PT%20Jump%20Shot%20(3%20PTS)%20(Bonner%201%20AST)", "Leonard 25' 3PT Jump Shot (3 PTS) (Bonner 1 AST)")</f>
        <v>Leonard 25' 3PT Jump Shot (3 PTS) (Bonner 1 AST)</v>
      </c>
      <c r="L2744" s="2" t="str">
        <f>HYPERLINK("https://www.nba.com/game/...-vs-...-0021400663/play-by-play?watchFullGame=true", "SAS vs MIL - Q1 09:49.00")</f>
        <v>SAS vs MIL - Q1 09:49.00</v>
      </c>
      <c r="M2744">
        <v>25</v>
      </c>
      <c r="N2744">
        <v>170</v>
      </c>
      <c r="O2744">
        <v>183</v>
      </c>
      <c r="P2744">
        <v>170</v>
      </c>
      <c r="Q2744">
        <v>183</v>
      </c>
      <c r="R2744" t="s">
        <v>21</v>
      </c>
      <c r="S2744" t="s">
        <v>21</v>
      </c>
    </row>
    <row r="2745" spans="1:19" hidden="1" x14ac:dyDescent="0.25">
      <c r="A2745">
        <v>21500928</v>
      </c>
      <c r="B2745" t="s">
        <v>26</v>
      </c>
      <c r="C2745" t="s">
        <v>19</v>
      </c>
      <c r="D2745">
        <v>64</v>
      </c>
      <c r="E2745">
        <v>54</v>
      </c>
      <c r="F2745">
        <v>10</v>
      </c>
      <c r="G2745">
        <v>3</v>
      </c>
      <c r="H2745" s="1">
        <v>6.851851851851852E-3</v>
      </c>
      <c r="I2745">
        <v>2015</v>
      </c>
      <c r="J2745" t="s">
        <v>20</v>
      </c>
      <c r="K2745" s="2" t="str">
        <f>HYPERLINK("https://www.nba.com/stats/events?CFID=&amp;CFPARAMS=&amp;GameEventID=295&amp;GameID=0021500928&amp;Season=2015-16&amp;flag=1&amp;title=Leonard%2025'%203PT%20Jump%20Shot%20(17%20PTS)", "Leonard 25' 3PT Jump Shot (17 PTS)")</f>
        <v>Leonard 25' 3PT Jump Shot (17 PTS)</v>
      </c>
      <c r="L2745" s="2" t="str">
        <f>HYPERLINK("https://www.nba.com/game/...-vs-...-0021500928/play-by-play?watchFullGame=true", "SAS vs SAC - Q3 09:52.00")</f>
        <v>SAS vs SAC - Q3 09:52.00</v>
      </c>
      <c r="M2745">
        <v>25</v>
      </c>
      <c r="N2745">
        <v>-199</v>
      </c>
      <c r="O2745">
        <v>154</v>
      </c>
      <c r="P2745">
        <v>-199</v>
      </c>
      <c r="Q2745">
        <v>154</v>
      </c>
      <c r="R2745" t="s">
        <v>21</v>
      </c>
      <c r="S2745" t="s">
        <v>21</v>
      </c>
    </row>
    <row r="2746" spans="1:19" hidden="1" x14ac:dyDescent="0.25">
      <c r="A2746">
        <v>41500233</v>
      </c>
      <c r="B2746" t="s">
        <v>26</v>
      </c>
      <c r="C2746" t="s">
        <v>19</v>
      </c>
      <c r="D2746">
        <v>77</v>
      </c>
      <c r="E2746">
        <v>73</v>
      </c>
      <c r="F2746">
        <v>4</v>
      </c>
      <c r="G2746">
        <v>4</v>
      </c>
      <c r="H2746" s="1">
        <v>6.9328703703703705E-3</v>
      </c>
      <c r="I2746" t="s">
        <v>57</v>
      </c>
      <c r="J2746" t="s">
        <v>20</v>
      </c>
      <c r="K2746" s="2" t="str">
        <f>HYPERLINK("https://www.nba.com/stats/events?CFID=&amp;CFPARAMS=&amp;GameEventID=412&amp;GameID=0041500233&amp;Season=2015-16&amp;flag=1&amp;title=Leonard%2025'%203PT%20Jump%20Shot%20(21%20PTS)%20(Mills%202%20AST)", "Leonard 25' 3PT Jump Shot (21 PTS) (Mills 2 AST)")</f>
        <v>Leonard 25' 3PT Jump Shot (21 PTS) (Mills 2 AST)</v>
      </c>
      <c r="L2746" s="2" t="str">
        <f>HYPERLINK("https://www.nba.com/game/...-vs-...-0041500233/play-by-play?watchFullGame=true", "SAS vs OKC - Q4 09:59.00")</f>
        <v>SAS vs OKC - Q4 09:59.00</v>
      </c>
      <c r="M2746">
        <v>25</v>
      </c>
      <c r="N2746">
        <v>-212</v>
      </c>
      <c r="O2746">
        <v>139</v>
      </c>
      <c r="P2746">
        <v>-212</v>
      </c>
      <c r="Q2746">
        <v>139</v>
      </c>
      <c r="R2746" t="s">
        <v>21</v>
      </c>
      <c r="S2746" t="s">
        <v>21</v>
      </c>
    </row>
    <row r="2747" spans="1:19" hidden="1" x14ac:dyDescent="0.25">
      <c r="A2747">
        <v>41600233</v>
      </c>
      <c r="B2747" t="s">
        <v>26</v>
      </c>
      <c r="C2747" t="s">
        <v>36</v>
      </c>
      <c r="D2747">
        <v>50</v>
      </c>
      <c r="E2747">
        <v>41</v>
      </c>
      <c r="F2747">
        <v>9</v>
      </c>
      <c r="G2747">
        <v>3</v>
      </c>
      <c r="H2747" s="1">
        <v>6.9675925925925929E-3</v>
      </c>
      <c r="I2747" t="s">
        <v>58</v>
      </c>
      <c r="J2747" t="s">
        <v>20</v>
      </c>
      <c r="K2747" s="2" t="str">
        <f>HYPERLINK("https://www.nba.com/stats/events?CFID=&amp;CFPARAMS=&amp;GameEventID=278&amp;GameID=0041600233&amp;Season=2016-17&amp;flag=1&amp;title=Leonard%2025'%203PT%20Pullup%20Jump%20Shot%20(15%20PTS)", "Leonard 25' 3PT Pullup Jump Shot (15 PTS)")</f>
        <v>Leonard 25' 3PT Pullup Jump Shot (15 PTS)</v>
      </c>
      <c r="L2747" s="2" t="str">
        <f>HYPERLINK("https://www.nba.com/game/...-vs-...-0041600233/play-by-play?watchFullGame=true", "SAS vs HOU - Q3 10:02.00")</f>
        <v>SAS vs HOU - Q3 10:02.00</v>
      </c>
      <c r="M2747">
        <v>25</v>
      </c>
      <c r="N2747">
        <v>66</v>
      </c>
      <c r="O2747">
        <v>242</v>
      </c>
      <c r="P2747">
        <v>66</v>
      </c>
      <c r="Q2747">
        <v>242</v>
      </c>
      <c r="R2747" t="s">
        <v>21</v>
      </c>
      <c r="S2747" t="s">
        <v>21</v>
      </c>
    </row>
    <row r="2748" spans="1:19" hidden="1" x14ac:dyDescent="0.25">
      <c r="A2748">
        <v>21500909</v>
      </c>
      <c r="B2748" t="s">
        <v>26</v>
      </c>
      <c r="C2748" t="s">
        <v>19</v>
      </c>
      <c r="D2748">
        <v>5</v>
      </c>
      <c r="E2748">
        <v>4</v>
      </c>
      <c r="F2748">
        <v>1</v>
      </c>
      <c r="G2748">
        <v>1</v>
      </c>
      <c r="H2748" s="1">
        <v>6.9791666666666665E-3</v>
      </c>
      <c r="I2748">
        <v>2015</v>
      </c>
      <c r="J2748" t="s">
        <v>20</v>
      </c>
      <c r="K2748" s="2" t="str">
        <f>HYPERLINK("https://www.nba.com/stats/events?CFID=&amp;CFPARAMS=&amp;GameEventID=16&amp;GameID=0021500909&amp;Season=2015-16&amp;flag=1&amp;title=Leonard%2025'%203PT%20Jump%20Shot%20(5%20PTS)%20(Duncan%201%20AST)", "Leonard 25' 3PT Jump Shot (5 PTS) (Duncan 1 AST)")</f>
        <v>Leonard 25' 3PT Jump Shot (5 PTS) (Duncan 1 AST)</v>
      </c>
      <c r="L2748" s="2" t="str">
        <f>HYPERLINK("https://www.nba.com/game/...-vs-...-0021500909/play-by-play?watchFullGame=true", "SAS vs NOP - Q1 10:03.00")</f>
        <v>SAS vs NOP - Q1 10:03.00</v>
      </c>
      <c r="M2748">
        <v>25</v>
      </c>
      <c r="N2748">
        <v>91</v>
      </c>
      <c r="O2748">
        <v>232</v>
      </c>
      <c r="P2748">
        <v>91</v>
      </c>
      <c r="Q2748">
        <v>232</v>
      </c>
      <c r="R2748" t="s">
        <v>21</v>
      </c>
      <c r="S2748" t="s">
        <v>21</v>
      </c>
    </row>
    <row r="2749" spans="1:19" hidden="1" x14ac:dyDescent="0.25">
      <c r="A2749">
        <v>21500644</v>
      </c>
      <c r="B2749" t="s">
        <v>26</v>
      </c>
      <c r="C2749" t="s">
        <v>19</v>
      </c>
      <c r="D2749">
        <v>56</v>
      </c>
      <c r="E2749">
        <v>45</v>
      </c>
      <c r="F2749">
        <v>11</v>
      </c>
      <c r="G2749">
        <v>3</v>
      </c>
      <c r="H2749" s="1">
        <v>7.0023148148148145E-3</v>
      </c>
      <c r="I2749">
        <v>2015</v>
      </c>
      <c r="J2749" t="s">
        <v>20</v>
      </c>
      <c r="K2749" s="2" t="str">
        <f>HYPERLINK("https://www.nba.com/stats/events?CFID=&amp;CFPARAMS=&amp;GameEventID=264&amp;GameID=0021500644&amp;Season=2015-16&amp;flag=1&amp;title=Leonard%2025'%203PT%20Jump%20Shot%20(14%20PTS)%20(Aldridge%202%20AST)", "Leonard 25' 3PT Jump Shot (14 PTS) (Aldridge 2 AST)")</f>
        <v>Leonard 25' 3PT Jump Shot (14 PTS) (Aldridge 2 AST)</v>
      </c>
      <c r="L2749" s="2" t="str">
        <f>HYPERLINK("https://www.nba.com/game/...-vs-...-0021500644/play-by-play?watchFullGame=true", "SAS vs PHX - Q3 10:05.00")</f>
        <v>SAS vs PHX - Q3 10:05.00</v>
      </c>
      <c r="M2749">
        <v>25</v>
      </c>
      <c r="N2749">
        <v>138</v>
      </c>
      <c r="O2749">
        <v>203</v>
      </c>
      <c r="P2749">
        <v>138</v>
      </c>
      <c r="Q2749">
        <v>203</v>
      </c>
      <c r="R2749" t="s">
        <v>21</v>
      </c>
      <c r="S2749" t="s">
        <v>21</v>
      </c>
    </row>
    <row r="2750" spans="1:19" hidden="1" x14ac:dyDescent="0.25">
      <c r="A2750">
        <v>21500872</v>
      </c>
      <c r="B2750" t="s">
        <v>26</v>
      </c>
      <c r="C2750" t="s">
        <v>19</v>
      </c>
      <c r="D2750">
        <v>57</v>
      </c>
      <c r="E2750">
        <v>31</v>
      </c>
      <c r="F2750">
        <v>26</v>
      </c>
      <c r="G2750">
        <v>3</v>
      </c>
      <c r="H2750" s="1">
        <v>7.0023148148148145E-3</v>
      </c>
      <c r="I2750">
        <v>2015</v>
      </c>
      <c r="J2750" t="s">
        <v>20</v>
      </c>
      <c r="K2750" s="2" t="str">
        <f>HYPERLINK("https://www.nba.com/stats/events?CFID=&amp;CFPARAMS=&amp;GameEventID=258&amp;GameID=0021500872&amp;Season=2015-16&amp;flag=1&amp;title=Leonard%2025'%203PT%20Jump%20Shot%20(18%20PTS)%20(Aldridge%201%20AST)", "Leonard 25' 3PT Jump Shot (18 PTS) (Aldridge 1 AST)")</f>
        <v>Leonard 25' 3PT Jump Shot (18 PTS) (Aldridge 1 AST)</v>
      </c>
      <c r="L2750" s="2" t="str">
        <f>HYPERLINK("https://www.nba.com/game/...-vs-...-0021500872/play-by-play?watchFullGame=true", "SAS vs HOU - Q3 10:05.00")</f>
        <v>SAS vs HOU - Q3 10:05.00</v>
      </c>
      <c r="M2750">
        <v>25</v>
      </c>
      <c r="N2750">
        <v>202</v>
      </c>
      <c r="O2750">
        <v>146</v>
      </c>
      <c r="P2750">
        <v>202</v>
      </c>
      <c r="Q2750">
        <v>146</v>
      </c>
      <c r="R2750" t="s">
        <v>21</v>
      </c>
      <c r="S2750" t="s">
        <v>21</v>
      </c>
    </row>
    <row r="2751" spans="1:19" hidden="1" x14ac:dyDescent="0.25">
      <c r="A2751">
        <v>21300952</v>
      </c>
      <c r="B2751" t="s">
        <v>26</v>
      </c>
      <c r="C2751" t="s">
        <v>19</v>
      </c>
      <c r="D2751">
        <v>5</v>
      </c>
      <c r="E2751">
        <v>0</v>
      </c>
      <c r="F2751">
        <v>5</v>
      </c>
      <c r="G2751">
        <v>1</v>
      </c>
      <c r="H2751" s="1">
        <v>7.0254629629629634E-3</v>
      </c>
      <c r="I2751">
        <v>2013</v>
      </c>
      <c r="J2751" t="s">
        <v>20</v>
      </c>
      <c r="K2751" s="2" t="str">
        <f>HYPERLINK("https://www.nba.com/stats/events?CFID=&amp;CFPARAMS=&amp;GameEventID=12&amp;GameID=0021300952&amp;Season=2013-14&amp;flag=1&amp;title=Leonard%2025'%203PT%20Jump%20Shot%20(3%20PTS)%20(Parker%201%20AST)", "Leonard 25' 3PT Jump Shot (3 PTS) (Parker 1 AST)")</f>
        <v>Leonard 25' 3PT Jump Shot (3 PTS) (Parker 1 AST)</v>
      </c>
      <c r="L2751" s="2" t="str">
        <f>HYPERLINK("https://www.nba.com/game/...-vs-...-0021300952/play-by-play?watchFullGame=true", "SAS vs CHI - Q1 10:07.00")</f>
        <v>SAS vs CHI - Q1 10:07.00</v>
      </c>
      <c r="M2751">
        <v>25</v>
      </c>
      <c r="N2751">
        <v>-168</v>
      </c>
      <c r="O2751">
        <v>190</v>
      </c>
      <c r="P2751">
        <v>-168</v>
      </c>
      <c r="Q2751">
        <v>190</v>
      </c>
      <c r="R2751" t="s">
        <v>21</v>
      </c>
      <c r="S2751" t="s">
        <v>21</v>
      </c>
    </row>
    <row r="2752" spans="1:19" hidden="1" x14ac:dyDescent="0.25">
      <c r="A2752">
        <v>21801214</v>
      </c>
      <c r="B2752" t="s">
        <v>26</v>
      </c>
      <c r="C2752" t="s">
        <v>19</v>
      </c>
      <c r="D2752">
        <v>72</v>
      </c>
      <c r="E2752">
        <v>54</v>
      </c>
      <c r="F2752">
        <v>18</v>
      </c>
      <c r="G2752">
        <v>3</v>
      </c>
      <c r="H2752" s="1">
        <v>7.083333333333333E-3</v>
      </c>
      <c r="I2752">
        <v>2018</v>
      </c>
      <c r="J2752" t="s">
        <v>48</v>
      </c>
      <c r="K2752" s="2" t="str">
        <f>HYPERLINK("https://www.nba.com/stats/events?CFID=&amp;CFPARAMS=&amp;GameEventID=345&amp;GameID=0021801214&amp;Season=2018-19&amp;flag=1&amp;title=Leonard%2025'%203PT%20Jump%20Shot%20(14%20PTS)", "Leonard 25' 3PT Jump Shot (14 PTS)")</f>
        <v>Leonard 25' 3PT Jump Shot (14 PTS)</v>
      </c>
      <c r="L2752" s="2" t="str">
        <f>HYPERLINK("https://www.nba.com/game/...-vs-...-0021801214/play-by-play?watchFullGame=true", "TOR vs MIN - Q3 10:12.00")</f>
        <v>TOR vs MIN - Q3 10:12.00</v>
      </c>
      <c r="M2752">
        <v>25</v>
      </c>
      <c r="N2752">
        <v>8</v>
      </c>
      <c r="O2752">
        <v>251</v>
      </c>
      <c r="P2752">
        <v>8</v>
      </c>
      <c r="Q2752">
        <v>251</v>
      </c>
      <c r="R2752" t="s">
        <v>21</v>
      </c>
      <c r="S2752" t="s">
        <v>21</v>
      </c>
    </row>
    <row r="2753" spans="1:19" hidden="1" x14ac:dyDescent="0.25">
      <c r="A2753">
        <v>21301186</v>
      </c>
      <c r="B2753" t="s">
        <v>26</v>
      </c>
      <c r="C2753" t="s">
        <v>19</v>
      </c>
      <c r="D2753">
        <v>5</v>
      </c>
      <c r="E2753">
        <v>7</v>
      </c>
      <c r="F2753">
        <v>2</v>
      </c>
      <c r="G2753">
        <v>1</v>
      </c>
      <c r="H2753" s="1">
        <v>7.0949074074074074E-3</v>
      </c>
      <c r="I2753">
        <v>2013</v>
      </c>
      <c r="J2753" t="s">
        <v>20</v>
      </c>
      <c r="K2753" s="2" t="str">
        <f>HYPERLINK("https://www.nba.com/stats/events?CFID=&amp;CFPARAMS=&amp;GameEventID=13&amp;GameID=0021301186&amp;Season=2013-14&amp;flag=1&amp;title=Leonard%2025'%203PT%20Jump%20Shot%20(3%20PTS)%20(Parker%202%20AST)", "Leonard 25' 3PT Jump Shot (3 PTS) (Parker 2 AST)")</f>
        <v>Leonard 25' 3PT Jump Shot (3 PTS) (Parker 2 AST)</v>
      </c>
      <c r="L2753" s="2" t="str">
        <f>HYPERLINK("https://www.nba.com/game/...-vs-...-0021301186/play-by-play?watchFullGame=true", "SAS vs PHX - Q1 10:13.00")</f>
        <v>SAS vs PHX - Q1 10:13.00</v>
      </c>
      <c r="M2753">
        <v>25</v>
      </c>
      <c r="N2753">
        <v>-180</v>
      </c>
      <c r="O2753">
        <v>168</v>
      </c>
      <c r="P2753">
        <v>-180</v>
      </c>
      <c r="Q2753">
        <v>168</v>
      </c>
      <c r="R2753" t="s">
        <v>21</v>
      </c>
      <c r="S2753" t="s">
        <v>21</v>
      </c>
    </row>
    <row r="2754" spans="1:19" hidden="1" x14ac:dyDescent="0.25">
      <c r="A2754">
        <v>21800371</v>
      </c>
      <c r="B2754" t="s">
        <v>26</v>
      </c>
      <c r="C2754" t="s">
        <v>19</v>
      </c>
      <c r="D2754">
        <v>59</v>
      </c>
      <c r="E2754">
        <v>55</v>
      </c>
      <c r="F2754">
        <v>4</v>
      </c>
      <c r="G2754">
        <v>3</v>
      </c>
      <c r="H2754" s="1">
        <v>7.0949074074074074E-3</v>
      </c>
      <c r="I2754">
        <v>2018</v>
      </c>
      <c r="J2754" t="s">
        <v>48</v>
      </c>
      <c r="K2754" s="2" t="str">
        <f>HYPERLINK("https://www.nba.com/stats/events?CFID=&amp;CFPARAMS=&amp;GameEventID=349&amp;GameID=0021800371&amp;Season=2018-19&amp;flag=1&amp;title=Leonard%2025'%203PT%20Jump%20Shot%20(14%20PTS)%20(Lowry%206%20AST)", "Leonard 25' 3PT Jump Shot (14 PTS) (Lowry 6 AST)")</f>
        <v>Leonard 25' 3PT Jump Shot (14 PTS) (Lowry 6 AST)</v>
      </c>
      <c r="L2754" s="2" t="str">
        <f>HYPERLINK("https://www.nba.com/game/...-vs-...-0021800371/play-by-play?watchFullGame=true", "TOR vs BKN - Q3 10:13.00")</f>
        <v>TOR vs BKN - Q3 10:13.00</v>
      </c>
      <c r="M2754">
        <v>25</v>
      </c>
      <c r="N2754">
        <v>93</v>
      </c>
      <c r="O2754">
        <v>235</v>
      </c>
      <c r="P2754">
        <v>93</v>
      </c>
      <c r="Q2754">
        <v>235</v>
      </c>
      <c r="R2754" t="s">
        <v>21</v>
      </c>
      <c r="S2754" t="s">
        <v>21</v>
      </c>
    </row>
    <row r="2755" spans="1:19" hidden="1" x14ac:dyDescent="0.25">
      <c r="A2755">
        <v>21600182</v>
      </c>
      <c r="B2755" t="s">
        <v>26</v>
      </c>
      <c r="C2755" t="s">
        <v>19</v>
      </c>
      <c r="D2755">
        <v>55</v>
      </c>
      <c r="E2755">
        <v>57</v>
      </c>
      <c r="F2755">
        <v>2</v>
      </c>
      <c r="G2755">
        <v>3</v>
      </c>
      <c r="H2755" s="1">
        <v>7.1064814814814819E-3</v>
      </c>
      <c r="I2755">
        <v>2016</v>
      </c>
      <c r="J2755" t="s">
        <v>20</v>
      </c>
      <c r="K2755" s="2" t="str">
        <f>HYPERLINK("https://www.nba.com/stats/events?CFID=&amp;CFPARAMS=&amp;GameEventID=267&amp;GameID=0021600182&amp;Season=2016-17&amp;flag=1&amp;title=Leonard%2025'%203PT%20Jump%20Shot%20(10%20PTS)%20(Green%204%20AST)", "Leonard 25' 3PT Jump Shot (10 PTS) (Green 4 AST)")</f>
        <v>Leonard 25' 3PT Jump Shot (10 PTS) (Green 4 AST)</v>
      </c>
      <c r="L2755" s="2" t="str">
        <f>HYPERLINK("https://www.nba.com/game/...-vs-...-0021600182/play-by-play?watchFullGame=true", "SAS vs LAL - Q3 10:14.00")</f>
        <v>SAS vs LAL - Q3 10:14.00</v>
      </c>
      <c r="M2755">
        <v>25</v>
      </c>
      <c r="N2755">
        <v>93</v>
      </c>
      <c r="O2755">
        <v>232</v>
      </c>
      <c r="P2755">
        <v>93</v>
      </c>
      <c r="Q2755">
        <v>232</v>
      </c>
      <c r="R2755" t="s">
        <v>21</v>
      </c>
      <c r="S2755" t="s">
        <v>21</v>
      </c>
    </row>
    <row r="2756" spans="1:19" hidden="1" x14ac:dyDescent="0.25">
      <c r="A2756">
        <v>21601193</v>
      </c>
      <c r="B2756" t="s">
        <v>26</v>
      </c>
      <c r="C2756" t="s">
        <v>19</v>
      </c>
      <c r="D2756">
        <v>48</v>
      </c>
      <c r="E2756">
        <v>59</v>
      </c>
      <c r="F2756">
        <v>11</v>
      </c>
      <c r="G2756">
        <v>3</v>
      </c>
      <c r="H2756" s="1">
        <v>7.1064814814814819E-3</v>
      </c>
      <c r="I2756">
        <v>2016</v>
      </c>
      <c r="J2756" t="s">
        <v>20</v>
      </c>
      <c r="K2756" s="2" t="str">
        <f>HYPERLINK("https://www.nba.com/stats/events?CFID=&amp;CFPARAMS=&amp;GameEventID=245&amp;GameID=0021601193&amp;Season=2016-17&amp;flag=1&amp;title=Leonard%2025'%203PT%20Jump%20Shot%20(13%20PTS)%20(Simmons%202%20AST)", "Leonard 25' 3PT Jump Shot (13 PTS) (Simmons 2 AST)")</f>
        <v>Leonard 25' 3PT Jump Shot (13 PTS) (Simmons 2 AST)</v>
      </c>
      <c r="L2756" s="2" t="str">
        <f>HYPERLINK("https://www.nba.com/game/...-vs-...-0021601193/play-by-play?watchFullGame=true", "SAS vs LAC - Q3 10:14.00")</f>
        <v>SAS vs LAC - Q3 10:14.00</v>
      </c>
      <c r="M2756">
        <v>25</v>
      </c>
      <c r="N2756">
        <v>161</v>
      </c>
      <c r="O2756">
        <v>188</v>
      </c>
      <c r="P2756">
        <v>161</v>
      </c>
      <c r="Q2756">
        <v>188</v>
      </c>
      <c r="R2756" t="s">
        <v>21</v>
      </c>
      <c r="S2756" t="s">
        <v>21</v>
      </c>
    </row>
    <row r="2757" spans="1:19" hidden="1" x14ac:dyDescent="0.25">
      <c r="A2757">
        <v>21600834</v>
      </c>
      <c r="B2757" t="s">
        <v>26</v>
      </c>
      <c r="C2757" t="s">
        <v>19</v>
      </c>
      <c r="D2757">
        <v>61</v>
      </c>
      <c r="E2757">
        <v>41</v>
      </c>
      <c r="F2757">
        <v>20</v>
      </c>
      <c r="G2757">
        <v>3</v>
      </c>
      <c r="H2757" s="1">
        <v>7.1296296296296299E-3</v>
      </c>
      <c r="I2757">
        <v>2016</v>
      </c>
      <c r="J2757" t="s">
        <v>20</v>
      </c>
      <c r="K2757" s="2" t="str">
        <f>HYPERLINK("https://www.nba.com/stats/events?CFID=&amp;CFPARAMS=&amp;GameEventID=282&amp;GameID=0021600834&amp;Season=2016-17&amp;flag=1&amp;title=Leonard%2025'%203PT%20Jump%20Shot%20(20%20PTS)%20(Parker%205%20AST)", "Leonard 25' 3PT Jump Shot (20 PTS) (Parker 5 AST)")</f>
        <v>Leonard 25' 3PT Jump Shot (20 PTS) (Parker 5 AST)</v>
      </c>
      <c r="L2757" s="2" t="str">
        <f>HYPERLINK("https://www.nba.com/game/...-vs-...-0021600834/play-by-play?watchFullGame=true", "SAS vs ORL - Q3 10:16.00")</f>
        <v>SAS vs ORL - Q3 10:16.00</v>
      </c>
      <c r="M2757">
        <v>25</v>
      </c>
      <c r="N2757">
        <v>48</v>
      </c>
      <c r="O2757">
        <v>244</v>
      </c>
      <c r="P2757">
        <v>48</v>
      </c>
      <c r="Q2757">
        <v>244</v>
      </c>
      <c r="R2757" t="s">
        <v>21</v>
      </c>
      <c r="S2757" t="s">
        <v>21</v>
      </c>
    </row>
    <row r="2758" spans="1:19" hidden="1" x14ac:dyDescent="0.25">
      <c r="A2758">
        <v>21300338</v>
      </c>
      <c r="B2758" t="s">
        <v>26</v>
      </c>
      <c r="C2758" t="s">
        <v>19</v>
      </c>
      <c r="D2758">
        <v>8</v>
      </c>
      <c r="E2758">
        <v>4</v>
      </c>
      <c r="F2758">
        <v>4</v>
      </c>
      <c r="G2758">
        <v>1</v>
      </c>
      <c r="H2758" s="1">
        <v>7.1875000000000003E-3</v>
      </c>
      <c r="I2758">
        <v>2013</v>
      </c>
      <c r="J2758" t="s">
        <v>20</v>
      </c>
      <c r="K2758" s="2" t="str">
        <f>HYPERLINK("https://www.nba.com/stats/events?CFID=&amp;CFPARAMS=&amp;GameEventID=10&amp;GameID=0021300338&amp;Season=2013-14&amp;flag=1&amp;title=Leonard%2025'%203PT%20Jump%20Shot%20(6%20PTS)", "Leonard 25' 3PT Jump Shot (6 PTS)")</f>
        <v>Leonard 25' 3PT Jump Shot (6 PTS)</v>
      </c>
      <c r="L2758" s="2" t="str">
        <f>HYPERLINK("https://www.nba.com/game/...-vs-...-0021300338/play-by-play?watchFullGame=true", "SAS vs MIN - Q1 10:21.00")</f>
        <v>SAS vs MIN - Q1 10:21.00</v>
      </c>
      <c r="M2758">
        <v>25</v>
      </c>
      <c r="N2758">
        <v>110</v>
      </c>
      <c r="O2758">
        <v>224</v>
      </c>
      <c r="P2758">
        <v>110</v>
      </c>
      <c r="Q2758">
        <v>224</v>
      </c>
      <c r="R2758" t="s">
        <v>21</v>
      </c>
      <c r="S2758" t="s">
        <v>21</v>
      </c>
    </row>
    <row r="2759" spans="1:19" hidden="1" x14ac:dyDescent="0.25">
      <c r="A2759">
        <v>21600558</v>
      </c>
      <c r="B2759" t="s">
        <v>26</v>
      </c>
      <c r="C2759" t="s">
        <v>19</v>
      </c>
      <c r="D2759">
        <v>7</v>
      </c>
      <c r="E2759">
        <v>2</v>
      </c>
      <c r="F2759">
        <v>5</v>
      </c>
      <c r="G2759">
        <v>1</v>
      </c>
      <c r="H2759" s="1">
        <v>7.2337962962962963E-3</v>
      </c>
      <c r="I2759">
        <v>2016</v>
      </c>
      <c r="J2759" t="s">
        <v>20</v>
      </c>
      <c r="K2759" s="2" t="str">
        <f>HYPERLINK("https://www.nba.com/stats/events?CFID=&amp;CFPARAMS=&amp;GameEventID=6&amp;GameID=0021600558&amp;Season=2016-17&amp;flag=1&amp;title=Leonard%2025'%203PT%20Jump%20Shot%20(5%20PTS)%20(Aldridge%201%20AST)", "Leonard 25' 3PT Jump Shot (5 PTS) (Aldridge 1 AST)")</f>
        <v>Leonard 25' 3PT Jump Shot (5 PTS) (Aldridge 1 AST)</v>
      </c>
      <c r="L2759" s="2" t="str">
        <f>HYPERLINK("https://www.nba.com/game/...-vs-...-0021600558/play-by-play?watchFullGame=true", "SAS vs CHA - Q1 10:25.00")</f>
        <v>SAS vs CHA - Q1 10:25.00</v>
      </c>
      <c r="M2759">
        <v>25</v>
      </c>
      <c r="N2759">
        <v>-106</v>
      </c>
      <c r="O2759">
        <v>223</v>
      </c>
      <c r="P2759">
        <v>-106</v>
      </c>
      <c r="Q2759">
        <v>223</v>
      </c>
      <c r="R2759" t="s">
        <v>21</v>
      </c>
      <c r="S2759" t="s">
        <v>21</v>
      </c>
    </row>
    <row r="2760" spans="1:19" hidden="1" x14ac:dyDescent="0.25">
      <c r="A2760">
        <v>21501036</v>
      </c>
      <c r="B2760" t="s">
        <v>26</v>
      </c>
      <c r="C2760" t="s">
        <v>19</v>
      </c>
      <c r="D2760">
        <v>46</v>
      </c>
      <c r="E2760">
        <v>40</v>
      </c>
      <c r="F2760">
        <v>6</v>
      </c>
      <c r="G2760">
        <v>3</v>
      </c>
      <c r="H2760" s="1">
        <v>7.3032407407407404E-3</v>
      </c>
      <c r="I2760">
        <v>2015</v>
      </c>
      <c r="J2760" t="s">
        <v>20</v>
      </c>
      <c r="K2760" s="2" t="str">
        <f>HYPERLINK("https://www.nba.com/stats/events?CFID=&amp;CFPARAMS=&amp;GameEventID=250&amp;GameID=0021501036&amp;Season=2015-16&amp;flag=1&amp;title=Leonard%2025'%203PT%20Jump%20Shot%20(15%20PTS)%20(Parker%203%20AST)", "Leonard 25' 3PT Jump Shot (15 PTS) (Parker 3 AST)")</f>
        <v>Leonard 25' 3PT Jump Shot (15 PTS) (Parker 3 AST)</v>
      </c>
      <c r="L2760" s="2" t="str">
        <f>HYPERLINK("https://www.nba.com/game/...-vs-...-0021501036/play-by-play?watchFullGame=true", "SAS vs GSW - Q3 10:31.00")</f>
        <v>SAS vs GSW - Q3 10:31.00</v>
      </c>
      <c r="M2760">
        <v>25</v>
      </c>
      <c r="N2760">
        <v>-120</v>
      </c>
      <c r="O2760">
        <v>214</v>
      </c>
      <c r="P2760">
        <v>-120</v>
      </c>
      <c r="Q2760">
        <v>214</v>
      </c>
      <c r="R2760" t="s">
        <v>21</v>
      </c>
      <c r="S2760" t="s">
        <v>21</v>
      </c>
    </row>
    <row r="2761" spans="1:19" hidden="1" x14ac:dyDescent="0.25">
      <c r="A2761">
        <v>21401157</v>
      </c>
      <c r="B2761" t="s">
        <v>26</v>
      </c>
      <c r="C2761" t="s">
        <v>19</v>
      </c>
      <c r="D2761">
        <v>3</v>
      </c>
      <c r="E2761">
        <v>0</v>
      </c>
      <c r="F2761">
        <v>3</v>
      </c>
      <c r="G2761">
        <v>1</v>
      </c>
      <c r="H2761" s="1">
        <v>7.3032407407407404E-3</v>
      </c>
      <c r="I2761">
        <v>2014</v>
      </c>
      <c r="J2761" t="s">
        <v>20</v>
      </c>
      <c r="K2761" s="2" t="str">
        <f>HYPERLINK("https://www.nba.com/stats/events?CFID=&amp;CFPARAMS=&amp;GameEventID=17&amp;GameID=0021401157&amp;Season=2014-15&amp;flag=1&amp;title=Leonard%2025'%203PT%20Jump%20Shot%20(3%20PTS)%20(Green%201%20AST)", "Leonard 25' 3PT Jump Shot (3 PTS) (Green 1 AST)")</f>
        <v>Leonard 25' 3PT Jump Shot (3 PTS) (Green 1 AST)</v>
      </c>
      <c r="L2761" s="2" t="str">
        <f>HYPERLINK("https://www.nba.com/game/...-vs-...-0021401157/play-by-play?watchFullGame=true", "SAS vs OKC - Q1 10:31.00")</f>
        <v>SAS vs OKC - Q1 10:31.00</v>
      </c>
      <c r="M2761">
        <v>25</v>
      </c>
      <c r="N2761">
        <v>203</v>
      </c>
      <c r="O2761">
        <v>143</v>
      </c>
      <c r="P2761">
        <v>203</v>
      </c>
      <c r="Q2761">
        <v>143</v>
      </c>
      <c r="R2761" t="s">
        <v>21</v>
      </c>
      <c r="S2761" t="s">
        <v>21</v>
      </c>
    </row>
    <row r="2762" spans="1:19" hidden="1" x14ac:dyDescent="0.25">
      <c r="A2762">
        <v>21500280</v>
      </c>
      <c r="B2762" t="s">
        <v>26</v>
      </c>
      <c r="C2762" t="s">
        <v>30</v>
      </c>
      <c r="D2762">
        <v>51</v>
      </c>
      <c r="E2762">
        <v>36</v>
      </c>
      <c r="F2762">
        <v>15</v>
      </c>
      <c r="G2762">
        <v>3</v>
      </c>
      <c r="H2762" s="1">
        <v>7.3148148148148148E-3</v>
      </c>
      <c r="I2762">
        <v>2015</v>
      </c>
      <c r="J2762" t="s">
        <v>20</v>
      </c>
      <c r="K2762" s="2" t="str">
        <f>HYPERLINK("https://www.nba.com/stats/events?CFID=&amp;CFPARAMS=&amp;GameEventID=253&amp;GameID=0021500280&amp;Season=2015-16&amp;flag=1&amp;title=Leonard%2025'%203PT%20Running%20Jump%20Shot%20(13%20PTS)%20(Parker%203%20AST)", "Leonard 25' 3PT Running Jump Shot (13 PTS) (Parker 3 AST)")</f>
        <v>Leonard 25' 3PT Running Jump Shot (13 PTS) (Parker 3 AST)</v>
      </c>
      <c r="L2762" s="2" t="str">
        <f>HYPERLINK("https://www.nba.com/game/...-vs-...-0021500280/play-by-play?watchFullGame=true", "SAS vs MEM - Q3 10:32.00")</f>
        <v>SAS vs MEM - Q3 10:32.00</v>
      </c>
      <c r="M2762">
        <v>25</v>
      </c>
      <c r="N2762">
        <v>110</v>
      </c>
      <c r="O2762">
        <v>223</v>
      </c>
      <c r="P2762">
        <v>110</v>
      </c>
      <c r="Q2762">
        <v>223</v>
      </c>
      <c r="R2762" t="s">
        <v>21</v>
      </c>
      <c r="S2762" t="s">
        <v>21</v>
      </c>
    </row>
    <row r="2763" spans="1:19" hidden="1" x14ac:dyDescent="0.25">
      <c r="A2763">
        <v>21500280</v>
      </c>
      <c r="B2763" t="s">
        <v>26</v>
      </c>
      <c r="C2763" t="s">
        <v>19</v>
      </c>
      <c r="D2763">
        <v>80</v>
      </c>
      <c r="E2763">
        <v>60</v>
      </c>
      <c r="F2763">
        <v>20</v>
      </c>
      <c r="G2763">
        <v>4</v>
      </c>
      <c r="H2763" s="1">
        <v>7.3263888888888892E-3</v>
      </c>
      <c r="I2763">
        <v>2015</v>
      </c>
      <c r="J2763" t="s">
        <v>20</v>
      </c>
      <c r="K2763" s="2" t="str">
        <f>HYPERLINK("https://www.nba.com/stats/events?CFID=&amp;CFPARAMS=&amp;GameEventID=366&amp;GameID=0021500280&amp;Season=2015-16&amp;flag=1&amp;title=Leonard%2025'%203PT%20Jump%20Shot%20(24%20PTS)%20(Ginobili%203%20AST)", "Leonard 25' 3PT Jump Shot (24 PTS) (Ginobili 3 AST)")</f>
        <v>Leonard 25' 3PT Jump Shot (24 PTS) (Ginobili 3 AST)</v>
      </c>
      <c r="L2763" s="2" t="str">
        <f>HYPERLINK("https://www.nba.com/game/...-vs-...-0021500280/play-by-play?watchFullGame=true", "SAS vs MEM - Q4 10:33.00")</f>
        <v>SAS vs MEM - Q4 10:33.00</v>
      </c>
      <c r="M2763">
        <v>25</v>
      </c>
      <c r="N2763">
        <v>159</v>
      </c>
      <c r="O2763">
        <v>198</v>
      </c>
      <c r="P2763">
        <v>159</v>
      </c>
      <c r="Q2763">
        <v>198</v>
      </c>
      <c r="R2763" t="s">
        <v>21</v>
      </c>
      <c r="S2763" t="s">
        <v>21</v>
      </c>
    </row>
    <row r="2764" spans="1:19" hidden="1" x14ac:dyDescent="0.25">
      <c r="A2764">
        <v>21500675</v>
      </c>
      <c r="B2764" t="s">
        <v>26</v>
      </c>
      <c r="C2764" t="s">
        <v>19</v>
      </c>
      <c r="D2764">
        <v>52</v>
      </c>
      <c r="E2764">
        <v>62</v>
      </c>
      <c r="F2764">
        <v>10</v>
      </c>
      <c r="G2764">
        <v>3</v>
      </c>
      <c r="H2764" s="1">
        <v>7.4189814814814813E-3</v>
      </c>
      <c r="I2764">
        <v>2015</v>
      </c>
      <c r="J2764" t="s">
        <v>20</v>
      </c>
      <c r="K2764" s="2" t="str">
        <f>HYPERLINK("https://www.nba.com/stats/events?CFID=&amp;CFPARAMS=&amp;GameEventID=270&amp;GameID=0021500675&amp;Season=2015-16&amp;flag=1&amp;title=Leonard%2025'%203PT%20Jump%20Shot%20(10%20PTS)%20(Aldridge%201%20AST)", "Leonard 25' 3PT Jump Shot (10 PTS) (Aldridge 1 AST)")</f>
        <v>Leonard 25' 3PT Jump Shot (10 PTS) (Aldridge 1 AST)</v>
      </c>
      <c r="L2764" s="2" t="str">
        <f>HYPERLINK("https://www.nba.com/game/...-vs-...-0021500675/play-by-play?watchFullGame=true", "SAS vs GSW - Q3 10:41.00")</f>
        <v>SAS vs GSW - Q3 10:41.00</v>
      </c>
      <c r="M2764">
        <v>25</v>
      </c>
      <c r="N2764">
        <v>159</v>
      </c>
      <c r="O2764">
        <v>188</v>
      </c>
      <c r="P2764">
        <v>159</v>
      </c>
      <c r="Q2764">
        <v>188</v>
      </c>
      <c r="R2764" t="s">
        <v>21</v>
      </c>
      <c r="S2764" t="s">
        <v>21</v>
      </c>
    </row>
    <row r="2765" spans="1:19" hidden="1" x14ac:dyDescent="0.25">
      <c r="A2765">
        <v>21400624</v>
      </c>
      <c r="B2765" t="s">
        <v>26</v>
      </c>
      <c r="C2765" t="s">
        <v>19</v>
      </c>
      <c r="D2765">
        <v>85</v>
      </c>
      <c r="E2765">
        <v>76</v>
      </c>
      <c r="F2765">
        <v>9</v>
      </c>
      <c r="G2765">
        <v>4</v>
      </c>
      <c r="H2765" s="1">
        <v>7.4537037037037037E-3</v>
      </c>
      <c r="I2765">
        <v>2014</v>
      </c>
      <c r="J2765" t="s">
        <v>20</v>
      </c>
      <c r="K2765" s="2" t="str">
        <f>HYPERLINK("https://www.nba.com/stats/events?CFID=&amp;CFPARAMS=&amp;GameEventID=429&amp;GameID=0021400624&amp;Season=2014-15&amp;flag=1&amp;title=Leonard%2025'%203PT%20Jump%20Shot%20(14%20PTS)%20(Ginobili%208%20AST)", "Leonard 25' 3PT Jump Shot (14 PTS) (Ginobili 8 AST)")</f>
        <v>Leonard 25' 3PT Jump Shot (14 PTS) (Ginobili 8 AST)</v>
      </c>
      <c r="L2765" s="2" t="str">
        <f>HYPERLINK("https://www.nba.com/game/...-vs-...-0021400624/play-by-play?watchFullGame=true", "SAS vs DEN - Q4 10:44.00")</f>
        <v>SAS vs DEN - Q4 10:44.00</v>
      </c>
      <c r="M2765">
        <v>25</v>
      </c>
      <c r="N2765">
        <v>-101</v>
      </c>
      <c r="O2765">
        <v>231</v>
      </c>
      <c r="P2765">
        <v>-101</v>
      </c>
      <c r="Q2765">
        <v>231</v>
      </c>
      <c r="R2765" t="s">
        <v>21</v>
      </c>
      <c r="S2765" t="s">
        <v>21</v>
      </c>
    </row>
    <row r="2766" spans="1:19" hidden="1" x14ac:dyDescent="0.25">
      <c r="A2766">
        <v>21600454</v>
      </c>
      <c r="B2766" t="s">
        <v>26</v>
      </c>
      <c r="C2766" t="s">
        <v>19</v>
      </c>
      <c r="D2766">
        <v>30</v>
      </c>
      <c r="E2766">
        <v>29</v>
      </c>
      <c r="F2766">
        <v>1</v>
      </c>
      <c r="G2766">
        <v>2</v>
      </c>
      <c r="H2766" s="1">
        <v>7.5115740740740742E-3</v>
      </c>
      <c r="I2766">
        <v>2016</v>
      </c>
      <c r="J2766" t="s">
        <v>20</v>
      </c>
      <c r="K2766" s="2" t="str">
        <f>HYPERLINK("https://www.nba.com/stats/events?CFID=&amp;CFPARAMS=&amp;GameEventID=138&amp;GameID=0021600454&amp;Season=2016-17&amp;flag=1&amp;title=Leonard%2025'%203PT%20Jump%20Shot%20(9%20PTS)%20(Simmons%202%20AST)", "Leonard 25' 3PT Jump Shot (9 PTS) (Simmons 2 AST)")</f>
        <v>Leonard 25' 3PT Jump Shot (9 PTS) (Simmons 2 AST)</v>
      </c>
      <c r="L2766" s="2" t="str">
        <f>HYPERLINK("https://www.nba.com/game/...-vs-...-0021600454/play-by-play?watchFullGame=true", "SAS vs POR - Q2 10:49.00")</f>
        <v>SAS vs POR - Q2 10:49.00</v>
      </c>
      <c r="M2766">
        <v>25</v>
      </c>
      <c r="N2766">
        <v>-145</v>
      </c>
      <c r="O2766">
        <v>200</v>
      </c>
      <c r="P2766">
        <v>-145</v>
      </c>
      <c r="Q2766">
        <v>200</v>
      </c>
      <c r="R2766" t="s">
        <v>21</v>
      </c>
      <c r="S2766" t="s">
        <v>21</v>
      </c>
    </row>
    <row r="2767" spans="1:19" hidden="1" x14ac:dyDescent="0.25">
      <c r="A2767">
        <v>41200312</v>
      </c>
      <c r="B2767" t="s">
        <v>26</v>
      </c>
      <c r="C2767" t="s">
        <v>19</v>
      </c>
      <c r="D2767">
        <v>51</v>
      </c>
      <c r="E2767">
        <v>35</v>
      </c>
      <c r="F2767">
        <v>16</v>
      </c>
      <c r="G2767">
        <v>3</v>
      </c>
      <c r="H2767" s="1">
        <v>7.5231481481481477E-3</v>
      </c>
      <c r="I2767" t="s">
        <v>53</v>
      </c>
      <c r="J2767" t="s">
        <v>20</v>
      </c>
      <c r="K2767" s="2" t="str">
        <f>HYPERLINK("https://www.nba.com/stats/events?CFID=&amp;CFPARAMS=&amp;GameEventID=268&amp;GameID=0041200312&amp;Season=2012-13&amp;flag=1&amp;title=Leonard%2025'%203PT%20Jump%20Shot%20(10%20PTS)%20(Parker%209%20AST)", "Leonard 25' 3PT Jump Shot (10 PTS) (Parker 9 AST)")</f>
        <v>Leonard 25' 3PT Jump Shot (10 PTS) (Parker 9 AST)</v>
      </c>
      <c r="L2767" s="2" t="str">
        <f>HYPERLINK("https://www.nba.com/game/...-vs-...-0041200312/play-by-play?watchFullGame=true", "SAS vs MEM - Q3 10:50.00")</f>
        <v>SAS vs MEM - Q3 10:50.00</v>
      </c>
      <c r="M2767">
        <v>25</v>
      </c>
      <c r="N2767">
        <v>-179</v>
      </c>
      <c r="O2767">
        <v>168</v>
      </c>
      <c r="P2767">
        <v>-179</v>
      </c>
      <c r="Q2767">
        <v>168</v>
      </c>
      <c r="R2767" t="s">
        <v>21</v>
      </c>
      <c r="S2767" t="s">
        <v>21</v>
      </c>
    </row>
    <row r="2768" spans="1:19" hidden="1" x14ac:dyDescent="0.25">
      <c r="A2768">
        <v>21500182</v>
      </c>
      <c r="B2768" t="s">
        <v>26</v>
      </c>
      <c r="C2768" t="s">
        <v>19</v>
      </c>
      <c r="D2768">
        <v>80</v>
      </c>
      <c r="E2768">
        <v>81</v>
      </c>
      <c r="F2768">
        <v>1</v>
      </c>
      <c r="G2768">
        <v>4</v>
      </c>
      <c r="H2768" s="1">
        <v>7.5231481481481477E-3</v>
      </c>
      <c r="I2768">
        <v>2015</v>
      </c>
      <c r="J2768" t="s">
        <v>20</v>
      </c>
      <c r="K2768" s="2" t="str">
        <f>HYPERLINK("https://www.nba.com/stats/events?CFID=&amp;CFPARAMS=&amp;GameEventID=456&amp;GameID=0021500182&amp;Season=2015-16&amp;flag=1&amp;title=Leonard%2025'%203PT%20Jump%20Shot%20(20%20PTS)%20(Parker%205%20AST)", "Leonard 25' 3PT Jump Shot (20 PTS) (Parker 5 AST)")</f>
        <v>Leonard 25' 3PT Jump Shot (20 PTS) (Parker 5 AST)</v>
      </c>
      <c r="L2768" s="2" t="str">
        <f>HYPERLINK("https://www.nba.com/game/...-vs-...-0021500182/play-by-play?watchFullGame=true", "SAS vs NOP - Q4 10:50.00")</f>
        <v>SAS vs NOP - Q4 10:50.00</v>
      </c>
      <c r="M2768">
        <v>25</v>
      </c>
      <c r="N2768">
        <v>181</v>
      </c>
      <c r="O2768">
        <v>174</v>
      </c>
      <c r="P2768">
        <v>181</v>
      </c>
      <c r="Q2768">
        <v>174</v>
      </c>
      <c r="R2768" t="s">
        <v>21</v>
      </c>
      <c r="S2768" t="s">
        <v>21</v>
      </c>
    </row>
    <row r="2769" spans="1:19" hidden="1" x14ac:dyDescent="0.25">
      <c r="A2769">
        <v>21601161</v>
      </c>
      <c r="B2769" t="s">
        <v>26</v>
      </c>
      <c r="C2769" t="s">
        <v>19</v>
      </c>
      <c r="D2769">
        <v>39</v>
      </c>
      <c r="E2769">
        <v>35</v>
      </c>
      <c r="F2769">
        <v>4</v>
      </c>
      <c r="G2769">
        <v>3</v>
      </c>
      <c r="H2769" s="1">
        <v>7.5347222222222222E-3</v>
      </c>
      <c r="I2769">
        <v>2016</v>
      </c>
      <c r="J2769" t="s">
        <v>20</v>
      </c>
      <c r="K2769" s="2" t="str">
        <f>HYPERLINK("https://www.nba.com/stats/events?CFID=&amp;CFPARAMS=&amp;GameEventID=247&amp;GameID=0021601161&amp;Season=2016-17&amp;flag=1&amp;title=Leonard%2025'%203PT%20Jump%20Shot%20(15%20PTS)%20(Parker%204%20AST)", "Leonard 25' 3PT Jump Shot (15 PTS) (Parker 4 AST)")</f>
        <v>Leonard 25' 3PT Jump Shot (15 PTS) (Parker 4 AST)</v>
      </c>
      <c r="L2769" s="2" t="str">
        <f>HYPERLINK("https://www.nba.com/game/...-vs-...-0021601161/play-by-play?watchFullGame=true", "SAS vs MEM - Q3 10:51.00")</f>
        <v>SAS vs MEM - Q3 10:51.00</v>
      </c>
      <c r="M2769">
        <v>25</v>
      </c>
      <c r="N2769">
        <v>174</v>
      </c>
      <c r="O2769">
        <v>174</v>
      </c>
      <c r="P2769">
        <v>174</v>
      </c>
      <c r="Q2769">
        <v>174</v>
      </c>
      <c r="R2769" t="s">
        <v>21</v>
      </c>
      <c r="S2769" t="s">
        <v>21</v>
      </c>
    </row>
    <row r="2770" spans="1:19" hidden="1" x14ac:dyDescent="0.25">
      <c r="A2770">
        <v>21500450</v>
      </c>
      <c r="B2770" t="s">
        <v>26</v>
      </c>
      <c r="C2770" t="s">
        <v>19</v>
      </c>
      <c r="D2770">
        <v>59</v>
      </c>
      <c r="E2770">
        <v>42</v>
      </c>
      <c r="F2770">
        <v>17</v>
      </c>
      <c r="G2770">
        <v>3</v>
      </c>
      <c r="H2770" s="1">
        <v>7.5694444444444446E-3</v>
      </c>
      <c r="I2770">
        <v>2015</v>
      </c>
      <c r="J2770" t="s">
        <v>20</v>
      </c>
      <c r="K2770" s="2" t="str">
        <f>HYPERLINK("https://www.nba.com/stats/events?CFID=&amp;CFPARAMS=&amp;GameEventID=240&amp;GameID=0021500450&amp;Season=2015-16&amp;flag=1&amp;title=Leonard%2025'%203PT%20Jump%20Shot%20(9%20PTS)%20(West%206%20AST)", "Leonard 25' 3PT Jump Shot (9 PTS) (West 6 AST)")</f>
        <v>Leonard 25' 3PT Jump Shot (9 PTS) (West 6 AST)</v>
      </c>
      <c r="L2770" s="2" t="str">
        <f>HYPERLINK("https://www.nba.com/game/...-vs-...-0021500450/play-by-play?watchFullGame=true", "SAS vs DEN - Q3 10:54.00")</f>
        <v>SAS vs DEN - Q3 10:54.00</v>
      </c>
      <c r="M2770">
        <v>25</v>
      </c>
      <c r="N2770">
        <v>-243</v>
      </c>
      <c r="O2770">
        <v>41</v>
      </c>
      <c r="P2770">
        <v>-243</v>
      </c>
      <c r="Q2770">
        <v>41</v>
      </c>
      <c r="R2770" t="s">
        <v>21</v>
      </c>
      <c r="S2770" t="s">
        <v>21</v>
      </c>
    </row>
    <row r="2771" spans="1:19" hidden="1" x14ac:dyDescent="0.25">
      <c r="A2771">
        <v>21400867</v>
      </c>
      <c r="B2771" t="s">
        <v>26</v>
      </c>
      <c r="C2771" t="s">
        <v>19</v>
      </c>
      <c r="D2771">
        <v>3</v>
      </c>
      <c r="E2771">
        <v>2</v>
      </c>
      <c r="F2771">
        <v>1</v>
      </c>
      <c r="G2771">
        <v>1</v>
      </c>
      <c r="H2771" s="1">
        <v>7.6388888888888886E-3</v>
      </c>
      <c r="I2771">
        <v>2014</v>
      </c>
      <c r="J2771" t="s">
        <v>20</v>
      </c>
      <c r="K2771" s="2" t="str">
        <f>HYPERLINK("https://www.nba.com/stats/events?CFID=&amp;CFPARAMS=&amp;GameEventID=9&amp;GameID=0021400867&amp;Season=2014-15&amp;flag=1&amp;title=Leonard%2025'%203PT%20Jump%20Shot%20(3%20PTS)%20(Parker%201%20AST)", "Leonard 25' 3PT Jump Shot (3 PTS) (Parker 1 AST)")</f>
        <v>Leonard 25' 3PT Jump Shot (3 PTS) (Parker 1 AST)</v>
      </c>
      <c r="L2771" s="2" t="str">
        <f>HYPERLINK("https://www.nba.com/game/...-vs-...-0021400867/play-by-play?watchFullGame=true", "SAS vs SAC - Q1 11:00.00")</f>
        <v>SAS vs SAC - Q1 11:00.00</v>
      </c>
      <c r="M2771">
        <v>25</v>
      </c>
      <c r="N2771">
        <v>241</v>
      </c>
      <c r="O2771">
        <v>66</v>
      </c>
      <c r="P2771">
        <v>241</v>
      </c>
      <c r="Q2771">
        <v>66</v>
      </c>
      <c r="R2771" t="s">
        <v>21</v>
      </c>
      <c r="S2771" t="s">
        <v>21</v>
      </c>
    </row>
    <row r="2772" spans="1:19" hidden="1" x14ac:dyDescent="0.25">
      <c r="A2772">
        <v>21600289</v>
      </c>
      <c r="B2772" t="s">
        <v>26</v>
      </c>
      <c r="C2772" t="s">
        <v>19</v>
      </c>
      <c r="D2772">
        <v>5</v>
      </c>
      <c r="E2772">
        <v>3</v>
      </c>
      <c r="F2772">
        <v>2</v>
      </c>
      <c r="G2772">
        <v>1</v>
      </c>
      <c r="H2772" s="1">
        <v>7.7199074074074071E-3</v>
      </c>
      <c r="I2772">
        <v>2016</v>
      </c>
      <c r="J2772" t="s">
        <v>20</v>
      </c>
      <c r="K2772" s="2" t="str">
        <f>HYPERLINK("https://www.nba.com/stats/events?CFID=&amp;CFPARAMS=&amp;GameEventID=5&amp;GameID=0021600289&amp;Season=2016-17&amp;flag=1&amp;title=Leonard%2025'%203PT%20Jump%20Shot%20(5%20PTS)%20(Green%201%20AST)", "Leonard 25' 3PT Jump Shot (5 PTS) (Green 1 AST)")</f>
        <v>Leonard 25' 3PT Jump Shot (5 PTS) (Green 1 AST)</v>
      </c>
      <c r="L2772" s="2" t="str">
        <f>HYPERLINK("https://www.nba.com/game/...-vs-...-0021600289/play-by-play?watchFullGame=true", "SAS vs WAS - Q1 11:07.00")</f>
        <v>SAS vs WAS - Q1 11:07.00</v>
      </c>
      <c r="M2772">
        <v>25</v>
      </c>
      <c r="N2772">
        <v>20</v>
      </c>
      <c r="O2772">
        <v>247</v>
      </c>
      <c r="P2772">
        <v>20</v>
      </c>
      <c r="Q2772">
        <v>247</v>
      </c>
      <c r="R2772" t="s">
        <v>21</v>
      </c>
      <c r="S2772" t="s">
        <v>21</v>
      </c>
    </row>
    <row r="2773" spans="1:19" hidden="1" x14ac:dyDescent="0.25">
      <c r="A2773">
        <v>21400757</v>
      </c>
      <c r="B2773" t="s">
        <v>26</v>
      </c>
      <c r="C2773" t="s">
        <v>19</v>
      </c>
      <c r="D2773">
        <v>55</v>
      </c>
      <c r="E2773">
        <v>43</v>
      </c>
      <c r="F2773">
        <v>12</v>
      </c>
      <c r="G2773">
        <v>3</v>
      </c>
      <c r="H2773" s="1">
        <v>7.7546296296296295E-3</v>
      </c>
      <c r="I2773">
        <v>2014</v>
      </c>
      <c r="J2773" t="s">
        <v>20</v>
      </c>
      <c r="K2773" s="2" t="str">
        <f>HYPERLINK("https://www.nba.com/stats/events?CFID=&amp;CFPARAMS=&amp;GameEventID=210&amp;GameID=0021400757&amp;Season=2014-15&amp;flag=1&amp;title=Leonard%2025'%203PT%20Jump%20Shot%20(19%20PTS)", "Leonard 25' 3PT Jump Shot (19 PTS)")</f>
        <v>Leonard 25' 3PT Jump Shot (19 PTS)</v>
      </c>
      <c r="L2773" s="2" t="str">
        <f>HYPERLINK("https://www.nba.com/game/...-vs-...-0021400757/play-by-play?watchFullGame=true", "SAS vs MIA - Q3 11:10.00")</f>
        <v>SAS vs MIA - Q3 11:10.00</v>
      </c>
      <c r="M2773">
        <v>25</v>
      </c>
      <c r="N2773">
        <v>61</v>
      </c>
      <c r="O2773">
        <v>241</v>
      </c>
      <c r="P2773">
        <v>61</v>
      </c>
      <c r="Q2773">
        <v>241</v>
      </c>
      <c r="R2773" t="s">
        <v>21</v>
      </c>
      <c r="S2773" t="s">
        <v>21</v>
      </c>
    </row>
    <row r="2774" spans="1:19" hidden="1" x14ac:dyDescent="0.25">
      <c r="A2774">
        <v>21500224</v>
      </c>
      <c r="B2774" t="s">
        <v>26</v>
      </c>
      <c r="C2774" t="s">
        <v>19</v>
      </c>
      <c r="D2774">
        <v>5</v>
      </c>
      <c r="E2774">
        <v>0</v>
      </c>
      <c r="F2774">
        <v>5</v>
      </c>
      <c r="G2774">
        <v>1</v>
      </c>
      <c r="H2774" s="1">
        <v>7.7546296296296295E-3</v>
      </c>
      <c r="I2774">
        <v>2015</v>
      </c>
      <c r="J2774" t="s">
        <v>20</v>
      </c>
      <c r="K2774" s="2" t="str">
        <f>HYPERLINK("https://www.nba.com/stats/events?CFID=&amp;CFPARAMS=&amp;GameEventID=5&amp;GameID=0021500224&amp;Season=2015-16&amp;flag=1&amp;title=Leonard%2025'%203PT%20Jump%20Shot%20(3%20PTS)%20(Aldridge%201%20AST)", "Leonard 25' 3PT Jump Shot (3 PTS) (Aldridge 1 AST)")</f>
        <v>Leonard 25' 3PT Jump Shot (3 PTS) (Aldridge 1 AST)</v>
      </c>
      <c r="L2774" s="2" t="str">
        <f>HYPERLINK("https://www.nba.com/game/...-vs-...-0021500224/play-by-play?watchFullGame=true", "SAS vs DAL - Q1 11:10.00")</f>
        <v>SAS vs DAL - Q1 11:10.00</v>
      </c>
      <c r="M2774">
        <v>25</v>
      </c>
      <c r="N2774">
        <v>73</v>
      </c>
      <c r="O2774">
        <v>237</v>
      </c>
      <c r="P2774">
        <v>73</v>
      </c>
      <c r="Q2774">
        <v>237</v>
      </c>
      <c r="R2774" t="s">
        <v>21</v>
      </c>
      <c r="S2774" t="s">
        <v>21</v>
      </c>
    </row>
    <row r="2775" spans="1:19" hidden="1" x14ac:dyDescent="0.25">
      <c r="A2775">
        <v>21600037</v>
      </c>
      <c r="B2775" t="s">
        <v>26</v>
      </c>
      <c r="C2775" t="s">
        <v>19</v>
      </c>
      <c r="D2775">
        <v>27</v>
      </c>
      <c r="E2775">
        <v>21</v>
      </c>
      <c r="F2775">
        <v>6</v>
      </c>
      <c r="G2775">
        <v>2</v>
      </c>
      <c r="H2775" s="1">
        <v>7.8009259259259256E-3</v>
      </c>
      <c r="I2775">
        <v>2016</v>
      </c>
      <c r="J2775" t="s">
        <v>20</v>
      </c>
      <c r="K2775" s="2" t="str">
        <f>HYPERLINK("https://www.nba.com/stats/events?CFID=&amp;CFPARAMS=&amp;GameEventID=129&amp;GameID=0021600037&amp;Season=2016-17&amp;flag=1&amp;title=Leonard%2025'%203PT%20Jump%20Shot%20(7%20PTS)%20(Gasol%201%20AST)", "Leonard 25' 3PT Jump Shot (7 PTS) (Gasol 1 AST)")</f>
        <v>Leonard 25' 3PT Jump Shot (7 PTS) (Gasol 1 AST)</v>
      </c>
      <c r="L2775" s="2" t="str">
        <f>HYPERLINK("https://www.nba.com/game/...-vs-...-0021600037/play-by-play?watchFullGame=true", "SAS vs MIA - Q2 11:14.00")</f>
        <v>SAS vs MIA - Q2 11:14.00</v>
      </c>
      <c r="M2775">
        <v>25</v>
      </c>
      <c r="N2775">
        <v>197</v>
      </c>
      <c r="O2775">
        <v>146</v>
      </c>
      <c r="P2775">
        <v>197</v>
      </c>
      <c r="Q2775">
        <v>146</v>
      </c>
      <c r="R2775" t="s">
        <v>21</v>
      </c>
      <c r="S2775" t="s">
        <v>21</v>
      </c>
    </row>
    <row r="2776" spans="1:19" hidden="1" x14ac:dyDescent="0.25">
      <c r="A2776">
        <v>21600454</v>
      </c>
      <c r="B2776" t="s">
        <v>26</v>
      </c>
      <c r="C2776" t="s">
        <v>19</v>
      </c>
      <c r="D2776">
        <v>90</v>
      </c>
      <c r="E2776">
        <v>74</v>
      </c>
      <c r="F2776">
        <v>16</v>
      </c>
      <c r="G2776">
        <v>4</v>
      </c>
      <c r="H2776" s="1">
        <v>7.8125E-3</v>
      </c>
      <c r="I2776">
        <v>2016</v>
      </c>
      <c r="J2776" t="s">
        <v>20</v>
      </c>
      <c r="K2776" s="2" t="str">
        <f>HYPERLINK("https://www.nba.com/stats/events?CFID=&amp;CFPARAMS=&amp;GameEventID=400&amp;GameID=0021600454&amp;Season=2016-17&amp;flag=1&amp;title=Leonard%2025'%203PT%20Jump%20Shot%20(22%20PTS)%20(Aldridge%206%20AST)", "Leonard 25' 3PT Jump Shot (22 PTS) (Aldridge 6 AST)")</f>
        <v>Leonard 25' 3PT Jump Shot (22 PTS) (Aldridge 6 AST)</v>
      </c>
      <c r="L2776" s="2" t="str">
        <f>HYPERLINK("https://www.nba.com/game/...-vs-...-0021600454/play-by-play?watchFullGame=true", "SAS vs POR - Q4 11:15.00")</f>
        <v>SAS vs POR - Q4 11:15.00</v>
      </c>
      <c r="M2776">
        <v>25</v>
      </c>
      <c r="N2776">
        <v>92</v>
      </c>
      <c r="O2776">
        <v>228</v>
      </c>
      <c r="P2776">
        <v>92</v>
      </c>
      <c r="Q2776">
        <v>228</v>
      </c>
      <c r="R2776" t="s">
        <v>21</v>
      </c>
      <c r="S2776" t="s">
        <v>21</v>
      </c>
    </row>
    <row r="2777" spans="1:19" hidden="1" x14ac:dyDescent="0.25">
      <c r="A2777">
        <v>21500280</v>
      </c>
      <c r="B2777" t="s">
        <v>26</v>
      </c>
      <c r="C2777" t="s">
        <v>19</v>
      </c>
      <c r="D2777">
        <v>77</v>
      </c>
      <c r="E2777">
        <v>60</v>
      </c>
      <c r="F2777">
        <v>17</v>
      </c>
      <c r="G2777">
        <v>4</v>
      </c>
      <c r="H2777" s="1">
        <v>7.8472222222222224E-3</v>
      </c>
      <c r="I2777">
        <v>2015</v>
      </c>
      <c r="J2777" t="s">
        <v>20</v>
      </c>
      <c r="K2777" s="2" t="str">
        <f>HYPERLINK("https://www.nba.com/stats/events?CFID=&amp;CFPARAMS=&amp;GameEventID=360&amp;GameID=0021500280&amp;Season=2015-16&amp;flag=1&amp;title=Leonard%2025'%203PT%20Jump%20Shot%20(21%20PTS)%20(Green%202%20AST)", "Leonard 25' 3PT Jump Shot (21 PTS) (Green 2 AST)")</f>
        <v>Leonard 25' 3PT Jump Shot (21 PTS) (Green 2 AST)</v>
      </c>
      <c r="L2777" s="2" t="str">
        <f>HYPERLINK("https://www.nba.com/game/...-vs-...-0021500280/play-by-play?watchFullGame=true", "SAS vs MEM - Q4 11:18.00")</f>
        <v>SAS vs MEM - Q4 11:18.00</v>
      </c>
      <c r="M2777">
        <v>25</v>
      </c>
      <c r="N2777">
        <v>82</v>
      </c>
      <c r="O2777">
        <v>234</v>
      </c>
      <c r="P2777">
        <v>82</v>
      </c>
      <c r="Q2777">
        <v>234</v>
      </c>
      <c r="R2777" t="s">
        <v>21</v>
      </c>
      <c r="S2777" t="s">
        <v>21</v>
      </c>
    </row>
    <row r="2778" spans="1:19" hidden="1" x14ac:dyDescent="0.25">
      <c r="A2778">
        <v>21500379</v>
      </c>
      <c r="B2778" t="s">
        <v>26</v>
      </c>
      <c r="C2778" t="s">
        <v>19</v>
      </c>
      <c r="D2778">
        <v>3</v>
      </c>
      <c r="E2778">
        <v>2</v>
      </c>
      <c r="F2778">
        <v>1</v>
      </c>
      <c r="G2778">
        <v>1</v>
      </c>
      <c r="H2778" s="1">
        <v>7.8472222222222224E-3</v>
      </c>
      <c r="I2778">
        <v>2015</v>
      </c>
      <c r="J2778" t="s">
        <v>20</v>
      </c>
      <c r="K2778" s="2" t="str">
        <f>HYPERLINK("https://www.nba.com/stats/events?CFID=&amp;CFPARAMS=&amp;GameEventID=5&amp;GameID=0021500379&amp;Season=2015-16&amp;flag=1&amp;title=Leonard%2025'%203PT%20Jump%20Shot%20(3%20PTS)%20(Parker%201%20AST)", "Leonard 25' 3PT Jump Shot (3 PTS) (Parker 1 AST)")</f>
        <v>Leonard 25' 3PT Jump Shot (3 PTS) (Parker 1 AST)</v>
      </c>
      <c r="L2778" s="2" t="str">
        <f>HYPERLINK("https://www.nba.com/game/...-vs-...-0021500379/play-by-play?watchFullGame=true", "SAS vs WAS - Q1 11:18.00")</f>
        <v>SAS vs WAS - Q1 11:18.00</v>
      </c>
      <c r="M2778">
        <v>25</v>
      </c>
      <c r="N2778">
        <v>158</v>
      </c>
      <c r="O2778">
        <v>193</v>
      </c>
      <c r="P2778">
        <v>158</v>
      </c>
      <c r="Q2778">
        <v>193</v>
      </c>
      <c r="R2778" t="s">
        <v>21</v>
      </c>
      <c r="S2778" t="s">
        <v>21</v>
      </c>
    </row>
    <row r="2779" spans="1:19" hidden="1" x14ac:dyDescent="0.25">
      <c r="A2779">
        <v>21800828</v>
      </c>
      <c r="B2779" t="s">
        <v>26</v>
      </c>
      <c r="C2779" t="s">
        <v>19</v>
      </c>
      <c r="D2779">
        <v>3</v>
      </c>
      <c r="E2779">
        <v>0</v>
      </c>
      <c r="F2779">
        <v>3</v>
      </c>
      <c r="G2779">
        <v>1</v>
      </c>
      <c r="H2779" s="1">
        <v>7.858796296296296E-3</v>
      </c>
      <c r="I2779">
        <v>2018</v>
      </c>
      <c r="J2779" t="s">
        <v>48</v>
      </c>
      <c r="K2779" s="2" t="str">
        <f>HYPERLINK("https://www.nba.com/stats/events?CFID=&amp;CFPARAMS=&amp;GameEventID=9&amp;GameID=0021800828&amp;Season=2018-19&amp;flag=1&amp;title=Leonard%2025'%203PT%20Jump%20Shot%20(3%20PTS)%20(Ibaka%201%20AST)", "Leonard 25' 3PT Jump Shot (3 PTS) (Ibaka 1 AST)")</f>
        <v>Leonard 25' 3PT Jump Shot (3 PTS) (Ibaka 1 AST)</v>
      </c>
      <c r="L2779" s="2" t="str">
        <f>HYPERLINK("https://www.nba.com/game/...-vs-...-0021800828/play-by-play?watchFullGame=true", "TOR vs NYK - Q1 11:19.00")</f>
        <v>TOR vs NYK - Q1 11:19.00</v>
      </c>
      <c r="M2779">
        <v>25</v>
      </c>
      <c r="N2779">
        <v>-84</v>
      </c>
      <c r="O2779">
        <v>231</v>
      </c>
      <c r="P2779">
        <v>-84</v>
      </c>
      <c r="Q2779">
        <v>231</v>
      </c>
      <c r="R2779" t="s">
        <v>21</v>
      </c>
      <c r="S2779" t="s">
        <v>21</v>
      </c>
    </row>
    <row r="2780" spans="1:19" hidden="1" x14ac:dyDescent="0.25">
      <c r="A2780">
        <v>21600543</v>
      </c>
      <c r="B2780" t="s">
        <v>26</v>
      </c>
      <c r="C2780" t="s">
        <v>19</v>
      </c>
      <c r="D2780">
        <v>61</v>
      </c>
      <c r="E2780">
        <v>53</v>
      </c>
      <c r="F2780">
        <v>8</v>
      </c>
      <c r="G2780">
        <v>3</v>
      </c>
      <c r="H2780" s="1">
        <v>7.8703703703703696E-3</v>
      </c>
      <c r="I2780">
        <v>2016</v>
      </c>
      <c r="J2780" t="s">
        <v>20</v>
      </c>
      <c r="K2780" s="2" t="str">
        <f>HYPERLINK("https://www.nba.com/stats/events?CFID=&amp;CFPARAMS=&amp;GameEventID=233&amp;GameID=0021600543&amp;Season=2016-17&amp;flag=1&amp;title=Leonard%2025'%203PT%20Jump%20Shot%20(11%20PTS)%20(Parker%207%20AST)", "Leonard 25' 3PT Jump Shot (11 PTS) (Parker 7 AST)")</f>
        <v>Leonard 25' 3PT Jump Shot (11 PTS) (Parker 7 AST)</v>
      </c>
      <c r="L2780" s="2" t="str">
        <f>HYPERLINK("https://www.nba.com/game/...-vs-...-0021600543/play-by-play?watchFullGame=true", "SAS vs DEN - Q3 11:20.00")</f>
        <v>SAS vs DEN - Q3 11:20.00</v>
      </c>
      <c r="M2780">
        <v>25</v>
      </c>
      <c r="N2780">
        <v>153</v>
      </c>
      <c r="O2780">
        <v>193</v>
      </c>
      <c r="P2780">
        <v>153</v>
      </c>
      <c r="Q2780">
        <v>193</v>
      </c>
      <c r="R2780" t="s">
        <v>21</v>
      </c>
      <c r="S2780" t="s">
        <v>21</v>
      </c>
    </row>
    <row r="2781" spans="1:19" hidden="1" x14ac:dyDescent="0.25">
      <c r="A2781">
        <v>21500689</v>
      </c>
      <c r="B2781" t="s">
        <v>26</v>
      </c>
      <c r="C2781" t="s">
        <v>19</v>
      </c>
      <c r="D2781">
        <v>3</v>
      </c>
      <c r="E2781">
        <v>2</v>
      </c>
      <c r="F2781">
        <v>1</v>
      </c>
      <c r="G2781">
        <v>1</v>
      </c>
      <c r="H2781" s="1">
        <v>7.8703703703703696E-3</v>
      </c>
      <c r="I2781">
        <v>2015</v>
      </c>
      <c r="J2781" t="s">
        <v>20</v>
      </c>
      <c r="K2781" s="2" t="str">
        <f>HYPERLINK("https://www.nba.com/stats/events?CFID=&amp;CFPARAMS=&amp;GameEventID=3&amp;GameID=0021500689&amp;Season=2015-16&amp;flag=1&amp;title=Leonard%2025'%203PT%20Jump%20Shot%20(3%20PTS)%20(Aldridge%201%20AST)", "Leonard 25' 3PT Jump Shot (3 PTS) (Aldridge 1 AST)")</f>
        <v>Leonard 25' 3PT Jump Shot (3 PTS) (Aldridge 1 AST)</v>
      </c>
      <c r="L2781" s="2" t="str">
        <f>HYPERLINK("https://www.nba.com/game/...-vs-...-0021500689/play-by-play?watchFullGame=true", "SAS vs HOU - Q1 11:20.00")</f>
        <v>SAS vs HOU - Q1 11:20.00</v>
      </c>
      <c r="M2781">
        <v>25</v>
      </c>
      <c r="N2781">
        <v>164</v>
      </c>
      <c r="O2781">
        <v>188</v>
      </c>
      <c r="P2781">
        <v>164</v>
      </c>
      <c r="Q2781">
        <v>188</v>
      </c>
      <c r="R2781" t="s">
        <v>21</v>
      </c>
      <c r="S2781" t="s">
        <v>21</v>
      </c>
    </row>
    <row r="2782" spans="1:19" hidden="1" x14ac:dyDescent="0.25">
      <c r="A2782">
        <v>21400241</v>
      </c>
      <c r="B2782" t="s">
        <v>26</v>
      </c>
      <c r="C2782" t="s">
        <v>19</v>
      </c>
      <c r="D2782">
        <v>3</v>
      </c>
      <c r="E2782">
        <v>0</v>
      </c>
      <c r="F2782">
        <v>3</v>
      </c>
      <c r="G2782">
        <v>1</v>
      </c>
      <c r="H2782" s="1">
        <v>7.8819444444444449E-3</v>
      </c>
      <c r="I2782">
        <v>2014</v>
      </c>
      <c r="J2782" t="s">
        <v>20</v>
      </c>
      <c r="K2782" s="2" t="str">
        <f>HYPERLINK("https://www.nba.com/stats/events?CFID=&amp;CFPARAMS=&amp;GameEventID=5&amp;GameID=0021400241&amp;Season=2014-15&amp;flag=1&amp;title=Leonard%2025'%203PT%20Jump%20Shot%20(3%20PTS)%20(Diaw%201%20AST)", "Leonard 25' 3PT Jump Shot (3 PTS) (Diaw 1 AST)")</f>
        <v>Leonard 25' 3PT Jump Shot (3 PTS) (Diaw 1 AST)</v>
      </c>
      <c r="L2782" s="2" t="str">
        <f>HYPERLINK("https://www.nba.com/game/...-vs-...-0021400241/play-by-play?watchFullGame=true", "SAS vs BOS - Q1 11:21.00")</f>
        <v>SAS vs BOS - Q1 11:21.00</v>
      </c>
      <c r="M2782">
        <v>25</v>
      </c>
      <c r="N2782">
        <v>-68</v>
      </c>
      <c r="O2782">
        <v>242</v>
      </c>
      <c r="P2782">
        <v>-68</v>
      </c>
      <c r="Q2782">
        <v>242</v>
      </c>
      <c r="R2782" t="s">
        <v>21</v>
      </c>
      <c r="S2782" t="s">
        <v>21</v>
      </c>
    </row>
    <row r="2783" spans="1:19" hidden="1" x14ac:dyDescent="0.25">
      <c r="A2783">
        <v>21500156</v>
      </c>
      <c r="B2783" t="s">
        <v>26</v>
      </c>
      <c r="C2783" t="s">
        <v>19</v>
      </c>
      <c r="D2783">
        <v>39</v>
      </c>
      <c r="E2783">
        <v>30</v>
      </c>
      <c r="F2783">
        <v>9</v>
      </c>
      <c r="G2783">
        <v>3</v>
      </c>
      <c r="H2783" s="1">
        <v>7.8935185185185185E-3</v>
      </c>
      <c r="I2783">
        <v>2015</v>
      </c>
      <c r="J2783" t="s">
        <v>20</v>
      </c>
      <c r="K2783" s="2" t="str">
        <f>HYPERLINK("https://www.nba.com/stats/events?CFID=&amp;CFPARAMS=&amp;GameEventID=254&amp;GameID=0021500156&amp;Season=2015-16&amp;flag=1&amp;title=Leonard%2025'%203PT%20Jump%20Shot%20(9%20PTS)%20(Parker%203%20AST)", "Leonard 25' 3PT Jump Shot (9 PTS) (Parker 3 AST)")</f>
        <v>Leonard 25' 3PT Jump Shot (9 PTS) (Parker 3 AST)</v>
      </c>
      <c r="L2783" s="2" t="str">
        <f>HYPERLINK("https://www.nba.com/game/...-vs-...-0021500156/play-by-play?watchFullGame=true", "SAS vs POR - Q3 11:22.00")</f>
        <v>SAS vs POR - Q3 11:22.00</v>
      </c>
      <c r="M2783">
        <v>25</v>
      </c>
      <c r="N2783">
        <v>140</v>
      </c>
      <c r="O2783">
        <v>208</v>
      </c>
      <c r="P2783">
        <v>140</v>
      </c>
      <c r="Q2783">
        <v>208</v>
      </c>
      <c r="R2783" t="s">
        <v>21</v>
      </c>
      <c r="S2783" t="s">
        <v>21</v>
      </c>
    </row>
    <row r="2784" spans="1:19" hidden="1" x14ac:dyDescent="0.25">
      <c r="A2784">
        <v>21500242</v>
      </c>
      <c r="B2784" t="s">
        <v>26</v>
      </c>
      <c r="C2784" t="s">
        <v>19</v>
      </c>
      <c r="D2784">
        <v>57</v>
      </c>
      <c r="E2784">
        <v>37</v>
      </c>
      <c r="F2784">
        <v>20</v>
      </c>
      <c r="G2784">
        <v>3</v>
      </c>
      <c r="H2784" s="1">
        <v>7.905092592592592E-3</v>
      </c>
      <c r="I2784">
        <v>2015</v>
      </c>
      <c r="J2784" t="s">
        <v>20</v>
      </c>
      <c r="K2784" s="2" t="str">
        <f>HYPERLINK("https://www.nba.com/stats/events?CFID=&amp;CFPARAMS=&amp;GameEventID=273&amp;GameID=0021500242&amp;Season=2015-16&amp;flag=1&amp;title=Leonard%2025'%203PT%20Jump%20Shot%20(18%20PTS)%20(Duncan%203%20AST)", "Leonard 25' 3PT Jump Shot (18 PTS) (Duncan 3 AST)")</f>
        <v>Leonard 25' 3PT Jump Shot (18 PTS) (Duncan 3 AST)</v>
      </c>
      <c r="L2784" s="2" t="str">
        <f>HYPERLINK("https://www.nba.com/game/...-vs-...-0021500242/play-by-play?watchFullGame=true", "SAS vs ATL - Q3 11:23.00")</f>
        <v>SAS vs ATL - Q3 11:23.00</v>
      </c>
      <c r="M2784">
        <v>25</v>
      </c>
      <c r="N2784">
        <v>213</v>
      </c>
      <c r="O2784">
        <v>129</v>
      </c>
      <c r="P2784">
        <v>213</v>
      </c>
      <c r="Q2784">
        <v>129</v>
      </c>
      <c r="R2784" t="s">
        <v>21</v>
      </c>
      <c r="S2784" t="s">
        <v>21</v>
      </c>
    </row>
    <row r="2785" spans="1:19" hidden="1" x14ac:dyDescent="0.25">
      <c r="A2785">
        <v>41800115</v>
      </c>
      <c r="B2785" t="s">
        <v>26</v>
      </c>
      <c r="C2785" t="s">
        <v>19</v>
      </c>
      <c r="D2785">
        <v>70</v>
      </c>
      <c r="E2785">
        <v>47</v>
      </c>
      <c r="F2785">
        <v>23</v>
      </c>
      <c r="G2785">
        <v>3</v>
      </c>
      <c r="H2785" s="1">
        <v>7.9166666666666673E-3</v>
      </c>
      <c r="I2785" t="s">
        <v>60</v>
      </c>
      <c r="J2785" t="s">
        <v>48</v>
      </c>
      <c r="K2785" s="2" t="str">
        <f>HYPERLINK("https://www.nba.com/stats/events?CFID=&amp;CFPARAMS=&amp;GameEventID=343&amp;GameID=0041800115&amp;Season=2018-19&amp;flag=1&amp;title=Leonard%2025'%203PT%20Jump%20Shot%20(17%20PTS)%20(Lowry%206%20AST)", "Leonard 25' 3PT Jump Shot (17 PTS) (Lowry 6 AST)")</f>
        <v>Leonard 25' 3PT Jump Shot (17 PTS) (Lowry 6 AST)</v>
      </c>
      <c r="L2785" s="2" t="str">
        <f>HYPERLINK("https://www.nba.com/game/...-vs-...-0041800115/play-by-play?watchFullGame=true", "TOR vs ORL - Q3 11:24.00")</f>
        <v>TOR vs ORL - Q3 11:24.00</v>
      </c>
      <c r="M2785">
        <v>25</v>
      </c>
      <c r="N2785">
        <v>51</v>
      </c>
      <c r="O2785">
        <v>246</v>
      </c>
      <c r="P2785">
        <v>51</v>
      </c>
      <c r="Q2785">
        <v>246</v>
      </c>
      <c r="R2785" t="s">
        <v>21</v>
      </c>
      <c r="S2785" t="s">
        <v>21</v>
      </c>
    </row>
    <row r="2786" spans="1:19" hidden="1" x14ac:dyDescent="0.25">
      <c r="A2786">
        <v>21500364</v>
      </c>
      <c r="B2786" t="s">
        <v>26</v>
      </c>
      <c r="C2786" t="s">
        <v>19</v>
      </c>
      <c r="D2786">
        <v>62</v>
      </c>
      <c r="E2786">
        <v>38</v>
      </c>
      <c r="F2786">
        <v>24</v>
      </c>
      <c r="G2786">
        <v>3</v>
      </c>
      <c r="H2786" s="1">
        <v>7.9166666666666673E-3</v>
      </c>
      <c r="I2786">
        <v>2015</v>
      </c>
      <c r="J2786" t="s">
        <v>20</v>
      </c>
      <c r="K2786" s="2" t="str">
        <f>HYPERLINK("https://www.nba.com/stats/events?CFID=&amp;CFPARAMS=&amp;GameEventID=269&amp;GameID=0021500364&amp;Season=2015-16&amp;flag=1&amp;title=Leonard%2025'%203PT%20Jump%20Shot%20(13%20PTS)%20(Green%203%20AST)", "Leonard 25' 3PT Jump Shot (13 PTS) (Green 3 AST)")</f>
        <v>Leonard 25' 3PT Jump Shot (13 PTS) (Green 3 AST)</v>
      </c>
      <c r="L2786" s="2" t="str">
        <f>HYPERLINK("https://www.nba.com/game/...-vs-...-0021500364/play-by-play?watchFullGame=true", "SAS vs UTA - Q3 11:24.00")</f>
        <v>SAS vs UTA - Q3 11:24.00</v>
      </c>
      <c r="M2786">
        <v>25</v>
      </c>
      <c r="N2786">
        <v>209</v>
      </c>
      <c r="O2786">
        <v>131</v>
      </c>
      <c r="P2786">
        <v>209</v>
      </c>
      <c r="Q2786">
        <v>131</v>
      </c>
      <c r="R2786" t="s">
        <v>21</v>
      </c>
      <c r="S2786" t="s">
        <v>21</v>
      </c>
    </row>
    <row r="2787" spans="1:19" hidden="1" x14ac:dyDescent="0.25">
      <c r="A2787">
        <v>41800112</v>
      </c>
      <c r="B2787" t="s">
        <v>26</v>
      </c>
      <c r="C2787" t="s">
        <v>36</v>
      </c>
      <c r="D2787">
        <v>54</v>
      </c>
      <c r="E2787">
        <v>41</v>
      </c>
      <c r="F2787">
        <v>13</v>
      </c>
      <c r="G2787">
        <v>3</v>
      </c>
      <c r="H2787" s="1">
        <v>7.9745370370370369E-3</v>
      </c>
      <c r="I2787" t="s">
        <v>60</v>
      </c>
      <c r="J2787" t="s">
        <v>48</v>
      </c>
      <c r="K2787" s="2" t="str">
        <f>HYPERLINK("https://www.nba.com/stats/events?CFID=&amp;CFPARAMS=&amp;GameEventID=342&amp;GameID=0041800112&amp;Season=2018-19&amp;flag=1&amp;title=Leonard%2025'%203PT%20Pullup%20Jump%20Shot%20(20%20PTS)", "Leonard 25' 3PT Pullup Jump Shot (20 PTS)")</f>
        <v>Leonard 25' 3PT Pullup Jump Shot (20 PTS)</v>
      </c>
      <c r="L2787" s="2" t="str">
        <f>HYPERLINK("https://www.nba.com/game/...-vs-...-0041800112/play-by-play?watchFullGame=true", "TOR vs ORL - Q3 11:29.00")</f>
        <v>TOR vs ORL - Q3 11:29.00</v>
      </c>
      <c r="M2787">
        <v>25</v>
      </c>
      <c r="N2787">
        <v>203</v>
      </c>
      <c r="O2787">
        <v>147</v>
      </c>
      <c r="P2787">
        <v>203</v>
      </c>
      <c r="Q2787">
        <v>147</v>
      </c>
      <c r="R2787" t="s">
        <v>21</v>
      </c>
      <c r="S2787" t="s">
        <v>21</v>
      </c>
    </row>
    <row r="2788" spans="1:19" hidden="1" x14ac:dyDescent="0.25">
      <c r="A2788">
        <v>21500013</v>
      </c>
      <c r="B2788" t="s">
        <v>26</v>
      </c>
      <c r="C2788" t="s">
        <v>19</v>
      </c>
      <c r="D2788">
        <v>3</v>
      </c>
      <c r="E2788">
        <v>2</v>
      </c>
      <c r="F2788">
        <v>1</v>
      </c>
      <c r="G2788">
        <v>1</v>
      </c>
      <c r="H2788" s="1">
        <v>7.9976851851851858E-3</v>
      </c>
      <c r="I2788">
        <v>2015</v>
      </c>
      <c r="J2788" t="s">
        <v>20</v>
      </c>
      <c r="K2788" s="2" t="str">
        <f>HYPERLINK("https://www.nba.com/stats/events?CFID=&amp;CFPARAMS=&amp;GameEventID=7&amp;GameID=0021500013&amp;Season=2015-16&amp;flag=1&amp;title=Leonard%2025'%203PT%20Jump%20Shot%20(3%20PTS)%20(Green%201%20AST)", "Leonard 25' 3PT Jump Shot (3 PTS) (Green 1 AST)")</f>
        <v>Leonard 25' 3PT Jump Shot (3 PTS) (Green 1 AST)</v>
      </c>
      <c r="L2788" s="2" t="str">
        <f>HYPERLINK("https://www.nba.com/game/...-vs-...-0021500013/play-by-play?watchFullGame=true", "SAS vs OKC - Q1 11:31.00")</f>
        <v>SAS vs OKC - Q1 11:31.00</v>
      </c>
      <c r="M2788">
        <v>25</v>
      </c>
      <c r="N2788">
        <v>163</v>
      </c>
      <c r="O2788">
        <v>193</v>
      </c>
      <c r="P2788">
        <v>163</v>
      </c>
      <c r="Q2788">
        <v>193</v>
      </c>
      <c r="R2788" t="s">
        <v>21</v>
      </c>
      <c r="S2788" t="s">
        <v>21</v>
      </c>
    </row>
    <row r="2789" spans="1:19" hidden="1" x14ac:dyDescent="0.25">
      <c r="A2789">
        <v>21600575</v>
      </c>
      <c r="B2789" t="s">
        <v>26</v>
      </c>
      <c r="C2789" t="s">
        <v>19</v>
      </c>
      <c r="D2789">
        <v>26</v>
      </c>
      <c r="E2789">
        <v>23</v>
      </c>
      <c r="F2789">
        <v>3</v>
      </c>
      <c r="G2789">
        <v>2</v>
      </c>
      <c r="H2789" s="1">
        <v>8.1481481481481474E-3</v>
      </c>
      <c r="I2789">
        <v>2016</v>
      </c>
      <c r="J2789" t="s">
        <v>20</v>
      </c>
      <c r="K2789" s="2" t="str">
        <f>HYPERLINK("https://www.nba.com/stats/events?CFID=&amp;CFPARAMS=&amp;GameEventID=133&amp;GameID=0021600575&amp;Season=2016-17&amp;flag=1&amp;title=Leonard%2025'%203PT%20Jump%20Shot%20(7%20PTS)%20(Mills%202%20AST)", "Leonard 25' 3PT Jump Shot (7 PTS) (Mills 2 AST)")</f>
        <v>Leonard 25' 3PT Jump Shot (7 PTS) (Mills 2 AST)</v>
      </c>
      <c r="L2789" s="2" t="str">
        <f>HYPERLINK("https://www.nba.com/game/...-vs-...-0021600575/play-by-play?watchFullGame=true", "SAS vs MIL - Q2 11:44.00")</f>
        <v>SAS vs MIL - Q2 11:44.00</v>
      </c>
      <c r="M2789">
        <v>25</v>
      </c>
      <c r="N2789">
        <v>128</v>
      </c>
      <c r="O2789">
        <v>213</v>
      </c>
      <c r="P2789">
        <v>128</v>
      </c>
      <c r="Q2789">
        <v>213</v>
      </c>
      <c r="R2789" t="s">
        <v>21</v>
      </c>
      <c r="S2789" t="s">
        <v>21</v>
      </c>
    </row>
    <row r="2790" spans="1:19" hidden="1" x14ac:dyDescent="0.25">
      <c r="A2790">
        <v>21501018</v>
      </c>
      <c r="B2790" t="s">
        <v>26</v>
      </c>
      <c r="C2790" t="s">
        <v>19</v>
      </c>
      <c r="D2790">
        <v>59</v>
      </c>
      <c r="E2790">
        <v>54</v>
      </c>
      <c r="F2790">
        <v>5</v>
      </c>
      <c r="G2790">
        <v>3</v>
      </c>
      <c r="H2790" s="1">
        <v>8.1828703703703699E-3</v>
      </c>
      <c r="I2790">
        <v>2015</v>
      </c>
      <c r="J2790" t="s">
        <v>20</v>
      </c>
      <c r="K2790" s="2" t="str">
        <f>HYPERLINK("https://www.nba.com/stats/events?CFID=&amp;CFPARAMS=&amp;GameEventID=287&amp;GameID=0021501018&amp;Season=2015-16&amp;flag=1&amp;title=Leonard%2025'%203PT%20Jump%20Shot%20(9%20PTS)%20(Green%202%20AST)", "Leonard 25' 3PT Jump Shot (9 PTS) (Green 2 AST)")</f>
        <v>Leonard 25' 3PT Jump Shot (9 PTS) (Green 2 AST)</v>
      </c>
      <c r="L2790" s="2" t="str">
        <f>HYPERLINK("https://www.nba.com/game/...-vs-...-0021501018/play-by-play?watchFullGame=true", "SAS vs POR - Q3 11:47.00")</f>
        <v>SAS vs POR - Q3 11:47.00</v>
      </c>
      <c r="M2790">
        <v>25</v>
      </c>
      <c r="N2790">
        <v>177</v>
      </c>
      <c r="O2790">
        <v>174</v>
      </c>
      <c r="P2790">
        <v>177</v>
      </c>
      <c r="Q2790">
        <v>174</v>
      </c>
      <c r="R2790" t="s">
        <v>21</v>
      </c>
      <c r="S2790" t="s">
        <v>21</v>
      </c>
    </row>
    <row r="2791" spans="1:19" hidden="1" x14ac:dyDescent="0.25">
      <c r="A2791">
        <v>21501140</v>
      </c>
      <c r="B2791" t="s">
        <v>26</v>
      </c>
      <c r="C2791" t="s">
        <v>19</v>
      </c>
      <c r="D2791">
        <v>55</v>
      </c>
      <c r="E2791">
        <v>44</v>
      </c>
      <c r="F2791">
        <v>11</v>
      </c>
      <c r="G2791">
        <v>2</v>
      </c>
      <c r="H2791" s="1">
        <v>1.9675925925925925E-5</v>
      </c>
      <c r="I2791">
        <v>2015</v>
      </c>
      <c r="J2791" t="s">
        <v>20</v>
      </c>
      <c r="K2791" s="2" t="str">
        <f>HYPERLINK("https://www.nba.com/stats/events?CFID=&amp;CFPARAMS=&amp;GameEventID=210&amp;GameID=0021501140&amp;Season=2015-16&amp;flag=1&amp;title=Leonard%2024'%203PT%20Jump%20Shot%20(13%20PTS)%20(Parker%204%20AST)", "Leonard 24' 3PT Jump Shot (13 PTS) (Parker 4 AST)")</f>
        <v>Leonard 24' 3PT Jump Shot (13 PTS) (Parker 4 AST)</v>
      </c>
      <c r="L2791" s="2" t="str">
        <f>HYPERLINK("https://www.nba.com/game/...-vs-...-0021501140/play-by-play?watchFullGame=true", "SAS vs TOR - Q2 00:01.70")</f>
        <v>SAS vs TOR - Q2 00:01.70</v>
      </c>
      <c r="M2791">
        <v>24</v>
      </c>
      <c r="N2791">
        <v>-243</v>
      </c>
      <c r="O2791">
        <v>-1</v>
      </c>
      <c r="P2791">
        <v>-243</v>
      </c>
      <c r="Q2791">
        <v>-1</v>
      </c>
      <c r="R2791" t="s">
        <v>21</v>
      </c>
      <c r="S2791" t="s">
        <v>21</v>
      </c>
    </row>
    <row r="2792" spans="1:19" hidden="1" x14ac:dyDescent="0.25">
      <c r="A2792">
        <v>21500090</v>
      </c>
      <c r="B2792" t="s">
        <v>26</v>
      </c>
      <c r="C2792" t="s">
        <v>19</v>
      </c>
      <c r="D2792">
        <v>29</v>
      </c>
      <c r="E2792">
        <v>21</v>
      </c>
      <c r="F2792">
        <v>8</v>
      </c>
      <c r="G2792">
        <v>1</v>
      </c>
      <c r="H2792" s="1">
        <v>3.3564814814814815E-5</v>
      </c>
      <c r="I2792">
        <v>2015</v>
      </c>
      <c r="J2792" t="s">
        <v>20</v>
      </c>
      <c r="K2792" s="2" t="str">
        <f>HYPERLINK("https://www.nba.com/stats/events?CFID=&amp;CFPARAMS=&amp;GameEventID=126&amp;GameID=0021500090&amp;Season=2015-16&amp;flag=1&amp;title=Leonard%2024'%203PT%20Jump%20Shot%20(7%20PTS)%20(Ginobili%201%20AST)", "Leonard 24' 3PT Jump Shot (7 PTS) (Ginobili 1 AST)")</f>
        <v>Leonard 24' 3PT Jump Shot (7 PTS) (Ginobili 1 AST)</v>
      </c>
      <c r="L2792" s="2" t="str">
        <f>HYPERLINK("https://www.nba.com/game/...-vs-...-0021500090/play-by-play?watchFullGame=true", "SAS vs CHA - Q1 00:02.90")</f>
        <v>SAS vs CHA - Q1 00:02.90</v>
      </c>
      <c r="M2792">
        <v>24</v>
      </c>
      <c r="N2792">
        <v>-243</v>
      </c>
      <c r="O2792">
        <v>-10</v>
      </c>
      <c r="P2792">
        <v>-243</v>
      </c>
      <c r="Q2792">
        <v>-10</v>
      </c>
      <c r="R2792" t="s">
        <v>21</v>
      </c>
      <c r="S2792" t="s">
        <v>21</v>
      </c>
    </row>
    <row r="2793" spans="1:19" hidden="1" x14ac:dyDescent="0.25">
      <c r="A2793">
        <v>21300414</v>
      </c>
      <c r="B2793" t="s">
        <v>26</v>
      </c>
      <c r="C2793" t="s">
        <v>19</v>
      </c>
      <c r="D2793">
        <v>112</v>
      </c>
      <c r="E2793">
        <v>99</v>
      </c>
      <c r="F2793">
        <v>13</v>
      </c>
      <c r="G2793">
        <v>4</v>
      </c>
      <c r="H2793" s="1">
        <v>8.1018518518518516E-5</v>
      </c>
      <c r="I2793">
        <v>2013</v>
      </c>
      <c r="J2793" t="s">
        <v>20</v>
      </c>
      <c r="K2793" s="2" t="str">
        <f>HYPERLINK("https://www.nba.com/stats/events?CFID=&amp;CFPARAMS=&amp;GameEventID=555&amp;GameID=0021300414&amp;Season=2013-14&amp;flag=1&amp;title=Leonard%2024'%203PT%20Jump%20Shot%20(13%20PTS)%20(Mills%202%20AST)", "Leonard 24' 3PT Jump Shot (13 PTS) (Mills 2 AST)")</f>
        <v>Leonard 24' 3PT Jump Shot (13 PTS) (Mills 2 AST)</v>
      </c>
      <c r="L2793" s="2" t="str">
        <f>HYPERLINK("https://www.nba.com/game/...-vs-...-0021300414/play-by-play?watchFullGame=true", "SAS vs TOR - Q4 00:07.00")</f>
        <v>SAS vs TOR - Q4 00:07.00</v>
      </c>
      <c r="M2793">
        <v>24</v>
      </c>
      <c r="N2793">
        <v>-237</v>
      </c>
      <c r="O2793">
        <v>0</v>
      </c>
      <c r="P2793">
        <v>-237</v>
      </c>
      <c r="Q2793">
        <v>0</v>
      </c>
      <c r="R2793" t="s">
        <v>21</v>
      </c>
      <c r="S2793" t="s">
        <v>21</v>
      </c>
    </row>
    <row r="2794" spans="1:19" hidden="1" x14ac:dyDescent="0.25">
      <c r="A2794">
        <v>21500156</v>
      </c>
      <c r="B2794" t="s">
        <v>26</v>
      </c>
      <c r="C2794" t="s">
        <v>19</v>
      </c>
      <c r="D2794">
        <v>93</v>
      </c>
      <c r="E2794">
        <v>80</v>
      </c>
      <c r="F2794">
        <v>13</v>
      </c>
      <c r="G2794">
        <v>4</v>
      </c>
      <c r="H2794" s="1">
        <v>1.3194444444444446E-4</v>
      </c>
      <c r="I2794">
        <v>2015</v>
      </c>
      <c r="J2794" t="s">
        <v>20</v>
      </c>
      <c r="K2794" s="2" t="str">
        <f>HYPERLINK("https://www.nba.com/stats/events?CFID=&amp;CFPARAMS=&amp;GameEventID=457&amp;GameID=0021500156&amp;Season=2015-16&amp;flag=1&amp;title=Leonard%2024'%203PT%20Jump%20Shot%20(19%20PTS)%20(Diaw%203%20AST)", "Leonard 24' 3PT Jump Shot (19 PTS) (Diaw 3 AST)")</f>
        <v>Leonard 24' 3PT Jump Shot (19 PTS) (Diaw 3 AST)</v>
      </c>
      <c r="L2794" s="2" t="str">
        <f>HYPERLINK("https://www.nba.com/game/...-vs-...-0021500156/play-by-play?watchFullGame=true", "SAS vs POR - Q4 00:11.40")</f>
        <v>SAS vs POR - Q4 00:11.40</v>
      </c>
      <c r="M2794">
        <v>24</v>
      </c>
      <c r="N2794">
        <v>120</v>
      </c>
      <c r="O2794">
        <v>213</v>
      </c>
      <c r="P2794">
        <v>120</v>
      </c>
      <c r="Q2794">
        <v>213</v>
      </c>
      <c r="R2794" t="s">
        <v>21</v>
      </c>
      <c r="S2794" t="s">
        <v>21</v>
      </c>
    </row>
    <row r="2795" spans="1:19" hidden="1" x14ac:dyDescent="0.25">
      <c r="A2795">
        <v>21500224</v>
      </c>
      <c r="B2795" t="s">
        <v>26</v>
      </c>
      <c r="C2795" t="s">
        <v>19</v>
      </c>
      <c r="D2795">
        <v>87</v>
      </c>
      <c r="E2795">
        <v>83</v>
      </c>
      <c r="F2795">
        <v>4</v>
      </c>
      <c r="G2795">
        <v>4</v>
      </c>
      <c r="H2795" s="1">
        <v>1.7476851851851852E-4</v>
      </c>
      <c r="I2795">
        <v>2015</v>
      </c>
      <c r="J2795" t="s">
        <v>20</v>
      </c>
      <c r="K2795" s="2" t="str">
        <f>HYPERLINK("https://www.nba.com/stats/events?CFID=&amp;CFPARAMS=&amp;GameEventID=479&amp;GameID=0021500224&amp;Season=2015-16&amp;flag=1&amp;title=Leonard%2024'%203PT%20Jump%20Shot%20(26%20PTS)%20(Ginobili%203%20AST)", "Leonard 24' 3PT Jump Shot (26 PTS) (Ginobili 3 AST)")</f>
        <v>Leonard 24' 3PT Jump Shot (26 PTS) (Ginobili 3 AST)</v>
      </c>
      <c r="L2795" s="2" t="str">
        <f>HYPERLINK("https://www.nba.com/game/...-vs-...-0021500224/play-by-play?watchFullGame=true", "SAS vs DAL - Q4 00:15.10")</f>
        <v>SAS vs DAL - Q4 00:15.10</v>
      </c>
      <c r="M2795">
        <v>24</v>
      </c>
      <c r="N2795">
        <v>-42</v>
      </c>
      <c r="O2795">
        <v>237</v>
      </c>
      <c r="P2795">
        <v>-42</v>
      </c>
      <c r="Q2795">
        <v>237</v>
      </c>
      <c r="R2795" t="s">
        <v>21</v>
      </c>
      <c r="S2795" t="s">
        <v>21</v>
      </c>
    </row>
    <row r="2796" spans="1:19" x14ac:dyDescent="0.25">
      <c r="A2796">
        <v>21500195</v>
      </c>
      <c r="B2796" t="s">
        <v>26</v>
      </c>
      <c r="C2796" t="s">
        <v>19</v>
      </c>
      <c r="D2796">
        <v>91</v>
      </c>
      <c r="E2796">
        <v>82</v>
      </c>
      <c r="F2796">
        <v>9</v>
      </c>
      <c r="G2796">
        <v>4</v>
      </c>
      <c r="H2796" s="1">
        <v>1.875E-4</v>
      </c>
      <c r="I2796">
        <v>2015</v>
      </c>
      <c r="J2796" t="s">
        <v>20</v>
      </c>
      <c r="K2796" s="2" t="str">
        <f>HYPERLINK("https://www.nba.com/stats/events?CFID=&amp;CFPARAMS=&amp;GameEventID=458&amp;GameID=0021500195&amp;Season=2015-16&amp;flag=1&amp;title=Leonard%2024'%203PT%20Jump%20Shot%20(18%20PTS)", "Leonard 24' 3PT Jump Shot (18 PTS)")</f>
        <v>Leonard 24' 3PT Jump Shot (18 PTS)</v>
      </c>
      <c r="L2796" s="2" t="str">
        <f>HYPERLINK("https://www.nba.com/game/...-vs-...-0021500195/play-by-play?watchFullGame=true", "SAS vs MEM - Q4 00:16.20")</f>
        <v>SAS vs MEM - Q4 00:16.20</v>
      </c>
      <c r="M2796">
        <v>24</v>
      </c>
      <c r="N2796">
        <v>-241</v>
      </c>
      <c r="O2796">
        <v>-16</v>
      </c>
      <c r="P2796">
        <v>-241</v>
      </c>
      <c r="Q2796">
        <v>-16</v>
      </c>
      <c r="R2796" t="s">
        <v>21</v>
      </c>
      <c r="S2796" t="s">
        <v>21</v>
      </c>
    </row>
    <row r="2797" spans="1:19" hidden="1" x14ac:dyDescent="0.25">
      <c r="A2797">
        <v>41800303</v>
      </c>
      <c r="B2797" t="s">
        <v>26</v>
      </c>
      <c r="C2797" t="s">
        <v>36</v>
      </c>
      <c r="D2797">
        <v>55</v>
      </c>
      <c r="E2797">
        <v>48</v>
      </c>
      <c r="F2797">
        <v>7</v>
      </c>
      <c r="G2797">
        <v>2</v>
      </c>
      <c r="H2797" s="1">
        <v>3.5185185185185184E-4</v>
      </c>
      <c r="I2797" t="s">
        <v>60</v>
      </c>
      <c r="J2797" t="s">
        <v>48</v>
      </c>
      <c r="K2797" s="2" t="str">
        <f>HYPERLINK("https://www.nba.com/stats/events?CFID=&amp;CFPARAMS=&amp;GameEventID=337&amp;GameID=0041800303&amp;Season=2018-19&amp;flag=1&amp;title=Leonard%2024'%203PT%20Pullup%20Jump%20Shot%20(15%20PTS)", "Leonard 24' 3PT Pullup Jump Shot (15 PTS)")</f>
        <v>Leonard 24' 3PT Pullup Jump Shot (15 PTS)</v>
      </c>
      <c r="L2797" s="2" t="str">
        <f>HYPERLINK("https://www.nba.com/game/...-vs-...-0041800303/play-by-play?watchFullGame=true", "TOR vs MIL - Q2 00:30.40")</f>
        <v>TOR vs MIL - Q2 00:30.40</v>
      </c>
      <c r="M2797">
        <v>24</v>
      </c>
      <c r="N2797">
        <v>30</v>
      </c>
      <c r="O2797">
        <v>243</v>
      </c>
      <c r="P2797">
        <v>30</v>
      </c>
      <c r="Q2797">
        <v>243</v>
      </c>
      <c r="R2797" t="s">
        <v>21</v>
      </c>
      <c r="S2797" t="s">
        <v>21</v>
      </c>
    </row>
    <row r="2798" spans="1:19" hidden="1" x14ac:dyDescent="0.25">
      <c r="A2798">
        <v>21500872</v>
      </c>
      <c r="B2798" t="s">
        <v>26</v>
      </c>
      <c r="C2798" t="s">
        <v>36</v>
      </c>
      <c r="D2798">
        <v>51</v>
      </c>
      <c r="E2798">
        <v>31</v>
      </c>
      <c r="F2798">
        <v>20</v>
      </c>
      <c r="G2798">
        <v>2</v>
      </c>
      <c r="H2798" s="1">
        <v>4.5486111111111107E-4</v>
      </c>
      <c r="I2798">
        <v>2015</v>
      </c>
      <c r="J2798" t="s">
        <v>20</v>
      </c>
      <c r="K2798" s="2" t="str">
        <f>HYPERLINK("https://www.nba.com/stats/events?CFID=&amp;CFPARAMS=&amp;GameEventID=220&amp;GameID=0021500872&amp;Season=2015-16&amp;flag=1&amp;title=Leonard%2024'%203PT%20Pullup%20Jump%20Shot%20(15%20PTS)", "Leonard 24' 3PT Pullup Jump Shot (15 PTS)")</f>
        <v>Leonard 24' 3PT Pullup Jump Shot (15 PTS)</v>
      </c>
      <c r="L2798" s="2" t="str">
        <f>HYPERLINK("https://www.nba.com/game/...-vs-...-0021500872/play-by-play?watchFullGame=true", "SAS vs HOU - Q2 00:39.30")</f>
        <v>SAS vs HOU - Q2 00:39.30</v>
      </c>
      <c r="M2798">
        <v>24</v>
      </c>
      <c r="N2798">
        <v>32</v>
      </c>
      <c r="O2798">
        <v>242</v>
      </c>
      <c r="P2798">
        <v>32</v>
      </c>
      <c r="Q2798">
        <v>242</v>
      </c>
      <c r="R2798" t="s">
        <v>21</v>
      </c>
      <c r="S2798" t="s">
        <v>21</v>
      </c>
    </row>
    <row r="2799" spans="1:19" hidden="1" x14ac:dyDescent="0.25">
      <c r="A2799">
        <v>21400906</v>
      </c>
      <c r="B2799" t="s">
        <v>26</v>
      </c>
      <c r="C2799" t="s">
        <v>19</v>
      </c>
      <c r="D2799">
        <v>53</v>
      </c>
      <c r="E2799">
        <v>38</v>
      </c>
      <c r="F2799">
        <v>15</v>
      </c>
      <c r="G2799">
        <v>2</v>
      </c>
      <c r="H2799" s="1">
        <v>4.6296296296296298E-4</v>
      </c>
      <c r="I2799">
        <v>2014</v>
      </c>
      <c r="J2799" t="s">
        <v>20</v>
      </c>
      <c r="K2799" s="2" t="str">
        <f>HYPERLINK("https://www.nba.com/stats/events?CFID=&amp;CFPARAMS=&amp;GameEventID=271&amp;GameID=0021400906&amp;Season=2014-15&amp;flag=1&amp;title=Leonard%2024'%203PT%20Jump%20Shot%20(19%20PTS)%20(Parker%202%20AST)", "Leonard 24' 3PT Jump Shot (19 PTS) (Parker 2 AST)")</f>
        <v>Leonard 24' 3PT Jump Shot (19 PTS) (Parker 2 AST)</v>
      </c>
      <c r="L2799" s="2" t="str">
        <f>HYPERLINK("https://www.nba.com/game/...-vs-...-0021400906/play-by-play?watchFullGame=true", "SAS vs SAC - Q2 00:40.00")</f>
        <v>SAS vs SAC - Q2 00:40.00</v>
      </c>
      <c r="M2799">
        <v>24</v>
      </c>
      <c r="N2799">
        <v>237</v>
      </c>
      <c r="O2799">
        <v>28</v>
      </c>
      <c r="P2799">
        <v>237</v>
      </c>
      <c r="Q2799">
        <v>28</v>
      </c>
      <c r="R2799" t="s">
        <v>21</v>
      </c>
      <c r="S2799" t="s">
        <v>21</v>
      </c>
    </row>
    <row r="2800" spans="1:19" hidden="1" x14ac:dyDescent="0.25">
      <c r="A2800">
        <v>41300145</v>
      </c>
      <c r="B2800" t="s">
        <v>26</v>
      </c>
      <c r="C2800" t="s">
        <v>19</v>
      </c>
      <c r="D2800">
        <v>56</v>
      </c>
      <c r="E2800">
        <v>47</v>
      </c>
      <c r="F2800">
        <v>9</v>
      </c>
      <c r="G2800">
        <v>2</v>
      </c>
      <c r="H2800" s="1">
        <v>5.3703703703703704E-4</v>
      </c>
      <c r="I2800" t="s">
        <v>55</v>
      </c>
      <c r="J2800" t="s">
        <v>20</v>
      </c>
      <c r="K2800" s="2" t="str">
        <f>HYPERLINK("https://www.nba.com/stats/events?CFID=&amp;CFPARAMS=&amp;GameEventID=227&amp;GameID=0041300145&amp;Season=2013-14&amp;flag=1&amp;title=Leonard%2024'%203PT%20Jump%20Shot%20(11%20PTS)%20(Diaw%203%20AST)", "Leonard 24' 3PT Jump Shot (11 PTS) (Diaw 3 AST)")</f>
        <v>Leonard 24' 3PT Jump Shot (11 PTS) (Diaw 3 AST)</v>
      </c>
      <c r="L2800" s="2" t="str">
        <f>HYPERLINK("https://www.nba.com/game/...-vs-...-0041300145/play-by-play?watchFullGame=true", "SAS vs DAL - Q2 00:46.40")</f>
        <v>SAS vs DAL - Q2 00:46.40</v>
      </c>
      <c r="M2800">
        <v>24</v>
      </c>
      <c r="N2800">
        <v>-232</v>
      </c>
      <c r="O2800">
        <v>55</v>
      </c>
      <c r="P2800">
        <v>-232</v>
      </c>
      <c r="Q2800">
        <v>55</v>
      </c>
      <c r="R2800" t="s">
        <v>21</v>
      </c>
      <c r="S2800" t="s">
        <v>21</v>
      </c>
    </row>
    <row r="2801" spans="1:19" hidden="1" x14ac:dyDescent="0.25">
      <c r="A2801">
        <v>41200311</v>
      </c>
      <c r="B2801" t="s">
        <v>26</v>
      </c>
      <c r="C2801" t="s">
        <v>19</v>
      </c>
      <c r="D2801">
        <v>51</v>
      </c>
      <c r="E2801">
        <v>36</v>
      </c>
      <c r="F2801">
        <v>15</v>
      </c>
      <c r="G2801">
        <v>2</v>
      </c>
      <c r="H2801" s="1">
        <v>5.6597222222222216E-4</v>
      </c>
      <c r="I2801" t="s">
        <v>53</v>
      </c>
      <c r="J2801" t="s">
        <v>20</v>
      </c>
      <c r="K2801" s="2" t="str">
        <f>HYPERLINK("https://www.nba.com/stats/events?CFID=&amp;CFPARAMS=&amp;GameEventID=197&amp;GameID=0041200311&amp;Season=2012-13&amp;flag=1&amp;title=Leonard%2024'%203PT%20Jump%20Shot%20(8%20PTS)%20(Parker%206%20AST)", "Leonard 24' 3PT Jump Shot (8 PTS) (Parker 6 AST)")</f>
        <v>Leonard 24' 3PT Jump Shot (8 PTS) (Parker 6 AST)</v>
      </c>
      <c r="L2801" s="2" t="str">
        <f>HYPERLINK("https://www.nba.com/game/...-vs-...-0041200311/play-by-play?watchFullGame=true", "SAS vs MEM - Q2 00:48.90")</f>
        <v>SAS vs MEM - Q2 00:48.90</v>
      </c>
      <c r="M2801">
        <v>24</v>
      </c>
      <c r="N2801">
        <v>236</v>
      </c>
      <c r="O2801">
        <v>-8</v>
      </c>
      <c r="P2801">
        <v>236</v>
      </c>
      <c r="Q2801">
        <v>-8</v>
      </c>
      <c r="R2801" t="s">
        <v>21</v>
      </c>
      <c r="S2801" t="s">
        <v>21</v>
      </c>
    </row>
    <row r="2802" spans="1:19" hidden="1" x14ac:dyDescent="0.25">
      <c r="A2802">
        <v>21601011</v>
      </c>
      <c r="B2802" t="s">
        <v>26</v>
      </c>
      <c r="C2802" t="s">
        <v>36</v>
      </c>
      <c r="D2802">
        <v>55</v>
      </c>
      <c r="E2802">
        <v>50</v>
      </c>
      <c r="F2802">
        <v>5</v>
      </c>
      <c r="G2802">
        <v>2</v>
      </c>
      <c r="H2802" s="1">
        <v>6.3194444444444442E-4</v>
      </c>
      <c r="I2802">
        <v>2016</v>
      </c>
      <c r="J2802" t="s">
        <v>20</v>
      </c>
      <c r="K2802" s="2" t="str">
        <f>HYPERLINK("https://www.nba.com/stats/events?CFID=&amp;CFPARAMS=&amp;GameEventID=210&amp;GameID=0021601011&amp;Season=2016-17&amp;flag=1&amp;title=Leonard%2024'%203PT%20Pullup%20Jump%20Shot%20(17%20PTS)", "Leonard 24' 3PT Pullup Jump Shot (17 PTS)")</f>
        <v>Leonard 24' 3PT Pullup Jump Shot (17 PTS)</v>
      </c>
      <c r="L2802" s="2" t="str">
        <f>HYPERLINK("https://www.nba.com/game/...-vs-...-0021601011/play-by-play?watchFullGame=true", "SAS vs POR - Q2 00:54.60")</f>
        <v>SAS vs POR - Q2 00:54.60</v>
      </c>
      <c r="M2802">
        <v>24</v>
      </c>
      <c r="N2802">
        <v>-12</v>
      </c>
      <c r="O2802">
        <v>242</v>
      </c>
      <c r="P2802">
        <v>-12</v>
      </c>
      <c r="Q2802">
        <v>242</v>
      </c>
      <c r="R2802" t="s">
        <v>21</v>
      </c>
      <c r="S2802" t="s">
        <v>21</v>
      </c>
    </row>
    <row r="2803" spans="1:19" hidden="1" x14ac:dyDescent="0.25">
      <c r="A2803">
        <v>21300871</v>
      </c>
      <c r="B2803" t="s">
        <v>26</v>
      </c>
      <c r="C2803" t="s">
        <v>19</v>
      </c>
      <c r="D2803">
        <v>39</v>
      </c>
      <c r="E2803">
        <v>45</v>
      </c>
      <c r="F2803">
        <v>6</v>
      </c>
      <c r="G2803">
        <v>2</v>
      </c>
      <c r="H2803" s="1">
        <v>7.0601851851851847E-4</v>
      </c>
      <c r="I2803">
        <v>2013</v>
      </c>
      <c r="J2803" t="s">
        <v>20</v>
      </c>
      <c r="K2803" s="2" t="str">
        <f>HYPERLINK("https://www.nba.com/stats/events?CFID=&amp;CFPARAMS=&amp;GameEventID=211&amp;GameID=0021300871&amp;Season=2013-14&amp;flag=1&amp;title=Leonard%2024'%203PT%20Jump%20Shot%20(10%20PTS)%20(Ginobili%203%20AST)", "Leonard 24' 3PT Jump Shot (10 PTS) (Ginobili 3 AST)")</f>
        <v>Leonard 24' 3PT Jump Shot (10 PTS) (Ginobili 3 AST)</v>
      </c>
      <c r="L2803" s="2" t="str">
        <f>HYPERLINK("https://www.nba.com/game/...-vs-...-0021300871/play-by-play?watchFullGame=true", "SAS vs CHA - Q2 01:01.00")</f>
        <v>SAS vs CHA - Q2 01:01.00</v>
      </c>
      <c r="M2803">
        <v>24</v>
      </c>
      <c r="N2803">
        <v>103</v>
      </c>
      <c r="O2803">
        <v>219</v>
      </c>
      <c r="P2803">
        <v>103</v>
      </c>
      <c r="Q2803">
        <v>219</v>
      </c>
      <c r="R2803" t="s">
        <v>21</v>
      </c>
      <c r="S2803" t="s">
        <v>21</v>
      </c>
    </row>
    <row r="2804" spans="1:19" hidden="1" x14ac:dyDescent="0.25">
      <c r="A2804">
        <v>41500153</v>
      </c>
      <c r="B2804" t="s">
        <v>26</v>
      </c>
      <c r="C2804" t="s">
        <v>19</v>
      </c>
      <c r="D2804">
        <v>96</v>
      </c>
      <c r="E2804">
        <v>87</v>
      </c>
      <c r="F2804">
        <v>9</v>
      </c>
      <c r="G2804">
        <v>4</v>
      </c>
      <c r="H2804" s="1">
        <v>8.2175925925925927E-4</v>
      </c>
      <c r="I2804" t="s">
        <v>57</v>
      </c>
      <c r="J2804" t="s">
        <v>20</v>
      </c>
      <c r="K2804" s="2" t="str">
        <f>HYPERLINK("https://www.nba.com/stats/events?CFID=&amp;CFPARAMS=&amp;GameEventID=488&amp;GameID=0041500153&amp;Season=2015-16&amp;flag=1&amp;title=Leonard%2024'%203PT%20Jump%20Shot%20(32%20PTS)%20(Ginobili%205%20AST)", "Leonard 24' 3PT Jump Shot (32 PTS) (Ginobili 5 AST)")</f>
        <v>Leonard 24' 3PT Jump Shot (32 PTS) (Ginobili 5 AST)</v>
      </c>
      <c r="L2804" s="2" t="str">
        <f>HYPERLINK("https://www.nba.com/game/...-vs-...-0041500153/play-by-play?watchFullGame=true", "SAS vs MEM - Q4 01:11.00")</f>
        <v>SAS vs MEM - Q4 01:11.00</v>
      </c>
      <c r="M2804">
        <v>24</v>
      </c>
      <c r="N2804">
        <v>232</v>
      </c>
      <c r="O2804">
        <v>41</v>
      </c>
      <c r="P2804">
        <v>232</v>
      </c>
      <c r="Q2804">
        <v>41</v>
      </c>
      <c r="R2804" t="s">
        <v>21</v>
      </c>
      <c r="S2804" t="s">
        <v>21</v>
      </c>
    </row>
    <row r="2805" spans="1:19" hidden="1" x14ac:dyDescent="0.25">
      <c r="A2805">
        <v>21601135</v>
      </c>
      <c r="B2805" t="s">
        <v>26</v>
      </c>
      <c r="C2805" t="s">
        <v>65</v>
      </c>
      <c r="D2805">
        <v>68</v>
      </c>
      <c r="E2805">
        <v>71</v>
      </c>
      <c r="F2805">
        <v>3</v>
      </c>
      <c r="G2805">
        <v>3</v>
      </c>
      <c r="H2805" s="1">
        <v>8.4490740740740739E-4</v>
      </c>
      <c r="I2805">
        <v>2016</v>
      </c>
      <c r="J2805" t="s">
        <v>20</v>
      </c>
      <c r="K2805" s="2" t="str">
        <f>HYPERLINK("https://www.nba.com/stats/events?CFID=&amp;CFPARAMS=&amp;GameEventID=419&amp;GameID=0021601135&amp;Season=2016-17&amp;flag=1&amp;title=Leonard%2024'%203PT%20Running%20Pull-Up%20Jump%20Shot%20(21%20PTS)", "Leonard 24' 3PT Running Pull-Up Jump Shot (21 PTS)")</f>
        <v>Leonard 24' 3PT Running Pull-Up Jump Shot (21 PTS)</v>
      </c>
      <c r="L2805" s="2" t="str">
        <f>HYPERLINK("https://www.nba.com/game/...-vs-...-0021601135/play-by-play?watchFullGame=true", "SAS vs OKC - Q3 01:13.00")</f>
        <v>SAS vs OKC - Q3 01:13.00</v>
      </c>
      <c r="M2805">
        <v>24</v>
      </c>
      <c r="N2805">
        <v>120</v>
      </c>
      <c r="O2805">
        <v>208</v>
      </c>
      <c r="P2805">
        <v>120</v>
      </c>
      <c r="Q2805">
        <v>208</v>
      </c>
      <c r="R2805" t="s">
        <v>21</v>
      </c>
      <c r="S2805" t="s">
        <v>21</v>
      </c>
    </row>
    <row r="2806" spans="1:19" hidden="1" x14ac:dyDescent="0.25">
      <c r="A2806">
        <v>21400714</v>
      </c>
      <c r="B2806" t="s">
        <v>26</v>
      </c>
      <c r="C2806" t="s">
        <v>19</v>
      </c>
      <c r="D2806">
        <v>42</v>
      </c>
      <c r="E2806">
        <v>49</v>
      </c>
      <c r="F2806">
        <v>7</v>
      </c>
      <c r="G2806">
        <v>2</v>
      </c>
      <c r="H2806" s="1">
        <v>8.7962962962962962E-4</v>
      </c>
      <c r="I2806">
        <v>2014</v>
      </c>
      <c r="J2806" t="s">
        <v>20</v>
      </c>
      <c r="K2806" s="2" t="str">
        <f>HYPERLINK("https://www.nba.com/stats/events?CFID=&amp;CFPARAMS=&amp;GameEventID=227&amp;GameID=0021400714&amp;Season=2014-15&amp;flag=1&amp;title=Leonard%2024'%203PT%20Jump%20Shot%20(12%20PTS)%20(Parker%206%20AST)", "Leonard 24' 3PT Jump Shot (12 PTS) (Parker 6 AST)")</f>
        <v>Leonard 24' 3PT Jump Shot (12 PTS) (Parker 6 AST)</v>
      </c>
      <c r="L2806" s="2" t="str">
        <f>HYPERLINK("https://www.nba.com/game/...-vs-...-0021400714/play-by-play?watchFullGame=true", "SAS vs LAC - Q2 01:16.00")</f>
        <v>SAS vs LAC - Q2 01:16.00</v>
      </c>
      <c r="M2806">
        <v>24</v>
      </c>
      <c r="N2806">
        <v>236</v>
      </c>
      <c r="O2806">
        <v>3</v>
      </c>
      <c r="P2806">
        <v>236</v>
      </c>
      <c r="Q2806">
        <v>3</v>
      </c>
      <c r="R2806" t="s">
        <v>21</v>
      </c>
      <c r="S2806" t="s">
        <v>21</v>
      </c>
    </row>
    <row r="2807" spans="1:19" hidden="1" x14ac:dyDescent="0.25">
      <c r="A2807">
        <v>21500532</v>
      </c>
      <c r="B2807" t="s">
        <v>26</v>
      </c>
      <c r="C2807" t="s">
        <v>19</v>
      </c>
      <c r="D2807">
        <v>95</v>
      </c>
      <c r="E2807">
        <v>70</v>
      </c>
      <c r="F2807">
        <v>25</v>
      </c>
      <c r="G2807">
        <v>3</v>
      </c>
      <c r="H2807" s="1">
        <v>1.0069444444444444E-3</v>
      </c>
      <c r="I2807">
        <v>2015</v>
      </c>
      <c r="J2807" t="s">
        <v>20</v>
      </c>
      <c r="K2807" s="2" t="str">
        <f>HYPERLINK("https://www.nba.com/stats/events?CFID=&amp;CFPARAMS=&amp;GameEventID=339&amp;GameID=0021500532&amp;Season=2015-16&amp;flag=1&amp;title=Leonard%2024'%203PT%20Jump%20Shot%20(13%20PTS)%20(Diaw%204%20AST)", "Leonard 24' 3PT Jump Shot (13 PTS) (Diaw 4 AST)")</f>
        <v>Leonard 24' 3PT Jump Shot (13 PTS) (Diaw 4 AST)</v>
      </c>
      <c r="L2807" s="2" t="str">
        <f>HYPERLINK("https://www.nba.com/game/...-vs-...-0021500532/play-by-play?watchFullGame=true", "SAS vs UTA - Q3 01:27.00")</f>
        <v>SAS vs UTA - Q3 01:27.00</v>
      </c>
      <c r="M2807">
        <v>24</v>
      </c>
      <c r="N2807">
        <v>184</v>
      </c>
      <c r="O2807">
        <v>160</v>
      </c>
      <c r="P2807">
        <v>184</v>
      </c>
      <c r="Q2807">
        <v>160</v>
      </c>
      <c r="R2807" t="s">
        <v>21</v>
      </c>
      <c r="S2807" t="s">
        <v>21</v>
      </c>
    </row>
    <row r="2808" spans="1:19" hidden="1" x14ac:dyDescent="0.25">
      <c r="A2808">
        <v>21700502</v>
      </c>
      <c r="B2808" t="s">
        <v>26</v>
      </c>
      <c r="C2808" t="s">
        <v>19</v>
      </c>
      <c r="D2808">
        <v>46</v>
      </c>
      <c r="E2808">
        <v>42</v>
      </c>
      <c r="F2808">
        <v>4</v>
      </c>
      <c r="G2808">
        <v>2</v>
      </c>
      <c r="H2808" s="1">
        <v>1.1226851851851851E-3</v>
      </c>
      <c r="I2808">
        <v>2017</v>
      </c>
      <c r="J2808" t="s">
        <v>20</v>
      </c>
      <c r="K2808" s="2" t="str">
        <f>HYPERLINK("https://www.nba.com/stats/events?CFID=&amp;CFPARAMS=&amp;GameEventID=302&amp;GameID=0021700502&amp;Season=2017-18&amp;flag=1&amp;title=Leonard%2024'%203PT%20Jump%20Shot%20(14%20PTS)", "Leonard 24' 3PT Jump Shot (14 PTS)")</f>
        <v>Leonard 24' 3PT Jump Shot (14 PTS)</v>
      </c>
      <c r="L2808" s="2" t="str">
        <f>HYPERLINK("https://www.nba.com/game/...-vs-...-0021700502/play-by-play?watchFullGame=true", "SAS vs BKN - Q2 01:37.00")</f>
        <v>SAS vs BKN - Q2 01:37.00</v>
      </c>
      <c r="M2808">
        <v>24</v>
      </c>
      <c r="N2808">
        <v>16</v>
      </c>
      <c r="O2808">
        <v>242</v>
      </c>
      <c r="P2808">
        <v>16</v>
      </c>
      <c r="Q2808">
        <v>242</v>
      </c>
      <c r="R2808" t="s">
        <v>21</v>
      </c>
      <c r="S2808" t="s">
        <v>21</v>
      </c>
    </row>
    <row r="2809" spans="1:19" hidden="1" x14ac:dyDescent="0.25">
      <c r="A2809">
        <v>21801044</v>
      </c>
      <c r="B2809" t="s">
        <v>26</v>
      </c>
      <c r="C2809" t="s">
        <v>19</v>
      </c>
      <c r="D2809">
        <v>19</v>
      </c>
      <c r="E2809">
        <v>22</v>
      </c>
      <c r="F2809">
        <v>3</v>
      </c>
      <c r="G2809">
        <v>1</v>
      </c>
      <c r="H2809" s="1">
        <v>1.1574074074074073E-3</v>
      </c>
      <c r="I2809">
        <v>2018</v>
      </c>
      <c r="J2809" t="s">
        <v>48</v>
      </c>
      <c r="K2809" s="2" t="str">
        <f>HYPERLINK("https://www.nba.com/stats/events?CFID=&amp;CFPARAMS=&amp;GameEventID=119&amp;GameID=0021801044&amp;Season=2018-19&amp;flag=1&amp;title=Leonard%2024'%203PT%20Jump%20Shot%20(7%20PTS)%20(Siakam%201%20AST)", "Leonard 24' 3PT Jump Shot (7 PTS) (Siakam 1 AST)")</f>
        <v>Leonard 24' 3PT Jump Shot (7 PTS) (Siakam 1 AST)</v>
      </c>
      <c r="L2809" s="2" t="str">
        <f>HYPERLINK("https://www.nba.com/game/...-vs-...-0021801044/play-by-play?watchFullGame=true", "TOR vs DET - Q1 01:40.00")</f>
        <v>TOR vs DET - Q1 01:40.00</v>
      </c>
      <c r="M2809">
        <v>24</v>
      </c>
      <c r="N2809">
        <v>-239</v>
      </c>
      <c r="O2809">
        <v>12</v>
      </c>
      <c r="P2809">
        <v>-239</v>
      </c>
      <c r="Q2809">
        <v>12</v>
      </c>
      <c r="R2809" t="s">
        <v>21</v>
      </c>
      <c r="S2809" t="s">
        <v>21</v>
      </c>
    </row>
    <row r="2810" spans="1:19" hidden="1" x14ac:dyDescent="0.25">
      <c r="A2810">
        <v>41200231</v>
      </c>
      <c r="B2810" t="s">
        <v>26</v>
      </c>
      <c r="C2810" t="s">
        <v>19</v>
      </c>
      <c r="D2810">
        <v>99</v>
      </c>
      <c r="E2810">
        <v>104</v>
      </c>
      <c r="F2810">
        <v>5</v>
      </c>
      <c r="G2810">
        <v>4</v>
      </c>
      <c r="H2810" s="1">
        <v>1.1689814814814816E-3</v>
      </c>
      <c r="I2810" t="s">
        <v>53</v>
      </c>
      <c r="J2810" t="s">
        <v>20</v>
      </c>
      <c r="K2810" s="2" t="str">
        <f>HYPERLINK("https://www.nba.com/stats/events?CFID=&amp;CFPARAMS=&amp;GameEventID=506&amp;GameID=0041200231&amp;Season=2012-13&amp;flag=1&amp;title=Leonard%2024'%203PT%20Jump%20Shot%20(16%20PTS)%20(Ginobili%208%20AST)", "Leonard 24' 3PT Jump Shot (16 PTS) (Ginobili 8 AST)")</f>
        <v>Leonard 24' 3PT Jump Shot (16 PTS) (Ginobili 8 AST)</v>
      </c>
      <c r="L2810" s="2" t="str">
        <f>HYPERLINK("https://www.nba.com/game/...-vs-...-0041200231/play-by-play?watchFullGame=true", "SAS vs GSW - Q4 01:41.00")</f>
        <v>SAS vs GSW - Q4 01:41.00</v>
      </c>
      <c r="M2810">
        <v>24</v>
      </c>
      <c r="N2810">
        <v>135</v>
      </c>
      <c r="O2810">
        <v>203</v>
      </c>
      <c r="P2810">
        <v>135</v>
      </c>
      <c r="Q2810">
        <v>203</v>
      </c>
      <c r="R2810" t="s">
        <v>21</v>
      </c>
      <c r="S2810" t="s">
        <v>21</v>
      </c>
    </row>
    <row r="2811" spans="1:19" hidden="1" x14ac:dyDescent="0.25">
      <c r="A2811">
        <v>41800217</v>
      </c>
      <c r="B2811" t="s">
        <v>18</v>
      </c>
      <c r="C2811" t="s">
        <v>36</v>
      </c>
      <c r="D2811">
        <v>87</v>
      </c>
      <c r="E2811">
        <v>85</v>
      </c>
      <c r="F2811">
        <v>2</v>
      </c>
      <c r="G2811">
        <v>4</v>
      </c>
      <c r="H2811" s="1">
        <v>1.1689814814814816E-3</v>
      </c>
      <c r="I2811" t="s">
        <v>60</v>
      </c>
      <c r="J2811" t="s">
        <v>48</v>
      </c>
      <c r="K2811" s="2" t="str">
        <f>HYPERLINK("https://www.nba.com/stats/events?CFID=&amp;CFPARAMS=&amp;GameEventID=567&amp;GameID=0041800217&amp;Season=2018-19&amp;flag=1&amp;title=Leonard%2024'%20Pullup%20Jump%20Shot%20(38%20PTS)", "Leonard 24' Pullup Jump Shot (38 PTS)")</f>
        <v>Leonard 24' Pullup Jump Shot (38 PTS)</v>
      </c>
      <c r="L2811" s="2" t="str">
        <f>HYPERLINK("https://www.nba.com/game/...-vs-...-0041800217/play-by-play?watchFullGame=true", "TOR vs PHI - Q4 01:41.00")</f>
        <v>TOR vs PHI - Q4 01:41.00</v>
      </c>
      <c r="M2811">
        <v>24</v>
      </c>
      <c r="N2811">
        <v>157</v>
      </c>
      <c r="O2811">
        <v>175</v>
      </c>
      <c r="P2811">
        <v>157</v>
      </c>
      <c r="Q2811">
        <v>175</v>
      </c>
      <c r="R2811" t="s">
        <v>21</v>
      </c>
      <c r="S2811" t="s">
        <v>21</v>
      </c>
    </row>
    <row r="2812" spans="1:19" hidden="1" x14ac:dyDescent="0.25">
      <c r="A2812">
        <v>21600272</v>
      </c>
      <c r="B2812" t="s">
        <v>26</v>
      </c>
      <c r="C2812" t="s">
        <v>19</v>
      </c>
      <c r="D2812">
        <v>54</v>
      </c>
      <c r="E2812">
        <v>62</v>
      </c>
      <c r="F2812">
        <v>8</v>
      </c>
      <c r="G2812">
        <v>3</v>
      </c>
      <c r="H2812" s="1">
        <v>1.238425925925926E-3</v>
      </c>
      <c r="I2812">
        <v>2016</v>
      </c>
      <c r="J2812" t="s">
        <v>20</v>
      </c>
      <c r="K2812" s="2" t="str">
        <f>HYPERLINK("https://www.nba.com/stats/events?CFID=&amp;CFPARAMS=&amp;GameEventID=339&amp;GameID=0021600272&amp;Season=2016-17&amp;flag=1&amp;title=Leonard%2024'%203PT%20Jump%20Shot%20(8%20PTS)%20(Mills%203%20AST)", "Leonard 24' 3PT Jump Shot (8 PTS) (Mills 3 AST)")</f>
        <v>Leonard 24' 3PT Jump Shot (8 PTS) (Mills 3 AST)</v>
      </c>
      <c r="L2812" s="2" t="str">
        <f>HYPERLINK("https://www.nba.com/game/...-vs-...-0021600272/play-by-play?watchFullGame=true", "SAS vs DAL - Q3 01:47.00")</f>
        <v>SAS vs DAL - Q3 01:47.00</v>
      </c>
      <c r="M2812">
        <v>24</v>
      </c>
      <c r="N2812">
        <v>84</v>
      </c>
      <c r="O2812">
        <v>229</v>
      </c>
      <c r="P2812">
        <v>84</v>
      </c>
      <c r="Q2812">
        <v>229</v>
      </c>
      <c r="R2812" t="s">
        <v>21</v>
      </c>
      <c r="S2812" t="s">
        <v>21</v>
      </c>
    </row>
    <row r="2813" spans="1:19" hidden="1" x14ac:dyDescent="0.25">
      <c r="A2813">
        <v>41400164</v>
      </c>
      <c r="B2813" t="s">
        <v>26</v>
      </c>
      <c r="C2813" t="s">
        <v>19</v>
      </c>
      <c r="D2813">
        <v>45</v>
      </c>
      <c r="E2813">
        <v>46</v>
      </c>
      <c r="F2813">
        <v>1</v>
      </c>
      <c r="G2813">
        <v>2</v>
      </c>
      <c r="H2813" s="1">
        <v>1.3541666666666667E-3</v>
      </c>
      <c r="I2813" t="s">
        <v>56</v>
      </c>
      <c r="J2813" t="s">
        <v>20</v>
      </c>
      <c r="K2813" s="2" t="str">
        <f>HYPERLINK("https://www.nba.com/stats/events?CFID=&amp;CFPARAMS=&amp;GameEventID=220&amp;GameID=0041400164&amp;Season=2014-15&amp;flag=1&amp;title=Leonard%2024'%203PT%20Jump%20Shot%20(11%20PTS)%20(Ginobili%202%20AST)", "Leonard 24' 3PT Jump Shot (11 PTS) (Ginobili 2 AST)")</f>
        <v>Leonard 24' 3PT Jump Shot (11 PTS) (Ginobili 2 AST)</v>
      </c>
      <c r="L2813" s="2" t="str">
        <f>HYPERLINK("https://www.nba.com/game/...-vs-...-0041400164/play-by-play?watchFullGame=true", "SAS vs LAC - Q2 01:57.00")</f>
        <v>SAS vs LAC - Q2 01:57.00</v>
      </c>
      <c r="M2813">
        <v>24</v>
      </c>
      <c r="N2813">
        <v>-234</v>
      </c>
      <c r="O2813">
        <v>22</v>
      </c>
      <c r="P2813">
        <v>-234</v>
      </c>
      <c r="Q2813">
        <v>22</v>
      </c>
      <c r="R2813" t="s">
        <v>21</v>
      </c>
      <c r="S2813" t="s">
        <v>21</v>
      </c>
    </row>
    <row r="2814" spans="1:19" hidden="1" x14ac:dyDescent="0.25">
      <c r="A2814">
        <v>21600150</v>
      </c>
      <c r="B2814" t="s">
        <v>26</v>
      </c>
      <c r="C2814" t="s">
        <v>19</v>
      </c>
      <c r="D2814">
        <v>53</v>
      </c>
      <c r="E2814">
        <v>35</v>
      </c>
      <c r="F2814">
        <v>18</v>
      </c>
      <c r="G2814">
        <v>2</v>
      </c>
      <c r="H2814" s="1">
        <v>1.3541666666666667E-3</v>
      </c>
      <c r="I2814">
        <v>2016</v>
      </c>
      <c r="J2814" t="s">
        <v>20</v>
      </c>
      <c r="K2814" s="2" t="str">
        <f>HYPERLINK("https://www.nba.com/stats/events?CFID=&amp;CFPARAMS=&amp;GameEventID=229&amp;GameID=0021600150&amp;Season=2016-17&amp;flag=1&amp;title=Leonard%2024'%203PT%20Jump%20Shot%20(13%20PTS)%20(Aldridge%201%20AST)", "Leonard 24' 3PT Jump Shot (13 PTS) (Aldridge 1 AST)")</f>
        <v>Leonard 24' 3PT Jump Shot (13 PTS) (Aldridge 1 AST)</v>
      </c>
      <c r="L2814" s="2" t="str">
        <f>HYPERLINK("https://www.nba.com/game/...-vs-...-0021600150/play-by-play?watchFullGame=true", "SAS vs MIA - Q2 01:57.00")</f>
        <v>SAS vs MIA - Q2 01:57.00</v>
      </c>
      <c r="M2814">
        <v>24</v>
      </c>
      <c r="N2814">
        <v>-233</v>
      </c>
      <c r="O2814">
        <v>31</v>
      </c>
      <c r="P2814">
        <v>-233</v>
      </c>
      <c r="Q2814">
        <v>31</v>
      </c>
      <c r="R2814" t="s">
        <v>21</v>
      </c>
      <c r="S2814" t="s">
        <v>21</v>
      </c>
    </row>
    <row r="2815" spans="1:19" hidden="1" x14ac:dyDescent="0.25">
      <c r="A2815">
        <v>41200235</v>
      </c>
      <c r="B2815" t="s">
        <v>26</v>
      </c>
      <c r="C2815" t="s">
        <v>19</v>
      </c>
      <c r="D2815">
        <v>30</v>
      </c>
      <c r="E2815">
        <v>20</v>
      </c>
      <c r="F2815">
        <v>10</v>
      </c>
      <c r="G2815">
        <v>1</v>
      </c>
      <c r="H2815" s="1">
        <v>1.3657407407407407E-3</v>
      </c>
      <c r="I2815" t="s">
        <v>53</v>
      </c>
      <c r="J2815" t="s">
        <v>20</v>
      </c>
      <c r="K2815" s="2" t="str">
        <f>HYPERLINK("https://www.nba.com/stats/events?CFID=&amp;CFPARAMS=&amp;GameEventID=86&amp;GameID=0041200235&amp;Season=2012-13&amp;flag=1&amp;title=Leonard%2024'%203PT%20Jump%20Shot%20(7%20PTS)%20(Joseph%201%20AST)", "Leonard 24' 3PT Jump Shot (7 PTS) (Joseph 1 AST)")</f>
        <v>Leonard 24' 3PT Jump Shot (7 PTS) (Joseph 1 AST)</v>
      </c>
      <c r="L2815" s="2" t="str">
        <f>HYPERLINK("https://www.nba.com/game/...-vs-...-0041200235/play-by-play?watchFullGame=true", "SAS vs GSW - Q1 01:58.00")</f>
        <v>SAS vs GSW - Q1 01:58.00</v>
      </c>
      <c r="M2815">
        <v>24</v>
      </c>
      <c r="N2815">
        <v>95</v>
      </c>
      <c r="O2815">
        <v>224</v>
      </c>
      <c r="P2815">
        <v>95</v>
      </c>
      <c r="Q2815">
        <v>224</v>
      </c>
      <c r="R2815" t="s">
        <v>21</v>
      </c>
      <c r="S2815" t="s">
        <v>21</v>
      </c>
    </row>
    <row r="2816" spans="1:19" hidden="1" x14ac:dyDescent="0.25">
      <c r="A2816">
        <v>21600874</v>
      </c>
      <c r="B2816" t="s">
        <v>26</v>
      </c>
      <c r="C2816" t="s">
        <v>36</v>
      </c>
      <c r="D2816">
        <v>55</v>
      </c>
      <c r="E2816">
        <v>36</v>
      </c>
      <c r="F2816">
        <v>19</v>
      </c>
      <c r="G2816">
        <v>2</v>
      </c>
      <c r="H2816" s="1">
        <v>1.4583333333333334E-3</v>
      </c>
      <c r="I2816">
        <v>2016</v>
      </c>
      <c r="J2816" t="s">
        <v>20</v>
      </c>
      <c r="K2816" s="2" t="str">
        <f>HYPERLINK("https://www.nba.com/stats/events?CFID=&amp;CFPARAMS=&amp;GameEventID=215&amp;GameID=0021600874&amp;Season=2016-17&amp;flag=1&amp;title=Leonard%2024'%203PT%20Pullup%20Jump%20Shot%20(19%20PTS)%20(Aldridge%201%20AST)", "Leonard 24' 3PT Pullup Jump Shot (19 PTS) (Aldridge 1 AST)")</f>
        <v>Leonard 24' 3PT Pullup Jump Shot (19 PTS) (Aldridge 1 AST)</v>
      </c>
      <c r="L2816" s="2" t="str">
        <f>HYPERLINK("https://www.nba.com/game/...-vs-...-0021600874/play-by-play?watchFullGame=true", "SAS vs LAL - Q2 02:06.00")</f>
        <v>SAS vs LAL - Q2 02:06.00</v>
      </c>
      <c r="M2816">
        <v>24</v>
      </c>
      <c r="N2816">
        <v>156</v>
      </c>
      <c r="O2816">
        <v>183</v>
      </c>
      <c r="P2816">
        <v>156</v>
      </c>
      <c r="Q2816">
        <v>183</v>
      </c>
      <c r="R2816" t="s">
        <v>21</v>
      </c>
      <c r="S2816" t="s">
        <v>21</v>
      </c>
    </row>
    <row r="2817" spans="1:19" hidden="1" x14ac:dyDescent="0.25">
      <c r="A2817">
        <v>21300094</v>
      </c>
      <c r="B2817" t="s">
        <v>26</v>
      </c>
      <c r="C2817" t="s">
        <v>19</v>
      </c>
      <c r="D2817">
        <v>57</v>
      </c>
      <c r="E2817">
        <v>37</v>
      </c>
      <c r="F2817">
        <v>20</v>
      </c>
      <c r="G2817">
        <v>2</v>
      </c>
      <c r="H2817" s="1">
        <v>1.6087962962962963E-3</v>
      </c>
      <c r="I2817">
        <v>2013</v>
      </c>
      <c r="J2817" t="s">
        <v>20</v>
      </c>
      <c r="K2817" s="2" t="str">
        <f>HYPERLINK("https://www.nba.com/stats/events?CFID=&amp;CFPARAMS=&amp;GameEventID=229&amp;GameID=0021300094&amp;Season=2013-14&amp;flag=1&amp;title=Leonard%2024'%203PT%20Jump%20Shot%20(12%20PTS)%20(Ginobili%203%20AST)", "Leonard 24' 3PT Jump Shot (12 PTS) (Ginobili 3 AST)")</f>
        <v>Leonard 24' 3PT Jump Shot (12 PTS) (Ginobili 3 AST)</v>
      </c>
      <c r="L2817" s="2" t="str">
        <f>HYPERLINK("https://www.nba.com/game/...-vs-...-0021300094/play-by-play?watchFullGame=true", "SAS vs NYK - Q2 02:19.00")</f>
        <v>SAS vs NYK - Q2 02:19.00</v>
      </c>
      <c r="M2817">
        <v>24</v>
      </c>
      <c r="N2817">
        <v>239</v>
      </c>
      <c r="O2817">
        <v>47</v>
      </c>
      <c r="P2817">
        <v>239</v>
      </c>
      <c r="Q2817">
        <v>47</v>
      </c>
      <c r="R2817" t="s">
        <v>21</v>
      </c>
      <c r="S2817" t="s">
        <v>21</v>
      </c>
    </row>
    <row r="2818" spans="1:19" hidden="1" x14ac:dyDescent="0.25">
      <c r="A2818">
        <v>21600525</v>
      </c>
      <c r="B2818" t="s">
        <v>26</v>
      </c>
      <c r="C2818" t="s">
        <v>19</v>
      </c>
      <c r="D2818">
        <v>54</v>
      </c>
      <c r="E2818">
        <v>32</v>
      </c>
      <c r="F2818">
        <v>22</v>
      </c>
      <c r="G2818">
        <v>2</v>
      </c>
      <c r="H2818" s="1">
        <v>1.712962962962963E-3</v>
      </c>
      <c r="I2818">
        <v>2016</v>
      </c>
      <c r="J2818" t="s">
        <v>20</v>
      </c>
      <c r="K2818" s="2" t="str">
        <f>HYPERLINK("https://www.nba.com/stats/events?CFID=&amp;CFPARAMS=&amp;GameEventID=220&amp;GameID=0021600525&amp;Season=2016-17&amp;flag=1&amp;title=Leonard%2024'%203PT%20Jump%20Shot%20(21%20PTS)%20(Aldridge%204%20AST)", "Leonard 24' 3PT Jump Shot (21 PTS) (Aldridge 4 AST)")</f>
        <v>Leonard 24' 3PT Jump Shot (21 PTS) (Aldridge 4 AST)</v>
      </c>
      <c r="L2818" s="2" t="str">
        <f>HYPERLINK("https://www.nba.com/game/...-vs-...-0021600525/play-by-play?watchFullGame=true", "SAS vs TOR - Q2 02:28.00")</f>
        <v>SAS vs TOR - Q2 02:28.00</v>
      </c>
      <c r="M2818">
        <v>24</v>
      </c>
      <c r="N2818">
        <v>225</v>
      </c>
      <c r="O2818">
        <v>92</v>
      </c>
      <c r="P2818">
        <v>225</v>
      </c>
      <c r="Q2818">
        <v>92</v>
      </c>
      <c r="R2818" t="s">
        <v>21</v>
      </c>
      <c r="S2818" t="s">
        <v>21</v>
      </c>
    </row>
    <row r="2819" spans="1:19" hidden="1" x14ac:dyDescent="0.25">
      <c r="A2819">
        <v>21400231</v>
      </c>
      <c r="B2819" t="s">
        <v>26</v>
      </c>
      <c r="C2819" t="s">
        <v>19</v>
      </c>
      <c r="D2819">
        <v>53</v>
      </c>
      <c r="E2819">
        <v>43</v>
      </c>
      <c r="F2819">
        <v>10</v>
      </c>
      <c r="G2819">
        <v>2</v>
      </c>
      <c r="H2819" s="1">
        <v>1.7708333333333332E-3</v>
      </c>
      <c r="I2819">
        <v>2014</v>
      </c>
      <c r="J2819" t="s">
        <v>20</v>
      </c>
      <c r="K2819" s="2" t="str">
        <f>HYPERLINK("https://www.nba.com/stats/events?CFID=&amp;CFPARAMS=&amp;GameEventID=223&amp;GameID=0021400231&amp;Season=2014-15&amp;flag=1&amp;title=Leonard%2024'%203PT%20Jump%20Shot%20(7%20PTS)%20(Parker%204%20AST)", "Leonard 24' 3PT Jump Shot (7 PTS) (Parker 4 AST)")</f>
        <v>Leonard 24' 3PT Jump Shot (7 PTS) (Parker 4 AST)</v>
      </c>
      <c r="L2819" s="2" t="str">
        <f>HYPERLINK("https://www.nba.com/game/...-vs-...-0021400231/play-by-play?watchFullGame=true", "SAS vs SAC - Q2 02:33.00")</f>
        <v>SAS vs SAC - Q2 02:33.00</v>
      </c>
      <c r="M2819">
        <v>24</v>
      </c>
      <c r="N2819">
        <v>-237</v>
      </c>
      <c r="O2819">
        <v>17</v>
      </c>
      <c r="P2819">
        <v>-237</v>
      </c>
      <c r="Q2819">
        <v>17</v>
      </c>
      <c r="R2819" t="s">
        <v>21</v>
      </c>
      <c r="S2819" t="s">
        <v>21</v>
      </c>
    </row>
    <row r="2820" spans="1:19" hidden="1" x14ac:dyDescent="0.25">
      <c r="A2820">
        <v>21401150</v>
      </c>
      <c r="B2820" t="s">
        <v>26</v>
      </c>
      <c r="C2820" t="s">
        <v>19</v>
      </c>
      <c r="D2820">
        <v>51</v>
      </c>
      <c r="E2820">
        <v>34</v>
      </c>
      <c r="F2820">
        <v>17</v>
      </c>
      <c r="G2820">
        <v>2</v>
      </c>
      <c r="H2820" s="1">
        <v>1.8055555555555555E-3</v>
      </c>
      <c r="I2820">
        <v>2014</v>
      </c>
      <c r="J2820" t="s">
        <v>20</v>
      </c>
      <c r="K2820" s="2" t="str">
        <f>HYPERLINK("https://www.nba.com/stats/events?CFID=&amp;CFPARAMS=&amp;GameEventID=210&amp;GameID=0021401150&amp;Season=2014-15&amp;flag=1&amp;title=Leonard%2024'%203PT%20Jump%20Shot%20(16%20PTS)%20(Parker%204%20AST)", "Leonard 24' 3PT Jump Shot (16 PTS) (Parker 4 AST)")</f>
        <v>Leonard 24' 3PT Jump Shot (16 PTS) (Parker 4 AST)</v>
      </c>
      <c r="L2820" s="2" t="str">
        <f>HYPERLINK("https://www.nba.com/game/...-vs-...-0021401150/play-by-play?watchFullGame=true", "SAS vs GSW - Q2 02:36.00")</f>
        <v>SAS vs GSW - Q2 02:36.00</v>
      </c>
      <c r="M2820">
        <v>24</v>
      </c>
      <c r="N2820">
        <v>241</v>
      </c>
      <c r="O2820">
        <v>25</v>
      </c>
      <c r="P2820">
        <v>241</v>
      </c>
      <c r="Q2820">
        <v>25</v>
      </c>
      <c r="R2820" t="s">
        <v>21</v>
      </c>
      <c r="S2820" t="s">
        <v>21</v>
      </c>
    </row>
    <row r="2821" spans="1:19" hidden="1" x14ac:dyDescent="0.25">
      <c r="A2821">
        <v>21300520</v>
      </c>
      <c r="B2821" t="s">
        <v>26</v>
      </c>
      <c r="C2821" t="s">
        <v>19</v>
      </c>
      <c r="D2821">
        <v>40</v>
      </c>
      <c r="E2821">
        <v>32</v>
      </c>
      <c r="F2821">
        <v>8</v>
      </c>
      <c r="G2821">
        <v>2</v>
      </c>
      <c r="H2821" s="1">
        <v>1.8287037037037037E-3</v>
      </c>
      <c r="I2821">
        <v>2013</v>
      </c>
      <c r="J2821" t="s">
        <v>20</v>
      </c>
      <c r="K2821" s="2" t="str">
        <f>HYPERLINK("https://www.nba.com/stats/events?CFID=&amp;CFPARAMS=&amp;GameEventID=235&amp;GameID=0021300520&amp;Season=2013-14&amp;flag=1&amp;title=Leonard%2024'%203PT%20Jump%20Shot%20(12%20PTS)%20(Belinelli%201%20AST)", "Leonard 24' 3PT Jump Shot (12 PTS) (Belinelli 1 AST)")</f>
        <v>Leonard 24' 3PT Jump Shot (12 PTS) (Belinelli 1 AST)</v>
      </c>
      <c r="L2821" s="2" t="str">
        <f>HYPERLINK("https://www.nba.com/game/...-vs-...-0021300520/play-by-play?watchFullGame=true", "SAS vs DAL - Q2 02:38.00")</f>
        <v>SAS vs DAL - Q2 02:38.00</v>
      </c>
      <c r="M2821">
        <v>24</v>
      </c>
      <c r="N2821">
        <v>237</v>
      </c>
      <c r="O2821">
        <v>-10</v>
      </c>
      <c r="P2821">
        <v>237</v>
      </c>
      <c r="Q2821">
        <v>-10</v>
      </c>
      <c r="R2821" t="s">
        <v>21</v>
      </c>
      <c r="S2821" t="s">
        <v>21</v>
      </c>
    </row>
    <row r="2822" spans="1:19" hidden="1" x14ac:dyDescent="0.25">
      <c r="A2822">
        <v>41800217</v>
      </c>
      <c r="B2822" t="s">
        <v>26</v>
      </c>
      <c r="C2822" t="s">
        <v>19</v>
      </c>
      <c r="D2822">
        <v>57</v>
      </c>
      <c r="E2822">
        <v>58</v>
      </c>
      <c r="F2822">
        <v>1</v>
      </c>
      <c r="G2822">
        <v>3</v>
      </c>
      <c r="H2822" s="1">
        <v>1.9560185185185184E-3</v>
      </c>
      <c r="I2822" t="s">
        <v>60</v>
      </c>
      <c r="J2822" t="s">
        <v>48</v>
      </c>
      <c r="K2822" s="2" t="str">
        <f>HYPERLINK("https://www.nba.com/stats/events?CFID=&amp;CFPARAMS=&amp;GameEventID=424&amp;GameID=0041800217&amp;Season=2018-19&amp;flag=1&amp;title=Leonard%2024'%203PT%20Jump%20Shot%20(24%20PTS)%20(Ibaka%203%20AST)", "Leonard 24' 3PT Jump Shot (24 PTS) (Ibaka 3 AST)")</f>
        <v>Leonard 24' 3PT Jump Shot (24 PTS) (Ibaka 3 AST)</v>
      </c>
      <c r="L2822" s="2" t="str">
        <f>HYPERLINK("https://www.nba.com/game/...-vs-...-0041800217/play-by-play?watchFullGame=true", "TOR vs PHI - Q3 02:49.00")</f>
        <v>TOR vs PHI - Q3 02:49.00</v>
      </c>
      <c r="M2822">
        <v>24</v>
      </c>
      <c r="N2822">
        <v>228</v>
      </c>
      <c r="O2822">
        <v>84</v>
      </c>
      <c r="P2822">
        <v>228</v>
      </c>
      <c r="Q2822">
        <v>84</v>
      </c>
      <c r="R2822" t="s">
        <v>21</v>
      </c>
      <c r="S2822" t="s">
        <v>21</v>
      </c>
    </row>
    <row r="2823" spans="1:19" hidden="1" x14ac:dyDescent="0.25">
      <c r="A2823">
        <v>21500040</v>
      </c>
      <c r="B2823" t="s">
        <v>26</v>
      </c>
      <c r="C2823" t="s">
        <v>19</v>
      </c>
      <c r="D2823">
        <v>86</v>
      </c>
      <c r="E2823">
        <v>79</v>
      </c>
      <c r="F2823">
        <v>7</v>
      </c>
      <c r="G2823">
        <v>4</v>
      </c>
      <c r="H2823" s="1">
        <v>2.1643518518518518E-3</v>
      </c>
      <c r="I2823">
        <v>2015</v>
      </c>
      <c r="J2823" t="s">
        <v>20</v>
      </c>
      <c r="K2823" s="2" t="str">
        <f>HYPERLINK("https://www.nba.com/stats/events?CFID=&amp;CFPARAMS=&amp;GameEventID=536&amp;GameID=0021500040&amp;Season=2015-16&amp;flag=1&amp;title=Leonard%2024'%203PT%20Jump%20Shot%20(15%20PTS)%20(Aldridge%205%20AST)", "Leonard 24' 3PT Jump Shot (15 PTS) (Aldridge 5 AST)")</f>
        <v>Leonard 24' 3PT Jump Shot (15 PTS) (Aldridge 5 AST)</v>
      </c>
      <c r="L2823" s="2" t="str">
        <f>HYPERLINK("https://www.nba.com/game/...-vs-...-0021500040/play-by-play?watchFullGame=true", "SAS vs BOS - Q4 03:07.00")</f>
        <v>SAS vs BOS - Q4 03:07.00</v>
      </c>
      <c r="M2823">
        <v>24</v>
      </c>
      <c r="N2823">
        <v>-237</v>
      </c>
      <c r="O2823">
        <v>-1</v>
      </c>
      <c r="P2823">
        <v>-237</v>
      </c>
      <c r="Q2823">
        <v>-1</v>
      </c>
      <c r="R2823" t="s">
        <v>21</v>
      </c>
      <c r="S2823" t="s">
        <v>21</v>
      </c>
    </row>
    <row r="2824" spans="1:19" hidden="1" x14ac:dyDescent="0.25">
      <c r="A2824">
        <v>41300222</v>
      </c>
      <c r="B2824" t="s">
        <v>26</v>
      </c>
      <c r="C2824" t="s">
        <v>19</v>
      </c>
      <c r="D2824">
        <v>107</v>
      </c>
      <c r="E2824">
        <v>93</v>
      </c>
      <c r="F2824">
        <v>14</v>
      </c>
      <c r="G2824">
        <v>4</v>
      </c>
      <c r="H2824" s="1">
        <v>2.3032407407407407E-3</v>
      </c>
      <c r="I2824" t="s">
        <v>55</v>
      </c>
      <c r="J2824" t="s">
        <v>20</v>
      </c>
      <c r="K2824" s="2" t="str">
        <f>HYPERLINK("https://www.nba.com/stats/events?CFID=&amp;CFPARAMS=&amp;GameEventID=451&amp;GameID=0041300222&amp;Season=2013-14&amp;flag=1&amp;title=Leonard%2024'%203PT%20Jump%20Shot%20(20%20PTS)%20(Ginobili%204%20AST)", "Leonard 24' 3PT Jump Shot (20 PTS) (Ginobili 4 AST)")</f>
        <v>Leonard 24' 3PT Jump Shot (20 PTS) (Ginobili 4 AST)</v>
      </c>
      <c r="L2824" s="2" t="str">
        <f>HYPERLINK("https://www.nba.com/game/...-vs-...-0041300222/play-by-play?watchFullGame=true", "SAS vs POR - Q4 03:19.00")</f>
        <v>SAS vs POR - Q4 03:19.00</v>
      </c>
      <c r="M2824">
        <v>24</v>
      </c>
      <c r="N2824">
        <v>-235</v>
      </c>
      <c r="O2824">
        <v>12</v>
      </c>
      <c r="P2824">
        <v>-235</v>
      </c>
      <c r="Q2824">
        <v>12</v>
      </c>
      <c r="R2824" t="s">
        <v>21</v>
      </c>
      <c r="S2824" t="s">
        <v>21</v>
      </c>
    </row>
    <row r="2825" spans="1:19" hidden="1" x14ac:dyDescent="0.25">
      <c r="A2825">
        <v>21300451</v>
      </c>
      <c r="B2825" t="s">
        <v>26</v>
      </c>
      <c r="C2825" t="s">
        <v>19</v>
      </c>
      <c r="D2825">
        <v>75</v>
      </c>
      <c r="E2825">
        <v>75</v>
      </c>
      <c r="F2825">
        <v>0</v>
      </c>
      <c r="G2825">
        <v>3</v>
      </c>
      <c r="H2825" s="1">
        <v>2.488425925925926E-3</v>
      </c>
      <c r="I2825">
        <v>2013</v>
      </c>
      <c r="J2825" t="s">
        <v>20</v>
      </c>
      <c r="K2825" s="2" t="str">
        <f>HYPERLINK("https://www.nba.com/stats/events?CFID=&amp;CFPARAMS=&amp;GameEventID=349&amp;GameID=0021300451&amp;Season=2013-14&amp;flag=1&amp;title=Leonard%2024'%203PT%20Jump%20Shot%20(5%20PTS)%20(Diaw%205%20AST)", "Leonard 24' 3PT Jump Shot (5 PTS) (Diaw 5 AST)")</f>
        <v>Leonard 24' 3PT Jump Shot (5 PTS) (Diaw 5 AST)</v>
      </c>
      <c r="L2825" s="2" t="str">
        <f>HYPERLINK("https://www.nba.com/game/...-vs-...-0021300451/play-by-play?watchFullGame=true", "SAS vs SAC - Q3 03:35.00")</f>
        <v>SAS vs SAC - Q3 03:35.00</v>
      </c>
      <c r="M2825">
        <v>24</v>
      </c>
      <c r="N2825">
        <v>-237</v>
      </c>
      <c r="O2825">
        <v>3</v>
      </c>
      <c r="P2825">
        <v>-237</v>
      </c>
      <c r="Q2825">
        <v>3</v>
      </c>
      <c r="R2825" t="s">
        <v>21</v>
      </c>
      <c r="S2825" t="s">
        <v>21</v>
      </c>
    </row>
    <row r="2826" spans="1:19" hidden="1" x14ac:dyDescent="0.25">
      <c r="A2826">
        <v>21401039</v>
      </c>
      <c r="B2826" t="s">
        <v>26</v>
      </c>
      <c r="C2826" t="s">
        <v>19</v>
      </c>
      <c r="D2826">
        <v>106</v>
      </c>
      <c r="E2826">
        <v>87</v>
      </c>
      <c r="F2826">
        <v>19</v>
      </c>
      <c r="G2826">
        <v>4</v>
      </c>
      <c r="H2826" s="1">
        <v>2.5231481481481481E-3</v>
      </c>
      <c r="I2826">
        <v>2014</v>
      </c>
      <c r="J2826" t="s">
        <v>20</v>
      </c>
      <c r="K2826" s="2" t="str">
        <f>HYPERLINK("https://www.nba.com/stats/events?CFID=&amp;CFPARAMS=&amp;GameEventID=448&amp;GameID=0021401039&amp;Season=2014-15&amp;flag=1&amp;title=Leonard%2024'%203PT%20Jump%20Shot%20(20%20PTS)%20(Diaw%202%20AST)", "Leonard 24' 3PT Jump Shot (20 PTS) (Diaw 2 AST)")</f>
        <v>Leonard 24' 3PT Jump Shot (20 PTS) (Diaw 2 AST)</v>
      </c>
      <c r="L2826" s="2" t="str">
        <f>HYPERLINK("https://www.nba.com/game/...-vs-...-0021401039/play-by-play?watchFullGame=true", "SAS vs ATL - Q4 03:38.00")</f>
        <v>SAS vs ATL - Q4 03:38.00</v>
      </c>
      <c r="M2826">
        <v>24</v>
      </c>
      <c r="N2826">
        <v>-240</v>
      </c>
      <c r="O2826">
        <v>14</v>
      </c>
      <c r="P2826">
        <v>-240</v>
      </c>
      <c r="Q2826">
        <v>14</v>
      </c>
      <c r="R2826" t="s">
        <v>21</v>
      </c>
      <c r="S2826" t="s">
        <v>21</v>
      </c>
    </row>
    <row r="2827" spans="1:19" x14ac:dyDescent="0.25">
      <c r="A2827">
        <v>21500612</v>
      </c>
      <c r="B2827" t="s">
        <v>26</v>
      </c>
      <c r="C2827" t="s">
        <v>19</v>
      </c>
      <c r="D2827">
        <v>34</v>
      </c>
      <c r="E2827">
        <v>31</v>
      </c>
      <c r="F2827">
        <v>3</v>
      </c>
      <c r="G2827">
        <v>2</v>
      </c>
      <c r="H2827" s="1">
        <v>2.5925925925925925E-3</v>
      </c>
      <c r="I2827">
        <v>2015</v>
      </c>
      <c r="J2827" t="s">
        <v>20</v>
      </c>
      <c r="K2827" s="2" t="str">
        <f>HYPERLINK("https://www.nba.com/stats/events?CFID=&amp;CFPARAMS=&amp;GameEventID=215&amp;GameID=0021500612&amp;Season=2015-16&amp;flag=1&amp;title=Leonard%2024'%203PT%20Jump%20Shot%20(7%20PTS)%20(Aldridge%201%20AST)", "Leonard 24' 3PT Jump Shot (7 PTS) (Aldridge 1 AST)")</f>
        <v>Leonard 24' 3PT Jump Shot (7 PTS) (Aldridge 1 AST)</v>
      </c>
      <c r="L2827" s="2" t="str">
        <f>HYPERLINK("https://www.nba.com/game/...-vs-...-0021500612/play-by-play?watchFullGame=true", "SAS vs DAL - Q2 03:44.00")</f>
        <v>SAS vs DAL - Q2 03:44.00</v>
      </c>
      <c r="M2827">
        <v>24</v>
      </c>
      <c r="N2827">
        <v>-238</v>
      </c>
      <c r="O2827">
        <v>-16</v>
      </c>
      <c r="P2827">
        <v>-238</v>
      </c>
      <c r="Q2827">
        <v>-16</v>
      </c>
      <c r="R2827" t="s">
        <v>21</v>
      </c>
      <c r="S2827" t="s">
        <v>21</v>
      </c>
    </row>
    <row r="2828" spans="1:19" hidden="1" x14ac:dyDescent="0.25">
      <c r="A2828">
        <v>21600053</v>
      </c>
      <c r="B2828" t="s">
        <v>26</v>
      </c>
      <c r="C2828" t="s">
        <v>19</v>
      </c>
      <c r="D2828">
        <v>91</v>
      </c>
      <c r="E2828">
        <v>96</v>
      </c>
      <c r="F2828">
        <v>5</v>
      </c>
      <c r="G2828">
        <v>4</v>
      </c>
      <c r="H2828" s="1">
        <v>2.627314814814815E-3</v>
      </c>
      <c r="I2828">
        <v>2016</v>
      </c>
      <c r="J2828" t="s">
        <v>20</v>
      </c>
      <c r="K2828" s="2" t="str">
        <f>HYPERLINK("https://www.nba.com/stats/events?CFID=&amp;CFPARAMS=&amp;GameEventID=436&amp;GameID=0021600053&amp;Season=2016-17&amp;flag=1&amp;title=Leonard%2024'%203PT%20Jump%20Shot%20(30%20PTS)%20(Aldridge%201%20AST)", "Leonard 24' 3PT Jump Shot (30 PTS) (Aldridge 1 AST)")</f>
        <v>Leonard 24' 3PT Jump Shot (30 PTS) (Aldridge 1 AST)</v>
      </c>
      <c r="L2828" s="2" t="str">
        <f>HYPERLINK("https://www.nba.com/game/...-vs-...-0021600053/play-by-play?watchFullGame=true", "SAS vs UTA - Q4 03:47.00")</f>
        <v>SAS vs UTA - Q4 03:47.00</v>
      </c>
      <c r="M2828">
        <v>24</v>
      </c>
      <c r="N2828">
        <v>-4</v>
      </c>
      <c r="O2828">
        <v>242</v>
      </c>
      <c r="P2828">
        <v>-4</v>
      </c>
      <c r="Q2828">
        <v>242</v>
      </c>
      <c r="R2828" t="s">
        <v>21</v>
      </c>
      <c r="S2828" t="s">
        <v>21</v>
      </c>
    </row>
    <row r="2829" spans="1:19" hidden="1" x14ac:dyDescent="0.25">
      <c r="A2829">
        <v>21400964</v>
      </c>
      <c r="B2829" t="s">
        <v>26</v>
      </c>
      <c r="C2829" t="s">
        <v>19</v>
      </c>
      <c r="D2829">
        <v>80</v>
      </c>
      <c r="E2829">
        <v>73</v>
      </c>
      <c r="F2829">
        <v>7</v>
      </c>
      <c r="G2829">
        <v>3</v>
      </c>
      <c r="H2829" s="1">
        <v>2.650462962962963E-3</v>
      </c>
      <c r="I2829">
        <v>2014</v>
      </c>
      <c r="J2829" t="s">
        <v>20</v>
      </c>
      <c r="K2829" s="2" t="str">
        <f>HYPERLINK("https://www.nba.com/stats/events?CFID=&amp;CFPARAMS=&amp;GameEventID=329&amp;GameID=0021400964&amp;Season=2014-15&amp;flag=1&amp;title=Leonard%2024'%203PT%20Jump%20Shot%20(21%20PTS)%20(Parker%206%20AST)", "Leonard 24' 3PT Jump Shot (21 PTS) (Parker 6 AST)")</f>
        <v>Leonard 24' 3PT Jump Shot (21 PTS) (Parker 6 AST)</v>
      </c>
      <c r="L2829" s="2" t="str">
        <f>HYPERLINK("https://www.nba.com/game/...-vs-...-0021400964/play-by-play?watchFullGame=true", "SAS vs CLE - Q3 03:49.00")</f>
        <v>SAS vs CLE - Q3 03:49.00</v>
      </c>
      <c r="M2829">
        <v>24</v>
      </c>
      <c r="N2829">
        <v>-199</v>
      </c>
      <c r="O2829">
        <v>140</v>
      </c>
      <c r="P2829">
        <v>-199</v>
      </c>
      <c r="Q2829">
        <v>140</v>
      </c>
      <c r="R2829" t="s">
        <v>21</v>
      </c>
      <c r="S2829" t="s">
        <v>21</v>
      </c>
    </row>
    <row r="2830" spans="1:19" hidden="1" x14ac:dyDescent="0.25">
      <c r="A2830">
        <v>21301092</v>
      </c>
      <c r="B2830" t="s">
        <v>26</v>
      </c>
      <c r="C2830" t="s">
        <v>19</v>
      </c>
      <c r="D2830">
        <v>44</v>
      </c>
      <c r="E2830">
        <v>29</v>
      </c>
      <c r="F2830">
        <v>15</v>
      </c>
      <c r="G2830">
        <v>2</v>
      </c>
      <c r="H2830" s="1">
        <v>2.673611111111111E-3</v>
      </c>
      <c r="I2830">
        <v>2013</v>
      </c>
      <c r="J2830" t="s">
        <v>20</v>
      </c>
      <c r="K2830" s="2" t="str">
        <f>HYPERLINK("https://www.nba.com/stats/events?CFID=&amp;CFPARAMS=&amp;GameEventID=177&amp;GameID=0021301092&amp;Season=2013-14&amp;flag=1&amp;title=Leonard%2024'%203PT%20Jump%20Shot%20(12%20PTS)%20(Duncan%203%20AST)", "Leonard 24' 3PT Jump Shot (12 PTS) (Duncan 3 AST)")</f>
        <v>Leonard 24' 3PT Jump Shot (12 PTS) (Duncan 3 AST)</v>
      </c>
      <c r="L2830" s="2" t="str">
        <f>HYPERLINK("https://www.nba.com/game/...-vs-...-0021301092/play-by-play?watchFullGame=true", "SAS vs NOP - Q2 03:51.00")</f>
        <v>SAS vs NOP - Q2 03:51.00</v>
      </c>
      <c r="M2830">
        <v>24</v>
      </c>
      <c r="N2830">
        <v>233</v>
      </c>
      <c r="O2830">
        <v>48</v>
      </c>
      <c r="P2830">
        <v>233</v>
      </c>
      <c r="Q2830">
        <v>48</v>
      </c>
      <c r="R2830" t="s">
        <v>21</v>
      </c>
      <c r="S2830" t="s">
        <v>21</v>
      </c>
    </row>
    <row r="2831" spans="1:19" hidden="1" x14ac:dyDescent="0.25">
      <c r="A2831">
        <v>21400648</v>
      </c>
      <c r="B2831" t="s">
        <v>26</v>
      </c>
      <c r="C2831" t="s">
        <v>19</v>
      </c>
      <c r="D2831">
        <v>71</v>
      </c>
      <c r="E2831">
        <v>53</v>
      </c>
      <c r="F2831">
        <v>18</v>
      </c>
      <c r="G2831">
        <v>3</v>
      </c>
      <c r="H2831" s="1">
        <v>2.7777777777777779E-3</v>
      </c>
      <c r="I2831">
        <v>2014</v>
      </c>
      <c r="J2831" t="s">
        <v>20</v>
      </c>
      <c r="K2831" s="2" t="str">
        <f>HYPERLINK("https://www.nba.com/stats/events?CFID=&amp;CFPARAMS=&amp;GameEventID=336&amp;GameID=0021400648&amp;Season=2014-15&amp;flag=1&amp;title=Leonard%2024'%203PT%20Jump%20Shot%20(13%20PTS)%20(Baynes%201%20AST)", "Leonard 24' 3PT Jump Shot (13 PTS) (Baynes 1 AST)")</f>
        <v>Leonard 24' 3PT Jump Shot (13 PTS) (Baynes 1 AST)</v>
      </c>
      <c r="L2831" s="2" t="str">
        <f>HYPERLINK("https://www.nba.com/game/...-vs-...-0021400648/play-by-play?watchFullGame=true", "SAS vs LAL - Q3 04:00.00")</f>
        <v>SAS vs LAL - Q3 04:00.00</v>
      </c>
      <c r="M2831">
        <v>24</v>
      </c>
      <c r="N2831">
        <v>223</v>
      </c>
      <c r="O2831">
        <v>99</v>
      </c>
      <c r="P2831">
        <v>223</v>
      </c>
      <c r="Q2831">
        <v>99</v>
      </c>
      <c r="R2831" t="s">
        <v>21</v>
      </c>
      <c r="S2831" t="s">
        <v>21</v>
      </c>
    </row>
    <row r="2832" spans="1:19" hidden="1" x14ac:dyDescent="0.25">
      <c r="A2832">
        <v>21600336</v>
      </c>
      <c r="B2832" t="s">
        <v>26</v>
      </c>
      <c r="C2832" t="s">
        <v>19</v>
      </c>
      <c r="D2832">
        <v>52</v>
      </c>
      <c r="E2832">
        <v>65</v>
      </c>
      <c r="F2832">
        <v>13</v>
      </c>
      <c r="G2832">
        <v>3</v>
      </c>
      <c r="H2832" s="1">
        <v>2.9050925925925928E-3</v>
      </c>
      <c r="I2832">
        <v>2016</v>
      </c>
      <c r="J2832" t="s">
        <v>20</v>
      </c>
      <c r="K2832" s="2" t="str">
        <f>HYPERLINK("https://www.nba.com/stats/events?CFID=&amp;CFPARAMS=&amp;GameEventID=342&amp;GameID=0021600336&amp;Season=2016-17&amp;flag=1&amp;title=Leonard%2024'%203PT%20Jump%20Shot%20(14%20PTS)%20(Lee%201%20AST)", "Leonard 24' 3PT Jump Shot (14 PTS) (Lee 1 AST)")</f>
        <v>Leonard 24' 3PT Jump Shot (14 PTS) (Lee 1 AST)</v>
      </c>
      <c r="L2832" s="2" t="str">
        <f>HYPERLINK("https://www.nba.com/game/...-vs-...-0021600336/play-by-play?watchFullGame=true", "SAS vs CHI - Q3 04:11.00")</f>
        <v>SAS vs CHI - Q3 04:11.00</v>
      </c>
      <c r="M2832">
        <v>24</v>
      </c>
      <c r="N2832">
        <v>63</v>
      </c>
      <c r="O2832">
        <v>232</v>
      </c>
      <c r="P2832">
        <v>63</v>
      </c>
      <c r="Q2832">
        <v>232</v>
      </c>
      <c r="R2832" t="s">
        <v>21</v>
      </c>
      <c r="S2832" t="s">
        <v>21</v>
      </c>
    </row>
    <row r="2833" spans="1:19" hidden="1" x14ac:dyDescent="0.25">
      <c r="A2833">
        <v>21500502</v>
      </c>
      <c r="B2833" t="s">
        <v>26</v>
      </c>
      <c r="C2833" t="s">
        <v>39</v>
      </c>
      <c r="D2833">
        <v>81</v>
      </c>
      <c r="E2833">
        <v>67</v>
      </c>
      <c r="F2833">
        <v>14</v>
      </c>
      <c r="G2833">
        <v>3</v>
      </c>
      <c r="H2833" s="1">
        <v>2.9282407407407408E-3</v>
      </c>
      <c r="I2833">
        <v>2015</v>
      </c>
      <c r="J2833" t="s">
        <v>20</v>
      </c>
      <c r="K2833" s="2" t="str">
        <f>HYPERLINK("https://www.nba.com/stats/events?CFID=&amp;CFPARAMS=&amp;GameEventID=333&amp;GameID=0021500502&amp;Season=2015-16&amp;flag=1&amp;title=Leonard%2024'%203PT%20Step%20Back%20Jump%20Shot%20(20%20PTS)%20(Diaw%202%20AST)", "Leonard 24' 3PT Step Back Jump Shot (20 PTS) (Diaw 2 AST)")</f>
        <v>Leonard 24' 3PT Step Back Jump Shot (20 PTS) (Diaw 2 AST)</v>
      </c>
      <c r="L2833" s="2" t="str">
        <f>HYPERLINK("https://www.nba.com/game/...-vs-...-0021500502/play-by-play?watchFullGame=true", "SAS vs HOU - Q3 04:13.00")</f>
        <v>SAS vs HOU - Q3 04:13.00</v>
      </c>
      <c r="M2833">
        <v>24</v>
      </c>
      <c r="N2833">
        <v>235</v>
      </c>
      <c r="O2833">
        <v>26</v>
      </c>
      <c r="P2833">
        <v>235</v>
      </c>
      <c r="Q2833">
        <v>26</v>
      </c>
      <c r="R2833" t="s">
        <v>21</v>
      </c>
      <c r="S2833" t="s">
        <v>21</v>
      </c>
    </row>
    <row r="2834" spans="1:19" hidden="1" x14ac:dyDescent="0.25">
      <c r="A2834">
        <v>21500689</v>
      </c>
      <c r="B2834" t="s">
        <v>26</v>
      </c>
      <c r="C2834" t="s">
        <v>19</v>
      </c>
      <c r="D2834">
        <v>57</v>
      </c>
      <c r="E2834">
        <v>44</v>
      </c>
      <c r="F2834">
        <v>13</v>
      </c>
      <c r="G2834">
        <v>2</v>
      </c>
      <c r="H2834" s="1">
        <v>2.9629629629629628E-3</v>
      </c>
      <c r="I2834">
        <v>2015</v>
      </c>
      <c r="J2834" t="s">
        <v>20</v>
      </c>
      <c r="K2834" s="2" t="str">
        <f>HYPERLINK("https://www.nba.com/stats/events?CFID=&amp;CFPARAMS=&amp;GameEventID=244&amp;GameID=0021500689&amp;Season=2015-16&amp;flag=1&amp;title=Leonard%2024'%203PT%20Jump%20Shot%20(10%20PTS)%20(Parker%203%20AST)", "Leonard 24' 3PT Jump Shot (10 PTS) (Parker 3 AST)")</f>
        <v>Leonard 24' 3PT Jump Shot (10 PTS) (Parker 3 AST)</v>
      </c>
      <c r="L2834" s="2" t="str">
        <f>HYPERLINK("https://www.nba.com/game/...-vs-...-0021500689/play-by-play?watchFullGame=true", "SAS vs HOU - Q2 04:16.00")</f>
        <v>SAS vs HOU - Q2 04:16.00</v>
      </c>
      <c r="M2834">
        <v>24</v>
      </c>
      <c r="N2834">
        <v>158</v>
      </c>
      <c r="O2834">
        <v>183</v>
      </c>
      <c r="P2834">
        <v>158</v>
      </c>
      <c r="Q2834">
        <v>183</v>
      </c>
      <c r="R2834" t="s">
        <v>21</v>
      </c>
      <c r="S2834" t="s">
        <v>21</v>
      </c>
    </row>
    <row r="2835" spans="1:19" hidden="1" x14ac:dyDescent="0.25">
      <c r="A2835">
        <v>21300378</v>
      </c>
      <c r="B2835" t="s">
        <v>26</v>
      </c>
      <c r="C2835" t="s">
        <v>19</v>
      </c>
      <c r="D2835">
        <v>46</v>
      </c>
      <c r="E2835">
        <v>45</v>
      </c>
      <c r="F2835">
        <v>1</v>
      </c>
      <c r="G2835">
        <v>2</v>
      </c>
      <c r="H2835" s="1">
        <v>3.0439814814814813E-3</v>
      </c>
      <c r="I2835">
        <v>2013</v>
      </c>
      <c r="J2835" t="s">
        <v>20</v>
      </c>
      <c r="K2835" s="2" t="str">
        <f>HYPERLINK("https://www.nba.com/stats/events?CFID=&amp;CFPARAMS=&amp;GameEventID=203&amp;GameID=0021300378&amp;Season=2013-14&amp;flag=1&amp;title=Leonard%2024'%203PT%20Jump%20Shot%20(7%20PTS)%20(Belinelli%201%20AST)", "Leonard 24' 3PT Jump Shot (7 PTS) (Belinelli 1 AST)")</f>
        <v>Leonard 24' 3PT Jump Shot (7 PTS) (Belinelli 1 AST)</v>
      </c>
      <c r="L2835" s="2" t="str">
        <f>HYPERLINK("https://www.nba.com/game/...-vs-...-0021300378/play-by-play?watchFullGame=true", "SAS vs PHX - Q2 04:23.00")</f>
        <v>SAS vs PHX - Q2 04:23.00</v>
      </c>
      <c r="M2835">
        <v>24</v>
      </c>
      <c r="N2835">
        <v>-229</v>
      </c>
      <c r="O2835">
        <v>80</v>
      </c>
      <c r="P2835">
        <v>-229</v>
      </c>
      <c r="Q2835">
        <v>80</v>
      </c>
      <c r="R2835" t="s">
        <v>21</v>
      </c>
      <c r="S2835" t="s">
        <v>21</v>
      </c>
    </row>
    <row r="2836" spans="1:19" hidden="1" x14ac:dyDescent="0.25">
      <c r="A2836">
        <v>21600272</v>
      </c>
      <c r="B2836" t="s">
        <v>26</v>
      </c>
      <c r="C2836" t="s">
        <v>19</v>
      </c>
      <c r="D2836">
        <v>80</v>
      </c>
      <c r="E2836">
        <v>79</v>
      </c>
      <c r="F2836">
        <v>1</v>
      </c>
      <c r="G2836">
        <v>4</v>
      </c>
      <c r="H2836" s="1">
        <v>3.0439814814814813E-3</v>
      </c>
      <c r="I2836">
        <v>2016</v>
      </c>
      <c r="J2836" t="s">
        <v>20</v>
      </c>
      <c r="K2836" s="2" t="str">
        <f>HYPERLINK("https://www.nba.com/stats/events?CFID=&amp;CFPARAMS=&amp;GameEventID=454&amp;GameID=0021600272&amp;Season=2016-17&amp;flag=1&amp;title=Leonard%2024'%203PT%20Jump%20Shot%20(19%20PTS)%20(Simmons%203%20AST)", "Leonard 24' 3PT Jump Shot (19 PTS) (Simmons 3 AST)")</f>
        <v>Leonard 24' 3PT Jump Shot (19 PTS) (Simmons 3 AST)</v>
      </c>
      <c r="L2836" s="2" t="str">
        <f>HYPERLINK("https://www.nba.com/game/...-vs-...-0021600272/play-by-play?watchFullGame=true", "SAS vs DAL - Q4 04:23.00")</f>
        <v>SAS vs DAL - Q4 04:23.00</v>
      </c>
      <c r="M2836">
        <v>24</v>
      </c>
      <c r="N2836">
        <v>110</v>
      </c>
      <c r="O2836">
        <v>218</v>
      </c>
      <c r="P2836">
        <v>110</v>
      </c>
      <c r="Q2836">
        <v>218</v>
      </c>
      <c r="R2836" t="s">
        <v>21</v>
      </c>
      <c r="S2836" t="s">
        <v>21</v>
      </c>
    </row>
    <row r="2837" spans="1:19" hidden="1" x14ac:dyDescent="0.25">
      <c r="A2837">
        <v>41200403</v>
      </c>
      <c r="B2837" t="s">
        <v>26</v>
      </c>
      <c r="C2837" t="s">
        <v>19</v>
      </c>
      <c r="D2837">
        <v>69</v>
      </c>
      <c r="E2837">
        <v>52</v>
      </c>
      <c r="F2837">
        <v>17</v>
      </c>
      <c r="G2837">
        <v>3</v>
      </c>
      <c r="H2837" s="1">
        <v>3.0671296296296297E-3</v>
      </c>
      <c r="I2837" t="s">
        <v>53</v>
      </c>
      <c r="J2837" t="s">
        <v>20</v>
      </c>
      <c r="K2837" s="2" t="str">
        <f>HYPERLINK("https://www.nba.com/stats/events?CFID=&amp;CFPARAMS=&amp;GameEventID=326&amp;GameID=0041200403&amp;Season=2012-13&amp;flag=1&amp;title=Leonard%2024'%203PT%20Jump%20Shot%20(10%20PTS)%20(Joseph%201%20AST)", "Leonard 24' 3PT Jump Shot (10 PTS) (Joseph 1 AST)")</f>
        <v>Leonard 24' 3PT Jump Shot (10 PTS) (Joseph 1 AST)</v>
      </c>
      <c r="L2837" s="2" t="str">
        <f>HYPERLINK("https://www.nba.com/game/...-vs-...-0041200403/play-by-play?watchFullGame=true", "SAS vs MIA - Q3 04:25.00")</f>
        <v>SAS vs MIA - Q3 04:25.00</v>
      </c>
      <c r="M2837">
        <v>24</v>
      </c>
      <c r="N2837">
        <v>2</v>
      </c>
      <c r="O2837">
        <v>242</v>
      </c>
      <c r="P2837">
        <v>2</v>
      </c>
      <c r="Q2837">
        <v>242</v>
      </c>
      <c r="R2837" t="s">
        <v>21</v>
      </c>
      <c r="S2837" t="s">
        <v>21</v>
      </c>
    </row>
    <row r="2838" spans="1:19" hidden="1" x14ac:dyDescent="0.25">
      <c r="A2838">
        <v>21601227</v>
      </c>
      <c r="B2838" t="s">
        <v>26</v>
      </c>
      <c r="C2838" t="s">
        <v>19</v>
      </c>
      <c r="D2838">
        <v>61</v>
      </c>
      <c r="E2838">
        <v>74</v>
      </c>
      <c r="F2838">
        <v>13</v>
      </c>
      <c r="G2838">
        <v>3</v>
      </c>
      <c r="H2838" s="1">
        <v>3.1018518518518517E-3</v>
      </c>
      <c r="I2838">
        <v>2016</v>
      </c>
      <c r="J2838" t="s">
        <v>20</v>
      </c>
      <c r="K2838" s="2" t="str">
        <f>HYPERLINK("https://www.nba.com/stats/events?CFID=&amp;CFPARAMS=&amp;GameEventID=301&amp;GameID=0021601227&amp;Season=2016-17&amp;flag=1&amp;title=Leonard%2024'%203PT%20Jump%20Shot%20(12%20PTS)%20(Mills%203%20AST)", "Leonard 24' 3PT Jump Shot (12 PTS) (Mills 3 AST)")</f>
        <v>Leonard 24' 3PT Jump Shot (12 PTS) (Mills 3 AST)</v>
      </c>
      <c r="L2838" s="2" t="str">
        <f>HYPERLINK("https://www.nba.com/game/...-vs-...-0021601227/play-by-play?watchFullGame=true", "SAS vs UTA - Q3 04:28.00")</f>
        <v>SAS vs UTA - Q3 04:28.00</v>
      </c>
      <c r="M2838">
        <v>24</v>
      </c>
      <c r="N2838">
        <v>-230</v>
      </c>
      <c r="O2838">
        <v>67</v>
      </c>
      <c r="P2838">
        <v>-230</v>
      </c>
      <c r="Q2838">
        <v>67</v>
      </c>
      <c r="R2838" t="s">
        <v>21</v>
      </c>
      <c r="S2838" t="s">
        <v>21</v>
      </c>
    </row>
    <row r="2839" spans="1:19" hidden="1" x14ac:dyDescent="0.25">
      <c r="A2839">
        <v>41500151</v>
      </c>
      <c r="B2839" t="s">
        <v>26</v>
      </c>
      <c r="C2839" t="s">
        <v>19</v>
      </c>
      <c r="D2839">
        <v>71</v>
      </c>
      <c r="E2839">
        <v>49</v>
      </c>
      <c r="F2839">
        <v>22</v>
      </c>
      <c r="G2839">
        <v>3</v>
      </c>
      <c r="H2839" s="1">
        <v>3.1712962962962962E-3</v>
      </c>
      <c r="I2839" t="s">
        <v>57</v>
      </c>
      <c r="J2839" t="s">
        <v>20</v>
      </c>
      <c r="K2839" s="2" t="str">
        <f>HYPERLINK("https://www.nba.com/stats/events?CFID=&amp;CFPARAMS=&amp;GameEventID=287&amp;GameID=0041500151&amp;Season=2015-16&amp;flag=1&amp;title=Leonard%2024'%203PT%20Jump%20Shot%20(20%20PTS)%20(Mills%202%20AST)", "Leonard 24' 3PT Jump Shot (20 PTS) (Mills 2 AST)")</f>
        <v>Leonard 24' 3PT Jump Shot (20 PTS) (Mills 2 AST)</v>
      </c>
      <c r="L2839" s="2" t="str">
        <f>HYPERLINK("https://www.nba.com/game/...-vs-...-0041500151/play-by-play?watchFullGame=true", "SAS vs MEM - Q3 04:34.00")</f>
        <v>SAS vs MEM - Q3 04:34.00</v>
      </c>
      <c r="M2839">
        <v>24</v>
      </c>
      <c r="N2839">
        <v>182</v>
      </c>
      <c r="O2839">
        <v>154</v>
      </c>
      <c r="P2839">
        <v>182</v>
      </c>
      <c r="Q2839">
        <v>154</v>
      </c>
      <c r="R2839" t="s">
        <v>21</v>
      </c>
      <c r="S2839" t="s">
        <v>21</v>
      </c>
    </row>
    <row r="2840" spans="1:19" hidden="1" x14ac:dyDescent="0.25">
      <c r="A2840">
        <v>21600441</v>
      </c>
      <c r="B2840" t="s">
        <v>26</v>
      </c>
      <c r="C2840" t="s">
        <v>19</v>
      </c>
      <c r="D2840">
        <v>34</v>
      </c>
      <c r="E2840">
        <v>44</v>
      </c>
      <c r="F2840">
        <v>10</v>
      </c>
      <c r="G2840">
        <v>2</v>
      </c>
      <c r="H2840" s="1">
        <v>3.2291666666666666E-3</v>
      </c>
      <c r="I2840">
        <v>2016</v>
      </c>
      <c r="J2840" t="s">
        <v>20</v>
      </c>
      <c r="K2840" s="2" t="str">
        <f>HYPERLINK("https://www.nba.com/stats/events?CFID=&amp;CFPARAMS=&amp;GameEventID=233&amp;GameID=0021600441&amp;Season=2016-17&amp;flag=1&amp;title=Leonard%2024'%203PT%20Jump%20Shot%20(11%20PTS)%20(Parker%203%20AST)", "Leonard 24' 3PT Jump Shot (11 PTS) (Parker 3 AST)")</f>
        <v>Leonard 24' 3PT Jump Shot (11 PTS) (Parker 3 AST)</v>
      </c>
      <c r="L2840" s="2" t="str">
        <f>HYPERLINK("https://www.nba.com/game/...-vs-...-0021600441/play-by-play?watchFullGame=true", "SAS vs LAC - Q2 04:39.00")</f>
        <v>SAS vs LAC - Q2 04:39.00</v>
      </c>
      <c r="M2840">
        <v>24</v>
      </c>
      <c r="N2840">
        <v>241</v>
      </c>
      <c r="O2840">
        <v>38</v>
      </c>
      <c r="P2840">
        <v>241</v>
      </c>
      <c r="Q2840">
        <v>38</v>
      </c>
      <c r="R2840" t="s">
        <v>21</v>
      </c>
      <c r="S2840" t="s">
        <v>21</v>
      </c>
    </row>
    <row r="2841" spans="1:19" hidden="1" x14ac:dyDescent="0.25">
      <c r="A2841">
        <v>41500153</v>
      </c>
      <c r="B2841" t="s">
        <v>26</v>
      </c>
      <c r="C2841" t="s">
        <v>19</v>
      </c>
      <c r="D2841">
        <v>60</v>
      </c>
      <c r="E2841">
        <v>57</v>
      </c>
      <c r="F2841">
        <v>3</v>
      </c>
      <c r="G2841">
        <v>3</v>
      </c>
      <c r="H2841" s="1">
        <v>3.2407407407407406E-3</v>
      </c>
      <c r="I2841" t="s">
        <v>57</v>
      </c>
      <c r="J2841" t="s">
        <v>20</v>
      </c>
      <c r="K2841" s="2" t="str">
        <f>HYPERLINK("https://www.nba.com/stats/events?CFID=&amp;CFPARAMS=&amp;GameEventID=325&amp;GameID=0041500153&amp;Season=2015-16&amp;flag=1&amp;title=Leonard%2024'%203PT%20Jump%20Shot%20(17%20PTS)%20(Parker%207%20AST)", "Leonard 24' 3PT Jump Shot (17 PTS) (Parker 7 AST)")</f>
        <v>Leonard 24' 3PT Jump Shot (17 PTS) (Parker 7 AST)</v>
      </c>
      <c r="L2841" s="2" t="str">
        <f>HYPERLINK("https://www.nba.com/game/...-vs-...-0041500153/play-by-play?watchFullGame=true", "SAS vs MEM - Q3 04:40.00")</f>
        <v>SAS vs MEM - Q3 04:40.00</v>
      </c>
      <c r="M2841">
        <v>24</v>
      </c>
      <c r="N2841">
        <v>232</v>
      </c>
      <c r="O2841">
        <v>52</v>
      </c>
      <c r="P2841">
        <v>232</v>
      </c>
      <c r="Q2841">
        <v>52</v>
      </c>
      <c r="R2841" t="s">
        <v>21</v>
      </c>
      <c r="S2841" t="s">
        <v>21</v>
      </c>
    </row>
    <row r="2842" spans="1:19" hidden="1" x14ac:dyDescent="0.25">
      <c r="A2842">
        <v>21500364</v>
      </c>
      <c r="B2842" t="s">
        <v>26</v>
      </c>
      <c r="C2842" t="s">
        <v>19</v>
      </c>
      <c r="D2842">
        <v>86</v>
      </c>
      <c r="E2842">
        <v>45</v>
      </c>
      <c r="F2842">
        <v>41</v>
      </c>
      <c r="G2842">
        <v>3</v>
      </c>
      <c r="H2842" s="1">
        <v>3.2986111111111111E-3</v>
      </c>
      <c r="I2842">
        <v>2015</v>
      </c>
      <c r="J2842" t="s">
        <v>20</v>
      </c>
      <c r="K2842" s="2" t="str">
        <f>HYPERLINK("https://www.nba.com/stats/events?CFID=&amp;CFPARAMS=&amp;GameEventID=330&amp;GameID=0021500364&amp;Season=2015-16&amp;flag=1&amp;title=Leonard%2024'%203PT%20Jump%20Shot%20(22%20PTS)%20(Mills%201%20AST)", "Leonard 24' 3PT Jump Shot (22 PTS) (Mills 1 AST)")</f>
        <v>Leonard 24' 3PT Jump Shot (22 PTS) (Mills 1 AST)</v>
      </c>
      <c r="L2842" s="2" t="str">
        <f>HYPERLINK("https://www.nba.com/game/...-vs-...-0021500364/play-by-play?watchFullGame=true", "SAS vs UTA - Q3 04:45.00")</f>
        <v>SAS vs UTA - Q3 04:45.00</v>
      </c>
      <c r="M2842">
        <v>24</v>
      </c>
      <c r="N2842">
        <v>164</v>
      </c>
      <c r="O2842">
        <v>174</v>
      </c>
      <c r="P2842">
        <v>164</v>
      </c>
      <c r="Q2842">
        <v>174</v>
      </c>
      <c r="R2842" t="s">
        <v>21</v>
      </c>
      <c r="S2842" t="s">
        <v>21</v>
      </c>
    </row>
    <row r="2843" spans="1:19" hidden="1" x14ac:dyDescent="0.25">
      <c r="A2843">
        <v>21500379</v>
      </c>
      <c r="B2843" t="s">
        <v>26</v>
      </c>
      <c r="C2843" t="s">
        <v>19</v>
      </c>
      <c r="D2843">
        <v>104</v>
      </c>
      <c r="E2843">
        <v>83</v>
      </c>
      <c r="F2843">
        <v>21</v>
      </c>
      <c r="G2843">
        <v>4</v>
      </c>
      <c r="H2843" s="1">
        <v>3.3101851851851851E-3</v>
      </c>
      <c r="I2843">
        <v>2015</v>
      </c>
      <c r="J2843" t="s">
        <v>20</v>
      </c>
      <c r="K2843" s="2" t="str">
        <f>HYPERLINK("https://www.nba.com/stats/events?CFID=&amp;CFPARAMS=&amp;GameEventID=482&amp;GameID=0021500379&amp;Season=2015-16&amp;flag=1&amp;title=Leonard%2024'%203PT%20Jump%20Shot%20(27%20PTS)%20(Ginobili%208%20AST)", "Leonard 24' 3PT Jump Shot (27 PTS) (Ginobili 8 AST)")</f>
        <v>Leonard 24' 3PT Jump Shot (27 PTS) (Ginobili 8 AST)</v>
      </c>
      <c r="L2843" s="2" t="str">
        <f>HYPERLINK("https://www.nba.com/game/...-vs-...-0021500379/play-by-play?watchFullGame=true", "SAS vs WAS - Q4 04:46.00")</f>
        <v>SAS vs WAS - Q4 04:46.00</v>
      </c>
      <c r="M2843">
        <v>24</v>
      </c>
      <c r="N2843">
        <v>-125</v>
      </c>
      <c r="O2843">
        <v>208</v>
      </c>
      <c r="P2843">
        <v>-125</v>
      </c>
      <c r="Q2843">
        <v>208</v>
      </c>
      <c r="R2843" t="s">
        <v>21</v>
      </c>
      <c r="S2843" t="s">
        <v>21</v>
      </c>
    </row>
    <row r="2844" spans="1:19" hidden="1" x14ac:dyDescent="0.25">
      <c r="A2844">
        <v>21801195</v>
      </c>
      <c r="B2844" t="s">
        <v>26</v>
      </c>
      <c r="C2844" t="s">
        <v>19</v>
      </c>
      <c r="D2844">
        <v>96</v>
      </c>
      <c r="E2844">
        <v>93</v>
      </c>
      <c r="F2844">
        <v>3</v>
      </c>
      <c r="G2844">
        <v>4</v>
      </c>
      <c r="H2844" s="1">
        <v>3.3333333333333335E-3</v>
      </c>
      <c r="I2844">
        <v>2018</v>
      </c>
      <c r="J2844" t="s">
        <v>48</v>
      </c>
      <c r="K2844" s="2" t="str">
        <f>HYPERLINK("https://www.nba.com/stats/events?CFID=&amp;CFPARAMS=&amp;GameEventID=556&amp;GameID=0021801195&amp;Season=2018-19&amp;flag=1&amp;title=Leonard%2024'%203PT%20Jump%20Shot%20(17%20PTS)%20(Siakam%201%20AST)", "Leonard 24' 3PT Jump Shot (17 PTS) (Siakam 1 AST)")</f>
        <v>Leonard 24' 3PT Jump Shot (17 PTS) (Siakam 1 AST)</v>
      </c>
      <c r="L2844" s="2" t="str">
        <f>HYPERLINK("https://www.nba.com/game/...-vs-...-0021801195/play-by-play?watchFullGame=true", "TOR vs MIA - Q4 04:48.00")</f>
        <v>TOR vs MIA - Q4 04:48.00</v>
      </c>
      <c r="M2844">
        <v>24</v>
      </c>
      <c r="N2844">
        <v>158</v>
      </c>
      <c r="O2844">
        <v>185</v>
      </c>
      <c r="P2844">
        <v>158</v>
      </c>
      <c r="Q2844">
        <v>185</v>
      </c>
      <c r="R2844" t="s">
        <v>21</v>
      </c>
      <c r="S2844" t="s">
        <v>21</v>
      </c>
    </row>
    <row r="2845" spans="1:19" hidden="1" x14ac:dyDescent="0.25">
      <c r="A2845">
        <v>21300898</v>
      </c>
      <c r="B2845" t="s">
        <v>26</v>
      </c>
      <c r="C2845" t="s">
        <v>19</v>
      </c>
      <c r="D2845">
        <v>9</v>
      </c>
      <c r="E2845">
        <v>9</v>
      </c>
      <c r="F2845">
        <v>0</v>
      </c>
      <c r="G2845">
        <v>1</v>
      </c>
      <c r="H2845" s="1">
        <v>3.3449074074074076E-3</v>
      </c>
      <c r="I2845">
        <v>2013</v>
      </c>
      <c r="J2845" t="s">
        <v>20</v>
      </c>
      <c r="K2845" s="2" t="str">
        <f>HYPERLINK("https://www.nba.com/stats/events?CFID=&amp;CFPARAMS=&amp;GameEventID=80&amp;GameID=0021300898&amp;Season=2013-14&amp;flag=1&amp;title=Leonard%2024'%203PT%20Jump%20Shot%20(3%20PTS)%20(Splitter%202%20AST)", "Leonard 24' 3PT Jump Shot (3 PTS) (Splitter 2 AST)")</f>
        <v>Leonard 24' 3PT Jump Shot (3 PTS) (Splitter 2 AST)</v>
      </c>
      <c r="L2845" s="2" t="str">
        <f>HYPERLINK("https://www.nba.com/game/...-vs-...-0021300898/play-by-play?watchFullGame=true", "SAS vs CLE - Q1 04:49.00")</f>
        <v>SAS vs CLE - Q1 04:49.00</v>
      </c>
      <c r="M2845">
        <v>24</v>
      </c>
      <c r="N2845">
        <v>-235</v>
      </c>
      <c r="O2845">
        <v>-3</v>
      </c>
      <c r="P2845">
        <v>-235</v>
      </c>
      <c r="Q2845">
        <v>-3</v>
      </c>
      <c r="R2845" t="s">
        <v>21</v>
      </c>
      <c r="S2845" t="s">
        <v>21</v>
      </c>
    </row>
    <row r="2846" spans="1:19" hidden="1" x14ac:dyDescent="0.25">
      <c r="A2846">
        <v>21600874</v>
      </c>
      <c r="B2846" t="s">
        <v>26</v>
      </c>
      <c r="C2846" t="s">
        <v>19</v>
      </c>
      <c r="D2846">
        <v>20</v>
      </c>
      <c r="E2846">
        <v>12</v>
      </c>
      <c r="F2846">
        <v>8</v>
      </c>
      <c r="G2846">
        <v>1</v>
      </c>
      <c r="H2846" s="1">
        <v>3.3564814814814816E-3</v>
      </c>
      <c r="I2846">
        <v>2016</v>
      </c>
      <c r="J2846" t="s">
        <v>20</v>
      </c>
      <c r="K2846" s="2" t="str">
        <f>HYPERLINK("https://www.nba.com/stats/events?CFID=&amp;CFPARAMS=&amp;GameEventID=58&amp;GameID=0021600874&amp;Season=2016-17&amp;flag=1&amp;title=Leonard%2024'%203PT%20Jump%20Shot%20(12%20PTS)%20(Ginobili%201%20AST)", "Leonard 24' 3PT Jump Shot (12 PTS) (Ginobili 1 AST)")</f>
        <v>Leonard 24' 3PT Jump Shot (12 PTS) (Ginobili 1 AST)</v>
      </c>
      <c r="L2846" s="2" t="str">
        <f>HYPERLINK("https://www.nba.com/game/...-vs-...-0021600874/play-by-play?watchFullGame=true", "SAS vs LAL - Q1 04:50.00")</f>
        <v>SAS vs LAL - Q1 04:50.00</v>
      </c>
      <c r="M2846">
        <v>24</v>
      </c>
      <c r="N2846">
        <v>99</v>
      </c>
      <c r="O2846">
        <v>222</v>
      </c>
      <c r="P2846">
        <v>99</v>
      </c>
      <c r="Q2846">
        <v>222</v>
      </c>
      <c r="R2846" t="s">
        <v>21</v>
      </c>
      <c r="S2846" t="s">
        <v>21</v>
      </c>
    </row>
    <row r="2847" spans="1:19" hidden="1" x14ac:dyDescent="0.25">
      <c r="A2847">
        <v>21500224</v>
      </c>
      <c r="B2847" t="s">
        <v>26</v>
      </c>
      <c r="C2847" t="s">
        <v>19</v>
      </c>
      <c r="D2847">
        <v>38</v>
      </c>
      <c r="E2847">
        <v>32</v>
      </c>
      <c r="F2847">
        <v>6</v>
      </c>
      <c r="G2847">
        <v>2</v>
      </c>
      <c r="H2847" s="1">
        <v>3.414351851851852E-3</v>
      </c>
      <c r="I2847">
        <v>2015</v>
      </c>
      <c r="J2847" t="s">
        <v>20</v>
      </c>
      <c r="K2847" s="2" t="str">
        <f>HYPERLINK("https://www.nba.com/stats/events?CFID=&amp;CFPARAMS=&amp;GameEventID=221&amp;GameID=0021500224&amp;Season=2015-16&amp;flag=1&amp;title=Leonard%2024'%203PT%20Jump%20Shot%20(11%20PTS)%20(Parker%203%20AST)", "Leonard 24' 3PT Jump Shot (11 PTS) (Parker 3 AST)")</f>
        <v>Leonard 24' 3PT Jump Shot (11 PTS) (Parker 3 AST)</v>
      </c>
      <c r="L2847" s="2" t="str">
        <f>HYPERLINK("https://www.nba.com/game/...-vs-...-0021500224/play-by-play?watchFullGame=true", "SAS vs DAL - Q2 04:55.00")</f>
        <v>SAS vs DAL - Q2 04:55.00</v>
      </c>
      <c r="M2847">
        <v>24</v>
      </c>
      <c r="N2847">
        <v>99</v>
      </c>
      <c r="O2847">
        <v>224</v>
      </c>
      <c r="P2847">
        <v>99</v>
      </c>
      <c r="Q2847">
        <v>224</v>
      </c>
      <c r="R2847" t="s">
        <v>21</v>
      </c>
      <c r="S2847" t="s">
        <v>21</v>
      </c>
    </row>
    <row r="2848" spans="1:19" hidden="1" x14ac:dyDescent="0.25">
      <c r="A2848">
        <v>21600127</v>
      </c>
      <c r="B2848" t="s">
        <v>26</v>
      </c>
      <c r="C2848" t="s">
        <v>19</v>
      </c>
      <c r="D2848">
        <v>65</v>
      </c>
      <c r="E2848">
        <v>61</v>
      </c>
      <c r="F2848">
        <v>4</v>
      </c>
      <c r="G2848">
        <v>3</v>
      </c>
      <c r="H2848" s="1">
        <v>3.5648148148148149E-3</v>
      </c>
      <c r="I2848">
        <v>2016</v>
      </c>
      <c r="J2848" t="s">
        <v>20</v>
      </c>
      <c r="K2848" s="2" t="str">
        <f>HYPERLINK("https://www.nba.com/stats/events?CFID=&amp;CFPARAMS=&amp;GameEventID=277&amp;GameID=0021600127&amp;Season=2016-17&amp;flag=1&amp;title=Leonard%2024'%203PT%20Jump%20Shot%20(14%20PTS)%20(Ginobili%201%20AST)", "Leonard 24' 3PT Jump Shot (14 PTS) (Ginobili 1 AST)")</f>
        <v>Leonard 24' 3PT Jump Shot (14 PTS) (Ginobili 1 AST)</v>
      </c>
      <c r="L2848" s="2" t="str">
        <f>HYPERLINK("https://www.nba.com/game/...-vs-...-0021600127/play-by-play?watchFullGame=true", "SAS vs DET - Q3 05:08.00")</f>
        <v>SAS vs DET - Q3 05:08.00</v>
      </c>
      <c r="M2848">
        <v>24</v>
      </c>
      <c r="N2848">
        <v>-235</v>
      </c>
      <c r="O2848">
        <v>65</v>
      </c>
      <c r="P2848">
        <v>-235</v>
      </c>
      <c r="Q2848">
        <v>65</v>
      </c>
      <c r="R2848" t="s">
        <v>21</v>
      </c>
      <c r="S2848" t="s">
        <v>21</v>
      </c>
    </row>
    <row r="2849" spans="1:19" hidden="1" x14ac:dyDescent="0.25">
      <c r="A2849">
        <v>21600902</v>
      </c>
      <c r="B2849" t="s">
        <v>26</v>
      </c>
      <c r="C2849" t="s">
        <v>19</v>
      </c>
      <c r="D2849">
        <v>40</v>
      </c>
      <c r="E2849">
        <v>42</v>
      </c>
      <c r="F2849">
        <v>2</v>
      </c>
      <c r="G2849">
        <v>2</v>
      </c>
      <c r="H2849" s="1">
        <v>3.5995370370370369E-3</v>
      </c>
      <c r="I2849">
        <v>2016</v>
      </c>
      <c r="J2849" t="s">
        <v>20</v>
      </c>
      <c r="K2849" s="2" t="str">
        <f>HYPERLINK("https://www.nba.com/stats/events?CFID=&amp;CFPARAMS=&amp;GameEventID=205&amp;GameID=0021600902&amp;Season=2016-17&amp;flag=1&amp;title=Leonard%2024'%203PT%20Jump%20Shot%20(9%20PTS)%20(Aldridge%201%20AST)", "Leonard 24' 3PT Jump Shot (9 PTS) (Aldridge 1 AST)")</f>
        <v>Leonard 24' 3PT Jump Shot (9 PTS) (Aldridge 1 AST)</v>
      </c>
      <c r="L2849" s="2" t="str">
        <f>HYPERLINK("https://www.nba.com/game/...-vs-...-0021600902/play-by-play?watchFullGame=true", "SAS vs IND - Q2 05:11.00")</f>
        <v>SAS vs IND - Q2 05:11.00</v>
      </c>
      <c r="M2849">
        <v>24</v>
      </c>
      <c r="N2849">
        <v>143</v>
      </c>
      <c r="O2849">
        <v>195</v>
      </c>
      <c r="P2849">
        <v>143</v>
      </c>
      <c r="Q2849">
        <v>195</v>
      </c>
      <c r="R2849" t="s">
        <v>21</v>
      </c>
      <c r="S2849" t="s">
        <v>21</v>
      </c>
    </row>
    <row r="2850" spans="1:19" hidden="1" x14ac:dyDescent="0.25">
      <c r="A2850">
        <v>21601085</v>
      </c>
      <c r="B2850" t="s">
        <v>26</v>
      </c>
      <c r="C2850" t="s">
        <v>19</v>
      </c>
      <c r="D2850">
        <v>70</v>
      </c>
      <c r="E2850">
        <v>55</v>
      </c>
      <c r="F2850">
        <v>15</v>
      </c>
      <c r="G2850">
        <v>3</v>
      </c>
      <c r="H2850" s="1">
        <v>3.6342592592592594E-3</v>
      </c>
      <c r="I2850">
        <v>2016</v>
      </c>
      <c r="J2850" t="s">
        <v>20</v>
      </c>
      <c r="K2850" s="2" t="str">
        <f>HYPERLINK("https://www.nba.com/stats/events?CFID=&amp;CFPARAMS=&amp;GameEventID=322&amp;GameID=0021601085&amp;Season=2016-17&amp;flag=1&amp;title=Leonard%2024'%203PT%20Jump%20Shot%20(21%20PTS)%20(Mills%206%20AST)", "Leonard 24' 3PT Jump Shot (21 PTS) (Mills 6 AST)")</f>
        <v>Leonard 24' 3PT Jump Shot (21 PTS) (Mills 6 AST)</v>
      </c>
      <c r="L2850" s="2" t="str">
        <f>HYPERLINK("https://www.nba.com/game/...-vs-...-0021601085/play-by-play?watchFullGame=true", "SAS vs NYK - Q3 05:14.00")</f>
        <v>SAS vs NYK - Q3 05:14.00</v>
      </c>
      <c r="M2850">
        <v>24</v>
      </c>
      <c r="N2850">
        <v>233</v>
      </c>
      <c r="O2850">
        <v>33</v>
      </c>
      <c r="P2850">
        <v>233</v>
      </c>
      <c r="Q2850">
        <v>33</v>
      </c>
      <c r="R2850" t="s">
        <v>21</v>
      </c>
      <c r="S2850" t="s">
        <v>21</v>
      </c>
    </row>
    <row r="2851" spans="1:19" hidden="1" x14ac:dyDescent="0.25">
      <c r="A2851">
        <v>21300573</v>
      </c>
      <c r="B2851" t="s">
        <v>26</v>
      </c>
      <c r="C2851" t="s">
        <v>19</v>
      </c>
      <c r="D2851">
        <v>18</v>
      </c>
      <c r="E2851">
        <v>9</v>
      </c>
      <c r="F2851">
        <v>9</v>
      </c>
      <c r="G2851">
        <v>1</v>
      </c>
      <c r="H2851" s="1">
        <v>3.7037037037037038E-3</v>
      </c>
      <c r="I2851">
        <v>2013</v>
      </c>
      <c r="J2851" t="s">
        <v>20</v>
      </c>
      <c r="K2851" s="2" t="str">
        <f>HYPERLINK("https://www.nba.com/stats/events?CFID=&amp;CFPARAMS=&amp;GameEventID=62&amp;GameID=0021300573&amp;Season=2013-14&amp;flag=1&amp;title=Leonard%2024'%203PT%20Jump%20Shot%20(7%20PTS)%20(Duncan%202%20AST)", "Leonard 24' 3PT Jump Shot (7 PTS) (Duncan 2 AST)")</f>
        <v>Leonard 24' 3PT Jump Shot (7 PTS) (Duncan 2 AST)</v>
      </c>
      <c r="L2851" s="2" t="str">
        <f>HYPERLINK("https://www.nba.com/game/...-vs-...-0021300573/play-by-play?watchFullGame=true", "SAS vs UTA - Q1 05:20.00")</f>
        <v>SAS vs UTA - Q1 05:20.00</v>
      </c>
      <c r="M2851">
        <v>24</v>
      </c>
      <c r="N2851">
        <v>-79</v>
      </c>
      <c r="O2851">
        <v>231</v>
      </c>
      <c r="P2851">
        <v>-79</v>
      </c>
      <c r="Q2851">
        <v>231</v>
      </c>
      <c r="R2851" t="s">
        <v>21</v>
      </c>
      <c r="S2851" t="s">
        <v>21</v>
      </c>
    </row>
    <row r="2852" spans="1:19" hidden="1" x14ac:dyDescent="0.25">
      <c r="A2852">
        <v>21400853</v>
      </c>
      <c r="B2852" t="s">
        <v>26</v>
      </c>
      <c r="C2852" t="s">
        <v>19</v>
      </c>
      <c r="D2852">
        <v>35</v>
      </c>
      <c r="E2852">
        <v>46</v>
      </c>
      <c r="F2852">
        <v>11</v>
      </c>
      <c r="G2852">
        <v>2</v>
      </c>
      <c r="H2852" s="1">
        <v>3.7962962962962963E-3</v>
      </c>
      <c r="I2852">
        <v>2014</v>
      </c>
      <c r="J2852" t="s">
        <v>20</v>
      </c>
      <c r="K2852" s="2" t="str">
        <f>HYPERLINK("https://www.nba.com/stats/events?CFID=&amp;CFPARAMS=&amp;GameEventID=148&amp;GameID=0021400853&amp;Season=2014-15&amp;flag=1&amp;title=Leonard%2024'%203PT%20Jump%20Shot%20(3%20PTS)%20(Baynes%201%20AST)", "Leonard 24' 3PT Jump Shot (3 PTS) (Baynes 1 AST)")</f>
        <v>Leonard 24' 3PT Jump Shot (3 PTS) (Baynes 1 AST)</v>
      </c>
      <c r="L2852" s="2" t="str">
        <f>HYPERLINK("https://www.nba.com/game/...-vs-...-0021400853/play-by-play?watchFullGame=true", "SAS vs POR - Q2 05:28.00")</f>
        <v>SAS vs POR - Q2 05:28.00</v>
      </c>
      <c r="M2852">
        <v>24</v>
      </c>
      <c r="N2852">
        <v>53</v>
      </c>
      <c r="O2852">
        <v>238</v>
      </c>
      <c r="P2852">
        <v>53</v>
      </c>
      <c r="Q2852">
        <v>238</v>
      </c>
      <c r="R2852" t="s">
        <v>21</v>
      </c>
      <c r="S2852" t="s">
        <v>21</v>
      </c>
    </row>
    <row r="2853" spans="1:19" hidden="1" x14ac:dyDescent="0.25">
      <c r="A2853">
        <v>41600155</v>
      </c>
      <c r="B2853" t="s">
        <v>26</v>
      </c>
      <c r="C2853" t="s">
        <v>19</v>
      </c>
      <c r="D2853">
        <v>72</v>
      </c>
      <c r="E2853">
        <v>61</v>
      </c>
      <c r="F2853">
        <v>11</v>
      </c>
      <c r="G2853">
        <v>3</v>
      </c>
      <c r="H2853" s="1">
        <v>3.7962962962962963E-3</v>
      </c>
      <c r="I2853" t="s">
        <v>58</v>
      </c>
      <c r="J2853" t="s">
        <v>20</v>
      </c>
      <c r="K2853" s="2" t="str">
        <f>HYPERLINK("https://www.nba.com/stats/events?CFID=&amp;CFPARAMS=&amp;GameEventID=298&amp;GameID=0041600155&amp;Season=2016-17&amp;flag=1&amp;title=Leonard%2024'%203PT%20Jump%20Shot%20(17%20PTS)%20(Ginobili%202%20AST)", "Leonard 24' 3PT Jump Shot (17 PTS) (Ginobili 2 AST)")</f>
        <v>Leonard 24' 3PT Jump Shot (17 PTS) (Ginobili 2 AST)</v>
      </c>
      <c r="L2853" s="2" t="str">
        <f>HYPERLINK("https://www.nba.com/game/...-vs-...-0041600155/play-by-play?watchFullGame=true", "SAS vs MEM - Q3 05:28.00")</f>
        <v>SAS vs MEM - Q3 05:28.00</v>
      </c>
      <c r="M2853">
        <v>24</v>
      </c>
      <c r="N2853">
        <v>238</v>
      </c>
      <c r="O2853">
        <v>26</v>
      </c>
      <c r="P2853">
        <v>238</v>
      </c>
      <c r="Q2853">
        <v>26</v>
      </c>
      <c r="R2853" t="s">
        <v>21</v>
      </c>
      <c r="S2853" t="s">
        <v>21</v>
      </c>
    </row>
    <row r="2854" spans="1:19" hidden="1" x14ac:dyDescent="0.25">
      <c r="A2854">
        <v>21801195</v>
      </c>
      <c r="B2854" t="s">
        <v>26</v>
      </c>
      <c r="C2854" t="s">
        <v>65</v>
      </c>
      <c r="D2854">
        <v>66</v>
      </c>
      <c r="E2854">
        <v>67</v>
      </c>
      <c r="F2854">
        <v>1</v>
      </c>
      <c r="G2854">
        <v>3</v>
      </c>
      <c r="H2854" s="1">
        <v>3.9583333333333337E-3</v>
      </c>
      <c r="I2854">
        <v>2018</v>
      </c>
      <c r="J2854" t="s">
        <v>48</v>
      </c>
      <c r="K2854" s="2" t="str">
        <f>HYPERLINK("https://www.nba.com/stats/events?CFID=&amp;CFPARAMS=&amp;GameEventID=377&amp;GameID=0021801195&amp;Season=2018-19&amp;flag=1&amp;title=Leonard%2024'%203PT%20Running%20Pull-Up%20Jump%20Shot%20(11%20PTS)%20(Green%202%20AST)", "Leonard 24' 3PT Running Pull-Up Jump Shot (11 PTS) (Green 2 AST)")</f>
        <v>Leonard 24' 3PT Running Pull-Up Jump Shot (11 PTS) (Green 2 AST)</v>
      </c>
      <c r="L2854" s="2" t="str">
        <f>HYPERLINK("https://www.nba.com/game/...-vs-...-0021801195/play-by-play?watchFullGame=true", "TOR vs MIA - Q3 05:42.00")</f>
        <v>TOR vs MIA - Q3 05:42.00</v>
      </c>
      <c r="M2854">
        <v>24</v>
      </c>
      <c r="N2854">
        <v>77</v>
      </c>
      <c r="O2854">
        <v>230</v>
      </c>
      <c r="P2854">
        <v>77</v>
      </c>
      <c r="Q2854">
        <v>230</v>
      </c>
      <c r="R2854" t="s">
        <v>21</v>
      </c>
      <c r="S2854" t="s">
        <v>21</v>
      </c>
    </row>
    <row r="2855" spans="1:19" hidden="1" x14ac:dyDescent="0.25">
      <c r="A2855">
        <v>21600168</v>
      </c>
      <c r="B2855" t="s">
        <v>26</v>
      </c>
      <c r="C2855" t="s">
        <v>19</v>
      </c>
      <c r="D2855">
        <v>19</v>
      </c>
      <c r="E2855">
        <v>8</v>
      </c>
      <c r="F2855">
        <v>11</v>
      </c>
      <c r="G2855">
        <v>1</v>
      </c>
      <c r="H2855" s="1">
        <v>4.0046296296296297E-3</v>
      </c>
      <c r="I2855">
        <v>2016</v>
      </c>
      <c r="J2855" t="s">
        <v>20</v>
      </c>
      <c r="K2855" s="2" t="str">
        <f>HYPERLINK("https://www.nba.com/stats/events?CFID=&amp;CFPARAMS=&amp;GameEventID=63&amp;GameID=0021600168&amp;Season=2016-17&amp;flag=1&amp;title=Leonard%2024'%203PT%20Jump%20Shot%20(6%20PTS)%20(Mills%201%20AST)", "Leonard 24' 3PT Jump Shot (6 PTS) (Mills 1 AST)")</f>
        <v>Leonard 24' 3PT Jump Shot (6 PTS) (Mills 1 AST)</v>
      </c>
      <c r="L2855" s="2" t="str">
        <f>HYPERLINK("https://www.nba.com/game/...-vs-...-0021600168/play-by-play?watchFullGame=true", "SAS vs SAC - Q1 05:46.00")</f>
        <v>SAS vs SAC - Q1 05:46.00</v>
      </c>
      <c r="M2855">
        <v>24</v>
      </c>
      <c r="N2855">
        <v>228</v>
      </c>
      <c r="O2855">
        <v>70</v>
      </c>
      <c r="P2855">
        <v>228</v>
      </c>
      <c r="Q2855">
        <v>70</v>
      </c>
      <c r="R2855" t="s">
        <v>21</v>
      </c>
      <c r="S2855" t="s">
        <v>21</v>
      </c>
    </row>
    <row r="2856" spans="1:19" hidden="1" x14ac:dyDescent="0.25">
      <c r="A2856">
        <v>21401134</v>
      </c>
      <c r="B2856" t="s">
        <v>26</v>
      </c>
      <c r="C2856" t="s">
        <v>19</v>
      </c>
      <c r="D2856">
        <v>26</v>
      </c>
      <c r="E2856">
        <v>14</v>
      </c>
      <c r="F2856">
        <v>12</v>
      </c>
      <c r="G2856">
        <v>1</v>
      </c>
      <c r="H2856" s="1">
        <v>4.0625000000000001E-3</v>
      </c>
      <c r="I2856">
        <v>2014</v>
      </c>
      <c r="J2856" t="s">
        <v>20</v>
      </c>
      <c r="K2856" s="2" t="str">
        <f>HYPERLINK("https://www.nba.com/stats/events?CFID=&amp;CFPARAMS=&amp;GameEventID=50&amp;GameID=0021401134&amp;Season=2014-15&amp;flag=1&amp;title=Leonard%2024'%203PT%20Jump%20Shot%20(13%20PTS)%20(Parker%204%20AST)", "Leonard 24' 3PT Jump Shot (13 PTS) (Parker 4 AST)")</f>
        <v>Leonard 24' 3PT Jump Shot (13 PTS) (Parker 4 AST)</v>
      </c>
      <c r="L2856" s="2" t="str">
        <f>HYPERLINK("https://www.nba.com/game/...-vs-...-0021401134/play-by-play?watchFullGame=true", "SAS vs DEN - Q1 05:51.00")</f>
        <v>SAS vs DEN - Q1 05:51.00</v>
      </c>
      <c r="M2856">
        <v>24</v>
      </c>
      <c r="N2856">
        <v>100</v>
      </c>
      <c r="O2856">
        <v>220</v>
      </c>
      <c r="P2856">
        <v>100</v>
      </c>
      <c r="Q2856">
        <v>220</v>
      </c>
      <c r="R2856" t="s">
        <v>21</v>
      </c>
      <c r="S2856" t="s">
        <v>21</v>
      </c>
    </row>
    <row r="2857" spans="1:19" hidden="1" x14ac:dyDescent="0.25">
      <c r="A2857">
        <v>41400167</v>
      </c>
      <c r="B2857" t="s">
        <v>26</v>
      </c>
      <c r="C2857" t="s">
        <v>19</v>
      </c>
      <c r="D2857">
        <v>42</v>
      </c>
      <c r="E2857">
        <v>41</v>
      </c>
      <c r="F2857">
        <v>1</v>
      </c>
      <c r="G2857">
        <v>2</v>
      </c>
      <c r="H2857" s="1">
        <v>4.0972222222222226E-3</v>
      </c>
      <c r="I2857" t="s">
        <v>56</v>
      </c>
      <c r="J2857" t="s">
        <v>20</v>
      </c>
      <c r="K2857" s="2" t="str">
        <f>HYPERLINK("https://www.nba.com/stats/events?CFID=&amp;CFPARAMS=&amp;GameEventID=182&amp;GameID=0041400167&amp;Season=2014-15&amp;flag=1&amp;title=Leonard%2024'%203PT%20Jump%20Shot%20(7%20PTS)%20(Green%201%20AST)", "Leonard 24' 3PT Jump Shot (7 PTS) (Green 1 AST)")</f>
        <v>Leonard 24' 3PT Jump Shot (7 PTS) (Green 1 AST)</v>
      </c>
      <c r="L2857" s="2" t="str">
        <f>HYPERLINK("https://www.nba.com/game/...-vs-...-0041400167/play-by-play?watchFullGame=true", "SAS vs LAC - Q2 05:54.00")</f>
        <v>SAS vs LAC - Q2 05:54.00</v>
      </c>
      <c r="M2857">
        <v>24</v>
      </c>
      <c r="N2857">
        <v>179</v>
      </c>
      <c r="O2857">
        <v>167</v>
      </c>
      <c r="P2857">
        <v>179</v>
      </c>
      <c r="Q2857">
        <v>167</v>
      </c>
      <c r="R2857" t="s">
        <v>21</v>
      </c>
      <c r="S2857" t="s">
        <v>21</v>
      </c>
    </row>
    <row r="2858" spans="1:19" hidden="1" x14ac:dyDescent="0.25">
      <c r="A2858">
        <v>21300514</v>
      </c>
      <c r="B2858" t="s">
        <v>26</v>
      </c>
      <c r="C2858" t="s">
        <v>19</v>
      </c>
      <c r="D2858">
        <v>16</v>
      </c>
      <c r="E2858">
        <v>10</v>
      </c>
      <c r="F2858">
        <v>6</v>
      </c>
      <c r="G2858">
        <v>1</v>
      </c>
      <c r="H2858" s="1">
        <v>4.1435185185185186E-3</v>
      </c>
      <c r="I2858">
        <v>2013</v>
      </c>
      <c r="J2858" t="s">
        <v>20</v>
      </c>
      <c r="K2858" s="2" t="str">
        <f>HYPERLINK("https://www.nba.com/stats/events?CFID=&amp;CFPARAMS=&amp;GameEventID=41&amp;GameID=0021300514&amp;Season=2013-14&amp;flag=1&amp;title=Leonard%2024'%203PT%20Jump%20Shot%20(5%20PTS)%20(Parker%203%20AST)", "Leonard 24' 3PT Jump Shot (5 PTS) (Parker 3 AST)")</f>
        <v>Leonard 24' 3PT Jump Shot (5 PTS) (Parker 3 AST)</v>
      </c>
      <c r="L2858" s="2" t="str">
        <f>HYPERLINK("https://www.nba.com/game/...-vs-...-0021300514/play-by-play?watchFullGame=true", "SAS vs MEM - Q1 05:58.00")</f>
        <v>SAS vs MEM - Q1 05:58.00</v>
      </c>
      <c r="M2858">
        <v>24</v>
      </c>
      <c r="N2858">
        <v>-122</v>
      </c>
      <c r="O2858">
        <v>205</v>
      </c>
      <c r="P2858">
        <v>-122</v>
      </c>
      <c r="Q2858">
        <v>205</v>
      </c>
      <c r="R2858" t="s">
        <v>21</v>
      </c>
      <c r="S2858" t="s">
        <v>21</v>
      </c>
    </row>
    <row r="2859" spans="1:19" hidden="1" x14ac:dyDescent="0.25">
      <c r="A2859">
        <v>21601070</v>
      </c>
      <c r="B2859" t="s">
        <v>18</v>
      </c>
      <c r="C2859" t="s">
        <v>19</v>
      </c>
      <c r="D2859">
        <v>13</v>
      </c>
      <c r="E2859">
        <v>5</v>
      </c>
      <c r="F2859">
        <v>8</v>
      </c>
      <c r="G2859">
        <v>1</v>
      </c>
      <c r="H2859" s="1">
        <v>4.2013888888888891E-3</v>
      </c>
      <c r="I2859">
        <v>2016</v>
      </c>
      <c r="J2859" t="s">
        <v>20</v>
      </c>
      <c r="K2859" s="2" t="str">
        <f>HYPERLINK("https://www.nba.com/stats/events?CFID=&amp;CFPARAMS=&amp;GameEventID=45&amp;GameID=0021601070&amp;Season=2016-17&amp;flag=1&amp;title=Leonard%2024'%20Jump%20Shot%20(4%20PTS)%20(Parker%201%20AST)", "Leonard 24' Jump Shot (4 PTS) (Parker 1 AST)")</f>
        <v>Leonard 24' Jump Shot (4 PTS) (Parker 1 AST)</v>
      </c>
      <c r="L2859" s="2" t="str">
        <f>HYPERLINK("https://www.nba.com/game/...-vs-...-0021601070/play-by-play?watchFullGame=true", "SAS vs MEM - Q1 06:03.00")</f>
        <v>SAS vs MEM - Q1 06:03.00</v>
      </c>
      <c r="M2859">
        <v>24</v>
      </c>
      <c r="N2859">
        <v>-156</v>
      </c>
      <c r="O2859">
        <v>178</v>
      </c>
      <c r="P2859">
        <v>-156</v>
      </c>
      <c r="Q2859">
        <v>178</v>
      </c>
      <c r="R2859" t="s">
        <v>21</v>
      </c>
      <c r="S2859" t="s">
        <v>21</v>
      </c>
    </row>
    <row r="2860" spans="1:19" hidden="1" x14ac:dyDescent="0.25">
      <c r="A2860">
        <v>21801083</v>
      </c>
      <c r="B2860" t="s">
        <v>26</v>
      </c>
      <c r="C2860" t="s">
        <v>36</v>
      </c>
      <c r="D2860">
        <v>94</v>
      </c>
      <c r="E2860">
        <v>101</v>
      </c>
      <c r="F2860">
        <v>7</v>
      </c>
      <c r="G2860">
        <v>4</v>
      </c>
      <c r="H2860" s="1">
        <v>4.2129629629629626E-3</v>
      </c>
      <c r="I2860">
        <v>2018</v>
      </c>
      <c r="J2860" t="s">
        <v>48</v>
      </c>
      <c r="K2860" s="2" t="str">
        <f>HYPERLINK("https://www.nba.com/stats/events?CFID=&amp;CFPARAMS=&amp;GameEventID=550&amp;GameID=0021801083&amp;Season=2018-19&amp;flag=1&amp;title=Leonard%2024'%203PT%20Pullup%20Jump%20Shot%20(27%20PTS)", "Leonard 24' 3PT Pullup Jump Shot (27 PTS)")</f>
        <v>Leonard 24' 3PT Pullup Jump Shot (27 PTS)</v>
      </c>
      <c r="L2860" s="2" t="str">
        <f>HYPERLINK("https://www.nba.com/game/...-vs-...-0021801083/play-by-play?watchFullGame=true", "TOR vs OKC - Q4 06:04.00")</f>
        <v>TOR vs OKC - Q4 06:04.00</v>
      </c>
      <c r="M2860">
        <v>24</v>
      </c>
      <c r="N2860">
        <v>235</v>
      </c>
      <c r="O2860">
        <v>35</v>
      </c>
      <c r="P2860">
        <v>235</v>
      </c>
      <c r="Q2860">
        <v>35</v>
      </c>
      <c r="R2860" t="s">
        <v>21</v>
      </c>
      <c r="S2860" t="s">
        <v>21</v>
      </c>
    </row>
    <row r="2861" spans="1:19" hidden="1" x14ac:dyDescent="0.25">
      <c r="A2861">
        <v>21500172</v>
      </c>
      <c r="B2861" t="s">
        <v>26</v>
      </c>
      <c r="C2861" t="s">
        <v>34</v>
      </c>
      <c r="D2861">
        <v>49</v>
      </c>
      <c r="E2861">
        <v>40</v>
      </c>
      <c r="F2861">
        <v>9</v>
      </c>
      <c r="G2861">
        <v>2</v>
      </c>
      <c r="H2861" s="1">
        <v>4.2245370370370371E-3</v>
      </c>
      <c r="I2861">
        <v>2015</v>
      </c>
      <c r="J2861" t="s">
        <v>20</v>
      </c>
      <c r="K2861" s="2" t="str">
        <f>HYPERLINK("https://www.nba.com/stats/events?CFID=&amp;CFPARAMS=&amp;GameEventID=196&amp;GameID=0021500172&amp;Season=2015-16&amp;flag=1&amp;title=Leonard%2024'%203PT%20Turnaround%20Jump%20Shot%20(6%20PTS)%20(Green%203%20AST)", "Leonard 24' 3PT Turnaround Jump Shot (6 PTS) (Green 3 AST)")</f>
        <v>Leonard 24' 3PT Turnaround Jump Shot (6 PTS) (Green 3 AST)</v>
      </c>
      <c r="L2861" s="2" t="str">
        <f>HYPERLINK("https://www.nba.com/game/...-vs-...-0021500172/play-by-play?watchFullGame=true", "SAS vs DEN - Q2 06:05.00")</f>
        <v>SAS vs DEN - Q2 06:05.00</v>
      </c>
      <c r="M2861">
        <v>24</v>
      </c>
      <c r="N2861">
        <v>-241</v>
      </c>
      <c r="O2861">
        <v>0</v>
      </c>
      <c r="P2861">
        <v>-241</v>
      </c>
      <c r="Q2861">
        <v>0</v>
      </c>
      <c r="R2861" t="s">
        <v>21</v>
      </c>
      <c r="S2861" t="s">
        <v>21</v>
      </c>
    </row>
    <row r="2862" spans="1:19" hidden="1" x14ac:dyDescent="0.25">
      <c r="A2862">
        <v>21401113</v>
      </c>
      <c r="B2862" t="s">
        <v>26</v>
      </c>
      <c r="C2862" t="s">
        <v>19</v>
      </c>
      <c r="D2862">
        <v>69</v>
      </c>
      <c r="E2862">
        <v>50</v>
      </c>
      <c r="F2862">
        <v>19</v>
      </c>
      <c r="G2862">
        <v>3</v>
      </c>
      <c r="H2862" s="1">
        <v>4.2592592592592595E-3</v>
      </c>
      <c r="I2862">
        <v>2014</v>
      </c>
      <c r="J2862" t="s">
        <v>20</v>
      </c>
      <c r="K2862" s="2" t="str">
        <f>HYPERLINK("https://www.nba.com/stats/events?CFID=&amp;CFPARAMS=&amp;GameEventID=335&amp;GameID=0021401113&amp;Season=2014-15&amp;flag=1&amp;title=Leonard%2024'%203PT%20Jump%20Shot%20(10%20PTS)%20(Splitter%202%20AST)", "Leonard 24' 3PT Jump Shot (10 PTS) (Splitter 2 AST)")</f>
        <v>Leonard 24' 3PT Jump Shot (10 PTS) (Splitter 2 AST)</v>
      </c>
      <c r="L2862" s="2" t="str">
        <f>HYPERLINK("https://www.nba.com/game/...-vs-...-0021401113/play-by-play?watchFullGame=true", "SAS vs ORL - Q3 06:08.00")</f>
        <v>SAS vs ORL - Q3 06:08.00</v>
      </c>
      <c r="M2862">
        <v>24</v>
      </c>
      <c r="N2862">
        <v>236</v>
      </c>
      <c r="O2862">
        <v>-17</v>
      </c>
      <c r="P2862">
        <v>236</v>
      </c>
      <c r="Q2862">
        <v>-17</v>
      </c>
      <c r="R2862" t="s">
        <v>21</v>
      </c>
      <c r="S2862" t="s">
        <v>21</v>
      </c>
    </row>
    <row r="2863" spans="1:19" hidden="1" x14ac:dyDescent="0.25">
      <c r="A2863">
        <v>21300349</v>
      </c>
      <c r="B2863" t="s">
        <v>26</v>
      </c>
      <c r="C2863" t="s">
        <v>19</v>
      </c>
      <c r="D2863">
        <v>66</v>
      </c>
      <c r="E2863">
        <v>52</v>
      </c>
      <c r="F2863">
        <v>14</v>
      </c>
      <c r="G2863">
        <v>3</v>
      </c>
      <c r="H2863" s="1">
        <v>4.340277777777778E-3</v>
      </c>
      <c r="I2863">
        <v>2013</v>
      </c>
      <c r="J2863" t="s">
        <v>20</v>
      </c>
      <c r="K2863" s="2" t="str">
        <f>HYPERLINK("https://www.nba.com/stats/events?CFID=&amp;CFPARAMS=&amp;GameEventID=267&amp;GameID=0021300349&amp;Season=2013-14&amp;flag=1&amp;title=Leonard%2024'%203PT%20Jump%20Shot%20(11%20PTS)%20(Duncan%203%20AST)", "Leonard 24' 3PT Jump Shot (11 PTS) (Duncan 3 AST)")</f>
        <v>Leonard 24' 3PT Jump Shot (11 PTS) (Duncan 3 AST)</v>
      </c>
      <c r="L2863" s="2" t="str">
        <f>HYPERLINK("https://www.nba.com/game/...-vs-...-0021300349/play-by-play?watchFullGame=true", "SAS vs UTA - Q3 06:15.00")</f>
        <v>SAS vs UTA - Q3 06:15.00</v>
      </c>
      <c r="M2863">
        <v>24</v>
      </c>
      <c r="N2863">
        <v>237</v>
      </c>
      <c r="O2863">
        <v>19</v>
      </c>
      <c r="P2863">
        <v>237</v>
      </c>
      <c r="Q2863">
        <v>19</v>
      </c>
      <c r="R2863" t="s">
        <v>21</v>
      </c>
      <c r="S2863" t="s">
        <v>21</v>
      </c>
    </row>
    <row r="2864" spans="1:19" hidden="1" x14ac:dyDescent="0.25">
      <c r="A2864">
        <v>21500431</v>
      </c>
      <c r="B2864" t="s">
        <v>26</v>
      </c>
      <c r="C2864" t="s">
        <v>19</v>
      </c>
      <c r="D2864">
        <v>15</v>
      </c>
      <c r="E2864">
        <v>8</v>
      </c>
      <c r="F2864">
        <v>7</v>
      </c>
      <c r="G2864">
        <v>1</v>
      </c>
      <c r="H2864" s="1">
        <v>4.3518518518518515E-3</v>
      </c>
      <c r="I2864">
        <v>2015</v>
      </c>
      <c r="J2864" t="s">
        <v>20</v>
      </c>
      <c r="K2864" s="2" t="str">
        <f>HYPERLINK("https://www.nba.com/stats/events?CFID=&amp;CFPARAMS=&amp;GameEventID=42&amp;GameID=0021500431&amp;Season=2015-16&amp;flag=1&amp;title=Leonard%2024'%203PT%20Jump%20Shot%20(5%20PTS)%20(Parker%201%20AST)", "Leonard 24' 3PT Jump Shot (5 PTS) (Parker 1 AST)")</f>
        <v>Leonard 24' 3PT Jump Shot (5 PTS) (Parker 1 AST)</v>
      </c>
      <c r="L2864" s="2" t="str">
        <f>HYPERLINK("https://www.nba.com/game/...-vs-...-0021500431/play-by-play?watchFullGame=true", "SAS vs MIN - Q1 06:16.00")</f>
        <v>SAS vs MIN - Q1 06:16.00</v>
      </c>
      <c r="M2864">
        <v>24</v>
      </c>
      <c r="N2864">
        <v>-235</v>
      </c>
      <c r="O2864">
        <v>-6</v>
      </c>
      <c r="P2864">
        <v>-235</v>
      </c>
      <c r="Q2864">
        <v>-6</v>
      </c>
      <c r="R2864" t="s">
        <v>21</v>
      </c>
      <c r="S2864" t="s">
        <v>21</v>
      </c>
    </row>
    <row r="2865" spans="1:19" hidden="1" x14ac:dyDescent="0.25">
      <c r="A2865">
        <v>21300898</v>
      </c>
      <c r="B2865" t="s">
        <v>26</v>
      </c>
      <c r="C2865" t="s">
        <v>19</v>
      </c>
      <c r="D2865">
        <v>65</v>
      </c>
      <c r="E2865">
        <v>51</v>
      </c>
      <c r="F2865">
        <v>14</v>
      </c>
      <c r="G2865">
        <v>3</v>
      </c>
      <c r="H2865" s="1">
        <v>4.363425925925926E-3</v>
      </c>
      <c r="I2865">
        <v>2013</v>
      </c>
      <c r="J2865" t="s">
        <v>20</v>
      </c>
      <c r="K2865" s="2" t="str">
        <f>HYPERLINK("https://www.nba.com/stats/events?CFID=&amp;CFPARAMS=&amp;GameEventID=343&amp;GameID=0021300898&amp;Season=2013-14&amp;flag=1&amp;title=Leonard%2024'%203PT%20Jump%20Shot%20(12%20PTS)%20(Parker%203%20AST)", "Leonard 24' 3PT Jump Shot (12 PTS) (Parker 3 AST)")</f>
        <v>Leonard 24' 3PT Jump Shot (12 PTS) (Parker 3 AST)</v>
      </c>
      <c r="L2865" s="2" t="str">
        <f>HYPERLINK("https://www.nba.com/game/...-vs-...-0021300898/play-by-play?watchFullGame=true", "SAS vs CLE - Q3 06:17.00")</f>
        <v>SAS vs CLE - Q3 06:17.00</v>
      </c>
      <c r="M2865">
        <v>24</v>
      </c>
      <c r="N2865">
        <v>-242</v>
      </c>
      <c r="O2865">
        <v>1</v>
      </c>
      <c r="P2865">
        <v>-242</v>
      </c>
      <c r="Q2865">
        <v>1</v>
      </c>
      <c r="R2865" t="s">
        <v>21</v>
      </c>
      <c r="S2865" t="s">
        <v>21</v>
      </c>
    </row>
    <row r="2866" spans="1:19" hidden="1" x14ac:dyDescent="0.25">
      <c r="A2866">
        <v>21601193</v>
      </c>
      <c r="B2866" t="s">
        <v>26</v>
      </c>
      <c r="C2866" t="s">
        <v>19</v>
      </c>
      <c r="D2866">
        <v>58</v>
      </c>
      <c r="E2866">
        <v>64</v>
      </c>
      <c r="F2866">
        <v>6</v>
      </c>
      <c r="G2866">
        <v>3</v>
      </c>
      <c r="H2866" s="1">
        <v>4.386574074074074E-3</v>
      </c>
      <c r="I2866">
        <v>2016</v>
      </c>
      <c r="J2866" t="s">
        <v>20</v>
      </c>
      <c r="K2866" s="2" t="str">
        <f>HYPERLINK("https://www.nba.com/stats/events?CFID=&amp;CFPARAMS=&amp;GameEventID=281&amp;GameID=0021601193&amp;Season=2016-17&amp;flag=1&amp;title=Leonard%2024'%203PT%20Jump%20Shot%20(21%20PTS)%20(Simmons%203%20AST)", "Leonard 24' 3PT Jump Shot (21 PTS) (Simmons 3 AST)")</f>
        <v>Leonard 24' 3PT Jump Shot (21 PTS) (Simmons 3 AST)</v>
      </c>
      <c r="L2866" s="2" t="str">
        <f>HYPERLINK("https://www.nba.com/game/...-vs-...-0021601193/play-by-play?watchFullGame=true", "SAS vs LAC - Q3 06:19.00")</f>
        <v>SAS vs LAC - Q3 06:19.00</v>
      </c>
      <c r="M2866">
        <v>24</v>
      </c>
      <c r="N2866">
        <v>-237</v>
      </c>
      <c r="O2866">
        <v>41</v>
      </c>
      <c r="P2866">
        <v>-237</v>
      </c>
      <c r="Q2866">
        <v>41</v>
      </c>
      <c r="R2866" t="s">
        <v>21</v>
      </c>
      <c r="S2866" t="s">
        <v>21</v>
      </c>
    </row>
    <row r="2867" spans="1:19" hidden="1" x14ac:dyDescent="0.25">
      <c r="A2867">
        <v>21501215</v>
      </c>
      <c r="B2867" t="s">
        <v>26</v>
      </c>
      <c r="C2867" t="s">
        <v>19</v>
      </c>
      <c r="D2867">
        <v>59</v>
      </c>
      <c r="E2867">
        <v>62</v>
      </c>
      <c r="F2867">
        <v>3</v>
      </c>
      <c r="G2867">
        <v>3</v>
      </c>
      <c r="H2867" s="1">
        <v>4.3981481481481484E-3</v>
      </c>
      <c r="I2867">
        <v>2015</v>
      </c>
      <c r="J2867" t="s">
        <v>20</v>
      </c>
      <c r="K2867" s="2" t="str">
        <f>HYPERLINK("https://www.nba.com/stats/events?CFID=&amp;CFPARAMS=&amp;GameEventID=291&amp;GameID=0021501215&amp;Season=2015-16&amp;flag=1&amp;title=Leonard%2024'%203PT%20Jump%20Shot%20(15%20PTS)", "Leonard 24' 3PT Jump Shot (15 PTS)")</f>
        <v>Leonard 24' 3PT Jump Shot (15 PTS)</v>
      </c>
      <c r="L2867" s="2" t="str">
        <f>HYPERLINK("https://www.nba.com/game/...-vs-...-0021501215/play-by-play?watchFullGame=true", "SAS vs OKC - Q3 06:20.00")</f>
        <v>SAS vs OKC - Q3 06:20.00</v>
      </c>
      <c r="M2867">
        <v>24</v>
      </c>
      <c r="N2867">
        <v>202</v>
      </c>
      <c r="O2867">
        <v>131</v>
      </c>
      <c r="P2867">
        <v>202</v>
      </c>
      <c r="Q2867">
        <v>131</v>
      </c>
      <c r="R2867" t="s">
        <v>21</v>
      </c>
      <c r="S2867" t="s">
        <v>21</v>
      </c>
    </row>
    <row r="2868" spans="1:19" hidden="1" x14ac:dyDescent="0.25">
      <c r="A2868">
        <v>41500151</v>
      </c>
      <c r="B2868" t="s">
        <v>26</v>
      </c>
      <c r="C2868" t="s">
        <v>19</v>
      </c>
      <c r="D2868">
        <v>66</v>
      </c>
      <c r="E2868">
        <v>47</v>
      </c>
      <c r="F2868">
        <v>19</v>
      </c>
      <c r="G2868">
        <v>3</v>
      </c>
      <c r="H2868" s="1">
        <v>4.43287037037037E-3</v>
      </c>
      <c r="I2868" t="s">
        <v>57</v>
      </c>
      <c r="J2868" t="s">
        <v>20</v>
      </c>
      <c r="K2868" s="2" t="str">
        <f>HYPERLINK("https://www.nba.com/stats/events?CFID=&amp;CFPARAMS=&amp;GameEventID=271&amp;GameID=0041500151&amp;Season=2015-16&amp;flag=1&amp;title=Leonard%2024'%203PT%20Jump%20Shot%20(17%20PTS)%20(Parker%206%20AST)", "Leonard 24' 3PT Jump Shot (17 PTS) (Parker 6 AST)")</f>
        <v>Leonard 24' 3PT Jump Shot (17 PTS) (Parker 6 AST)</v>
      </c>
      <c r="L2868" s="2" t="str">
        <f>HYPERLINK("https://www.nba.com/game/...-vs-...-0041500151/play-by-play?watchFullGame=true", "SAS vs MEM - Q3 06:23.00")</f>
        <v>SAS vs MEM - Q3 06:23.00</v>
      </c>
      <c r="M2868">
        <v>24</v>
      </c>
      <c r="N2868">
        <v>-237</v>
      </c>
      <c r="O2868">
        <v>-6</v>
      </c>
      <c r="P2868">
        <v>-237</v>
      </c>
      <c r="Q2868">
        <v>-6</v>
      </c>
      <c r="R2868" t="s">
        <v>21</v>
      </c>
      <c r="S2868" t="s">
        <v>21</v>
      </c>
    </row>
    <row r="2869" spans="1:19" hidden="1" x14ac:dyDescent="0.25">
      <c r="A2869">
        <v>21601193</v>
      </c>
      <c r="B2869" t="s">
        <v>26</v>
      </c>
      <c r="C2869" t="s">
        <v>19</v>
      </c>
      <c r="D2869">
        <v>83</v>
      </c>
      <c r="E2869">
        <v>92</v>
      </c>
      <c r="F2869">
        <v>9</v>
      </c>
      <c r="G2869">
        <v>4</v>
      </c>
      <c r="H2869" s="1">
        <v>4.4560185185185189E-3</v>
      </c>
      <c r="I2869">
        <v>2016</v>
      </c>
      <c r="J2869" t="s">
        <v>20</v>
      </c>
      <c r="K2869" s="2" t="str">
        <f>HYPERLINK("https://www.nba.com/stats/events?CFID=&amp;CFPARAMS=&amp;GameEventID=411&amp;GameID=0021601193&amp;Season=2016-17&amp;flag=1&amp;title=Leonard%2024'%203PT%20Jump%20Shot%20(28%20PTS)%20(Simmons%204%20AST)", "Leonard 24' 3PT Jump Shot (28 PTS) (Simmons 4 AST)")</f>
        <v>Leonard 24' 3PT Jump Shot (28 PTS) (Simmons 4 AST)</v>
      </c>
      <c r="L2869" s="2" t="str">
        <f>HYPERLINK("https://www.nba.com/game/...-vs-...-0021601193/play-by-play?watchFullGame=true", "SAS vs LAC - Q4 06:25.00")</f>
        <v>SAS vs LAC - Q4 06:25.00</v>
      </c>
      <c r="M2869">
        <v>24</v>
      </c>
      <c r="N2869">
        <v>235</v>
      </c>
      <c r="O2869">
        <v>18</v>
      </c>
      <c r="P2869">
        <v>235</v>
      </c>
      <c r="Q2869">
        <v>18</v>
      </c>
      <c r="R2869" t="s">
        <v>21</v>
      </c>
      <c r="S2869" t="s">
        <v>21</v>
      </c>
    </row>
    <row r="2870" spans="1:19" hidden="1" x14ac:dyDescent="0.25">
      <c r="A2870">
        <v>21501063</v>
      </c>
      <c r="B2870" t="s">
        <v>26</v>
      </c>
      <c r="C2870" t="s">
        <v>36</v>
      </c>
      <c r="D2870">
        <v>43</v>
      </c>
      <c r="E2870">
        <v>34</v>
      </c>
      <c r="F2870">
        <v>9</v>
      </c>
      <c r="G2870">
        <v>2</v>
      </c>
      <c r="H2870" s="1">
        <v>4.4907407407407405E-3</v>
      </c>
      <c r="I2870">
        <v>2015</v>
      </c>
      <c r="J2870" t="s">
        <v>20</v>
      </c>
      <c r="K2870" s="2" t="str">
        <f>HYPERLINK("https://www.nba.com/stats/events?CFID=&amp;CFPARAMS=&amp;GameEventID=178&amp;GameID=0021501063&amp;Season=2015-16&amp;flag=1&amp;title=Leonard%2024'%203PT%20Pullup%20Jump%20Shot%20(13%20PTS)", "Leonard 24' 3PT Pullup Jump Shot (13 PTS)")</f>
        <v>Leonard 24' 3PT Pullup Jump Shot (13 PTS)</v>
      </c>
      <c r="L2870" s="2" t="str">
        <f>HYPERLINK("https://www.nba.com/game/...-vs-...-0021501063/play-by-play?watchFullGame=true", "SAS vs MIA - Q2 06:28.00")</f>
        <v>SAS vs MIA - Q2 06:28.00</v>
      </c>
      <c r="M2870">
        <v>24</v>
      </c>
      <c r="N2870">
        <v>171</v>
      </c>
      <c r="O2870">
        <v>175</v>
      </c>
      <c r="P2870">
        <v>171</v>
      </c>
      <c r="Q2870">
        <v>175</v>
      </c>
      <c r="R2870" t="s">
        <v>21</v>
      </c>
      <c r="S2870" t="s">
        <v>21</v>
      </c>
    </row>
    <row r="2871" spans="1:19" hidden="1" x14ac:dyDescent="0.25">
      <c r="A2871">
        <v>21300888</v>
      </c>
      <c r="B2871" t="s">
        <v>26</v>
      </c>
      <c r="C2871" t="s">
        <v>19</v>
      </c>
      <c r="D2871">
        <v>92</v>
      </c>
      <c r="E2871">
        <v>84</v>
      </c>
      <c r="F2871">
        <v>8</v>
      </c>
      <c r="G2871">
        <v>4</v>
      </c>
      <c r="H2871" s="1">
        <v>4.5486111111111109E-3</v>
      </c>
      <c r="I2871">
        <v>2013</v>
      </c>
      <c r="J2871" t="s">
        <v>20</v>
      </c>
      <c r="K2871" s="2" t="str">
        <f>HYPERLINK("https://www.nba.com/stats/events?CFID=&amp;CFPARAMS=&amp;GameEventID=435&amp;GameID=0021300888&amp;Season=2013-14&amp;flag=1&amp;title=Leonard%2024'%203PT%20Jump%20Shot%20(16%20PTS)%20(Parker%206%20AST)", "Leonard 24' 3PT Jump Shot (16 PTS) (Parker 6 AST)")</f>
        <v>Leonard 24' 3PT Jump Shot (16 PTS) (Parker 6 AST)</v>
      </c>
      <c r="L2871" s="2" t="str">
        <f>HYPERLINK("https://www.nba.com/game/...-vs-...-0021300888/play-by-play?watchFullGame=true", "SAS vs DAL - Q4 06:33.00")</f>
        <v>SAS vs DAL - Q4 06:33.00</v>
      </c>
      <c r="M2871">
        <v>24</v>
      </c>
      <c r="N2871">
        <v>89</v>
      </c>
      <c r="O2871">
        <v>222</v>
      </c>
      <c r="P2871">
        <v>89</v>
      </c>
      <c r="Q2871">
        <v>222</v>
      </c>
      <c r="R2871" t="s">
        <v>21</v>
      </c>
      <c r="S2871" t="s">
        <v>21</v>
      </c>
    </row>
    <row r="2872" spans="1:19" hidden="1" x14ac:dyDescent="0.25">
      <c r="A2872">
        <v>21600588</v>
      </c>
      <c r="B2872" t="s">
        <v>26</v>
      </c>
      <c r="C2872" t="s">
        <v>19</v>
      </c>
      <c r="D2872">
        <v>20</v>
      </c>
      <c r="E2872">
        <v>11</v>
      </c>
      <c r="F2872">
        <v>9</v>
      </c>
      <c r="G2872">
        <v>1</v>
      </c>
      <c r="H2872" s="1">
        <v>4.6064814814814814E-3</v>
      </c>
      <c r="I2872">
        <v>2016</v>
      </c>
      <c r="J2872" t="s">
        <v>20</v>
      </c>
      <c r="K2872" s="2" t="str">
        <f>HYPERLINK("https://www.nba.com/stats/events?CFID=&amp;CFPARAMS=&amp;GameEventID=48&amp;GameID=0021600588&amp;Season=2016-17&amp;flag=1&amp;title=Leonard%2024'%203PT%20Jump%20Shot%20(8%20PTS)%20(Gasol%203%20AST)", "Leonard 24' 3PT Jump Shot (8 PTS) (Gasol 3 AST)")</f>
        <v>Leonard 24' 3PT Jump Shot (8 PTS) (Gasol 3 AST)</v>
      </c>
      <c r="L2872" s="2" t="str">
        <f>HYPERLINK("https://www.nba.com/game/...-vs-...-0021600588/play-by-play?watchFullGame=true", "SAS vs LAL - Q1 06:38.00")</f>
        <v>SAS vs LAL - Q1 06:38.00</v>
      </c>
      <c r="M2872">
        <v>24</v>
      </c>
      <c r="N2872">
        <v>123</v>
      </c>
      <c r="O2872">
        <v>208</v>
      </c>
      <c r="P2872">
        <v>123</v>
      </c>
      <c r="Q2872">
        <v>208</v>
      </c>
      <c r="R2872" t="s">
        <v>21</v>
      </c>
      <c r="S2872" t="s">
        <v>21</v>
      </c>
    </row>
    <row r="2873" spans="1:19" hidden="1" x14ac:dyDescent="0.25">
      <c r="A2873">
        <v>21500860</v>
      </c>
      <c r="B2873" t="s">
        <v>26</v>
      </c>
      <c r="C2873" t="s">
        <v>19</v>
      </c>
      <c r="D2873">
        <v>81</v>
      </c>
      <c r="E2873">
        <v>68</v>
      </c>
      <c r="F2873">
        <v>13</v>
      </c>
      <c r="G2873">
        <v>4</v>
      </c>
      <c r="H2873" s="1">
        <v>4.6412037037037038E-3</v>
      </c>
      <c r="I2873">
        <v>2015</v>
      </c>
      <c r="J2873" t="s">
        <v>20</v>
      </c>
      <c r="K2873" s="2" t="str">
        <f>HYPERLINK("https://www.nba.com/stats/events?CFID=&amp;CFPARAMS=&amp;GameEventID=381&amp;GameID=0021500860&amp;Season=2015-16&amp;flag=1&amp;title=Leonard%2024'%203PT%20Jump%20Shot%20(27%20PTS)%20(Aldridge%202%20AST)", "Leonard 24' 3PT Jump Shot (27 PTS) (Aldridge 2 AST)")</f>
        <v>Leonard 24' 3PT Jump Shot (27 PTS) (Aldridge 2 AST)</v>
      </c>
      <c r="L2873" s="2" t="str">
        <f>HYPERLINK("https://www.nba.com/game/...-vs-...-0021500860/play-by-play?watchFullGame=true", "SAS vs UTA - Q4 06:41.00")</f>
        <v>SAS vs UTA - Q4 06:41.00</v>
      </c>
      <c r="M2873">
        <v>24</v>
      </c>
      <c r="N2873">
        <v>0</v>
      </c>
      <c r="O2873">
        <v>242</v>
      </c>
      <c r="P2873">
        <v>0</v>
      </c>
      <c r="Q2873">
        <v>242</v>
      </c>
      <c r="R2873" t="s">
        <v>21</v>
      </c>
      <c r="S2873" t="s">
        <v>21</v>
      </c>
    </row>
    <row r="2874" spans="1:19" hidden="1" x14ac:dyDescent="0.25">
      <c r="A2874">
        <v>21600717</v>
      </c>
      <c r="B2874" t="s">
        <v>26</v>
      </c>
      <c r="C2874" t="s">
        <v>19</v>
      </c>
      <c r="D2874">
        <v>44</v>
      </c>
      <c r="E2874">
        <v>35</v>
      </c>
      <c r="F2874">
        <v>9</v>
      </c>
      <c r="G2874">
        <v>2</v>
      </c>
      <c r="H2874" s="1">
        <v>4.7106481481481478E-3</v>
      </c>
      <c r="I2874">
        <v>2016</v>
      </c>
      <c r="J2874" t="s">
        <v>20</v>
      </c>
      <c r="K2874" s="2" t="str">
        <f>HYPERLINK("https://www.nba.com/stats/events?CFID=&amp;CFPARAMS=&amp;GameEventID=186&amp;GameID=0021600717&amp;Season=2016-17&amp;flag=1&amp;title=Leonard%2024'%203PT%20Jump%20Shot%20(8%20PTS)%20(Aldridge%202%20AST)", "Leonard 24' 3PT Jump Shot (8 PTS) (Aldridge 2 AST)")</f>
        <v>Leonard 24' 3PT Jump Shot (8 PTS) (Aldridge 2 AST)</v>
      </c>
      <c r="L2874" s="2" t="str">
        <f>HYPERLINK("https://www.nba.com/game/...-vs-...-0021600717/play-by-play?watchFullGame=true", "SAS vs DAL - Q2 06:47.00")</f>
        <v>SAS vs DAL - Q2 06:47.00</v>
      </c>
      <c r="M2874">
        <v>24</v>
      </c>
      <c r="N2874">
        <v>76</v>
      </c>
      <c r="O2874">
        <v>228</v>
      </c>
      <c r="P2874">
        <v>76</v>
      </c>
      <c r="Q2874">
        <v>228</v>
      </c>
      <c r="R2874" t="s">
        <v>21</v>
      </c>
      <c r="S2874" t="s">
        <v>21</v>
      </c>
    </row>
    <row r="2875" spans="1:19" hidden="1" x14ac:dyDescent="0.25">
      <c r="A2875">
        <v>21600168</v>
      </c>
      <c r="B2875" t="s">
        <v>26</v>
      </c>
      <c r="C2875" t="s">
        <v>19</v>
      </c>
      <c r="D2875">
        <v>97</v>
      </c>
      <c r="E2875">
        <v>81</v>
      </c>
      <c r="F2875">
        <v>16</v>
      </c>
      <c r="G2875">
        <v>4</v>
      </c>
      <c r="H2875" s="1">
        <v>4.7222222222222223E-3</v>
      </c>
      <c r="I2875">
        <v>2016</v>
      </c>
      <c r="J2875" t="s">
        <v>20</v>
      </c>
      <c r="K2875" s="2" t="str">
        <f>HYPERLINK("https://www.nba.com/stats/events?CFID=&amp;CFPARAMS=&amp;GameEventID=402&amp;GameID=0021600168&amp;Season=2016-17&amp;flag=1&amp;title=Leonard%2024'%203PT%20Jump%20Shot%20(18%20PTS)%20(Parker%207%20AST)", "Leonard 24' 3PT Jump Shot (18 PTS) (Parker 7 AST)")</f>
        <v>Leonard 24' 3PT Jump Shot (18 PTS) (Parker 7 AST)</v>
      </c>
      <c r="L2875" s="2" t="str">
        <f>HYPERLINK("https://www.nba.com/game/...-vs-...-0021600168/play-by-play?watchFullGame=true", "SAS vs SAC - Q4 06:48.00")</f>
        <v>SAS vs SAC - Q4 06:48.00</v>
      </c>
      <c r="M2875">
        <v>24</v>
      </c>
      <c r="N2875">
        <v>182</v>
      </c>
      <c r="O2875">
        <v>164</v>
      </c>
      <c r="P2875">
        <v>182</v>
      </c>
      <c r="Q2875">
        <v>164</v>
      </c>
      <c r="R2875" t="s">
        <v>21</v>
      </c>
      <c r="S2875" t="s">
        <v>21</v>
      </c>
    </row>
    <row r="2876" spans="1:19" hidden="1" x14ac:dyDescent="0.25">
      <c r="A2876">
        <v>21400714</v>
      </c>
      <c r="B2876" t="s">
        <v>26</v>
      </c>
      <c r="C2876" t="s">
        <v>19</v>
      </c>
      <c r="D2876">
        <v>57</v>
      </c>
      <c r="E2876">
        <v>67</v>
      </c>
      <c r="F2876">
        <v>10</v>
      </c>
      <c r="G2876">
        <v>3</v>
      </c>
      <c r="H2876" s="1">
        <v>4.7453703703703703E-3</v>
      </c>
      <c r="I2876">
        <v>2014</v>
      </c>
      <c r="J2876" t="s">
        <v>20</v>
      </c>
      <c r="K2876" s="2" t="str">
        <f>HYPERLINK("https://www.nba.com/stats/events?CFID=&amp;CFPARAMS=&amp;GameEventID=302&amp;GameID=0021400714&amp;Season=2014-15&amp;flag=1&amp;title=Leonard%2024'%203PT%20Jump%20Shot%20(20%20PTS)%20(Diaw%203%20AST)", "Leonard 24' 3PT Jump Shot (20 PTS) (Diaw 3 AST)")</f>
        <v>Leonard 24' 3PT Jump Shot (20 PTS) (Diaw 3 AST)</v>
      </c>
      <c r="L2876" s="2" t="str">
        <f>HYPERLINK("https://www.nba.com/game/...-vs-...-0021400714/play-by-play?watchFullGame=true", "SAS vs LAC - Q3 06:50.00")</f>
        <v>SAS vs LAC - Q3 06:50.00</v>
      </c>
      <c r="M2876">
        <v>24</v>
      </c>
      <c r="N2876">
        <v>236</v>
      </c>
      <c r="O2876">
        <v>50</v>
      </c>
      <c r="P2876">
        <v>236</v>
      </c>
      <c r="Q2876">
        <v>50</v>
      </c>
      <c r="R2876" t="s">
        <v>21</v>
      </c>
      <c r="S2876" t="s">
        <v>21</v>
      </c>
    </row>
    <row r="2877" spans="1:19" x14ac:dyDescent="0.25">
      <c r="A2877">
        <v>21300296</v>
      </c>
      <c r="B2877" t="s">
        <v>26</v>
      </c>
      <c r="C2877" t="s">
        <v>19</v>
      </c>
      <c r="D2877">
        <v>78</v>
      </c>
      <c r="E2877">
        <v>99</v>
      </c>
      <c r="F2877">
        <v>21</v>
      </c>
      <c r="G2877">
        <v>4</v>
      </c>
      <c r="H2877" s="1">
        <v>4.7569444444444447E-3</v>
      </c>
      <c r="I2877">
        <v>2013</v>
      </c>
      <c r="J2877" t="s">
        <v>20</v>
      </c>
      <c r="K2877" s="2" t="str">
        <f>HYPERLINK("https://www.nba.com/stats/events?CFID=&amp;CFPARAMS=&amp;GameEventID=375&amp;GameID=0021300296&amp;Season=2013-14&amp;flag=1&amp;title=Leonard%2024'%203PT%20Jump%20Shot%20(18%20PTS)%20(Mills%203%20AST)", "Leonard 24' 3PT Jump Shot (18 PTS) (Mills 3 AST)")</f>
        <v>Leonard 24' 3PT Jump Shot (18 PTS) (Mills 3 AST)</v>
      </c>
      <c r="L2877" s="2" t="str">
        <f>HYPERLINK("https://www.nba.com/game/...-vs-...-0021300296/play-by-play?watchFullGame=true", "SAS vs IND - Q4 06:51.00")</f>
        <v>SAS vs IND - Q4 06:51.00</v>
      </c>
      <c r="M2877">
        <v>24</v>
      </c>
      <c r="N2877">
        <v>-237</v>
      </c>
      <c r="O2877">
        <v>-14</v>
      </c>
      <c r="P2877">
        <v>-237</v>
      </c>
      <c r="Q2877">
        <v>-14</v>
      </c>
      <c r="R2877" t="s">
        <v>21</v>
      </c>
      <c r="S2877" t="s">
        <v>21</v>
      </c>
    </row>
    <row r="2878" spans="1:19" hidden="1" x14ac:dyDescent="0.25">
      <c r="A2878">
        <v>21601135</v>
      </c>
      <c r="B2878" t="s">
        <v>26</v>
      </c>
      <c r="C2878" t="s">
        <v>39</v>
      </c>
      <c r="D2878">
        <v>78</v>
      </c>
      <c r="E2878">
        <v>83</v>
      </c>
      <c r="F2878">
        <v>5</v>
      </c>
      <c r="G2878">
        <v>4</v>
      </c>
      <c r="H2878" s="1">
        <v>4.8148148148148152E-3</v>
      </c>
      <c r="I2878">
        <v>2016</v>
      </c>
      <c r="J2878" t="s">
        <v>20</v>
      </c>
      <c r="K2878" s="2" t="str">
        <f>HYPERLINK("https://www.nba.com/stats/events?CFID=&amp;CFPARAMS=&amp;GameEventID=479&amp;GameID=0021601135&amp;Season=2016-17&amp;flag=1&amp;title=Leonard%2024'%203PT%20Step%20Back%20Jump%20Shot%20(24%20PTS)%20(Ginobili%205%20AST)", "Leonard 24' 3PT Step Back Jump Shot (24 PTS) (Ginobili 5 AST)")</f>
        <v>Leonard 24' 3PT Step Back Jump Shot (24 PTS) (Ginobili 5 AST)</v>
      </c>
      <c r="L2878" s="2" t="str">
        <f>HYPERLINK("https://www.nba.com/game/...-vs-...-0021601135/play-by-play?watchFullGame=true", "SAS vs OKC - Q4 06:56.00")</f>
        <v>SAS vs OKC - Q4 06:56.00</v>
      </c>
      <c r="M2878">
        <v>24</v>
      </c>
      <c r="N2878">
        <v>-230</v>
      </c>
      <c r="O2878">
        <v>77</v>
      </c>
      <c r="P2878">
        <v>-230</v>
      </c>
      <c r="Q2878">
        <v>77</v>
      </c>
      <c r="R2878" t="s">
        <v>21</v>
      </c>
      <c r="S2878" t="s">
        <v>21</v>
      </c>
    </row>
    <row r="2879" spans="1:19" hidden="1" x14ac:dyDescent="0.25">
      <c r="A2879">
        <v>21600053</v>
      </c>
      <c r="B2879" t="s">
        <v>26</v>
      </c>
      <c r="C2879" t="s">
        <v>19</v>
      </c>
      <c r="D2879">
        <v>12</v>
      </c>
      <c r="E2879">
        <v>15</v>
      </c>
      <c r="F2879">
        <v>3</v>
      </c>
      <c r="G2879">
        <v>1</v>
      </c>
      <c r="H2879" s="1">
        <v>4.8611111111111112E-3</v>
      </c>
      <c r="I2879">
        <v>2016</v>
      </c>
      <c r="J2879" t="s">
        <v>20</v>
      </c>
      <c r="K2879" s="2" t="str">
        <f>HYPERLINK("https://www.nba.com/stats/events?CFID=&amp;CFPARAMS=&amp;GameEventID=32&amp;GameID=0021600053&amp;Season=2016-17&amp;flag=1&amp;title=Leonard%2024'%203PT%20Jump%20Shot%20(8%20PTS)%20(Simmons%201%20AST)", "Leonard 24' 3PT Jump Shot (8 PTS) (Simmons 1 AST)")</f>
        <v>Leonard 24' 3PT Jump Shot (8 PTS) (Simmons 1 AST)</v>
      </c>
      <c r="L2879" s="2" t="str">
        <f>HYPERLINK("https://www.nba.com/game/...-vs-...-0021600053/play-by-play?watchFullGame=true", "SAS vs UTA - Q1 07:00.00")</f>
        <v>SAS vs UTA - Q1 07:00.00</v>
      </c>
      <c r="M2879">
        <v>24</v>
      </c>
      <c r="N2879">
        <v>184</v>
      </c>
      <c r="O2879">
        <v>159</v>
      </c>
      <c r="P2879">
        <v>184</v>
      </c>
      <c r="Q2879">
        <v>159</v>
      </c>
      <c r="R2879" t="s">
        <v>21</v>
      </c>
      <c r="S2879" t="s">
        <v>21</v>
      </c>
    </row>
    <row r="2880" spans="1:19" hidden="1" x14ac:dyDescent="0.25">
      <c r="A2880">
        <v>41200404</v>
      </c>
      <c r="B2880" t="s">
        <v>26</v>
      </c>
      <c r="C2880" t="s">
        <v>19</v>
      </c>
      <c r="D2880">
        <v>15</v>
      </c>
      <c r="E2880">
        <v>5</v>
      </c>
      <c r="F2880">
        <v>10</v>
      </c>
      <c r="G2880">
        <v>1</v>
      </c>
      <c r="H2880" s="1">
        <v>4.9768518518518521E-3</v>
      </c>
      <c r="I2880" t="s">
        <v>53</v>
      </c>
      <c r="J2880" t="s">
        <v>20</v>
      </c>
      <c r="K2880" s="2" t="str">
        <f>HYPERLINK("https://www.nba.com/stats/events?CFID=&amp;CFPARAMS=&amp;GameEventID=37&amp;GameID=0041200404&amp;Season=2012-13&amp;flag=1&amp;title=Leonard%2024'%203PT%20Jump%20Shot%20(3%20PTS)%20(Parker%202%20AST)", "Leonard 24' 3PT Jump Shot (3 PTS) (Parker 2 AST)")</f>
        <v>Leonard 24' 3PT Jump Shot (3 PTS) (Parker 2 AST)</v>
      </c>
      <c r="L2880" s="2" t="str">
        <f>HYPERLINK("https://www.nba.com/game/...-vs-...-0041200404/play-by-play?watchFullGame=true", "SAS vs MIA - Q1 07:10.00")</f>
        <v>SAS vs MIA - Q1 07:10.00</v>
      </c>
      <c r="M2880">
        <v>24</v>
      </c>
      <c r="N2880">
        <v>-237</v>
      </c>
      <c r="O2880">
        <v>15</v>
      </c>
      <c r="P2880">
        <v>-237</v>
      </c>
      <c r="Q2880">
        <v>15</v>
      </c>
      <c r="R2880" t="s">
        <v>21</v>
      </c>
      <c r="S2880" t="s">
        <v>21</v>
      </c>
    </row>
    <row r="2881" spans="1:19" hidden="1" x14ac:dyDescent="0.25">
      <c r="A2881">
        <v>21400757</v>
      </c>
      <c r="B2881" t="s">
        <v>26</v>
      </c>
      <c r="C2881" t="s">
        <v>19</v>
      </c>
      <c r="D2881">
        <v>37</v>
      </c>
      <c r="E2881">
        <v>30</v>
      </c>
      <c r="F2881">
        <v>7</v>
      </c>
      <c r="G2881">
        <v>2</v>
      </c>
      <c r="H2881" s="1">
        <v>5.0115740740740737E-3</v>
      </c>
      <c r="I2881">
        <v>2014</v>
      </c>
      <c r="J2881" t="s">
        <v>20</v>
      </c>
      <c r="K2881" s="2" t="str">
        <f>HYPERLINK("https://www.nba.com/stats/events?CFID=&amp;CFPARAMS=&amp;GameEventID=145&amp;GameID=0021400757&amp;Season=2014-15&amp;flag=1&amp;title=Leonard%2024'%203PT%20Jump%20Shot%20(11%20PTS)%20(Belinelli%202%20AST)", "Leonard 24' 3PT Jump Shot (11 PTS) (Belinelli 2 AST)")</f>
        <v>Leonard 24' 3PT Jump Shot (11 PTS) (Belinelli 2 AST)</v>
      </c>
      <c r="L2881" s="2" t="str">
        <f>HYPERLINK("https://www.nba.com/game/...-vs-...-0021400757/play-by-play?watchFullGame=true", "SAS vs MIA - Q2 07:13.00")</f>
        <v>SAS vs MIA - Q2 07:13.00</v>
      </c>
      <c r="M2881">
        <v>24</v>
      </c>
      <c r="N2881">
        <v>-168</v>
      </c>
      <c r="O2881">
        <v>172</v>
      </c>
      <c r="P2881">
        <v>-168</v>
      </c>
      <c r="Q2881">
        <v>172</v>
      </c>
      <c r="R2881" t="s">
        <v>21</v>
      </c>
      <c r="S2881" t="s">
        <v>21</v>
      </c>
    </row>
    <row r="2882" spans="1:19" hidden="1" x14ac:dyDescent="0.25">
      <c r="A2882">
        <v>21300932</v>
      </c>
      <c r="B2882" t="s">
        <v>26</v>
      </c>
      <c r="C2882" t="s">
        <v>19</v>
      </c>
      <c r="D2882">
        <v>42</v>
      </c>
      <c r="E2882">
        <v>41</v>
      </c>
      <c r="F2882">
        <v>1</v>
      </c>
      <c r="G2882">
        <v>2</v>
      </c>
      <c r="H2882" s="1">
        <v>5.0115740740740737E-3</v>
      </c>
      <c r="I2882">
        <v>2013</v>
      </c>
      <c r="J2882" t="s">
        <v>20</v>
      </c>
      <c r="K2882" s="2" t="str">
        <f>HYPERLINK("https://www.nba.com/stats/events?CFID=&amp;CFPARAMS=&amp;GameEventID=158&amp;GameID=0021300932&amp;Season=2013-14&amp;flag=1&amp;title=Leonard%2024'%203PT%20Jump%20Shot%20(8%20PTS)", "Leonard 24' 3PT Jump Shot (8 PTS)")</f>
        <v>Leonard 24' 3PT Jump Shot (8 PTS)</v>
      </c>
      <c r="L2882" s="2" t="str">
        <f>HYPERLINK("https://www.nba.com/game/...-vs-...-0021300932/play-by-play?watchFullGame=true", "SAS vs ORL - Q2 07:13.00")</f>
        <v>SAS vs ORL - Q2 07:13.00</v>
      </c>
      <c r="M2882">
        <v>24</v>
      </c>
      <c r="N2882">
        <v>0</v>
      </c>
      <c r="O2882">
        <v>244</v>
      </c>
      <c r="P2882">
        <v>0</v>
      </c>
      <c r="Q2882">
        <v>244</v>
      </c>
      <c r="R2882" t="s">
        <v>21</v>
      </c>
      <c r="S2882" t="s">
        <v>21</v>
      </c>
    </row>
    <row r="2883" spans="1:19" hidden="1" x14ac:dyDescent="0.25">
      <c r="A2883">
        <v>41300405</v>
      </c>
      <c r="B2883" t="s">
        <v>26</v>
      </c>
      <c r="C2883" t="s">
        <v>19</v>
      </c>
      <c r="D2883">
        <v>5</v>
      </c>
      <c r="E2883">
        <v>13</v>
      </c>
      <c r="F2883">
        <v>8</v>
      </c>
      <c r="G2883">
        <v>1</v>
      </c>
      <c r="H2883" s="1">
        <v>5.0115740740740737E-3</v>
      </c>
      <c r="I2883" t="s">
        <v>55</v>
      </c>
      <c r="J2883" t="s">
        <v>20</v>
      </c>
      <c r="K2883" s="2" t="str">
        <f>HYPERLINK("https://www.nba.com/stats/events?CFID=&amp;CFPARAMS=&amp;GameEventID=45&amp;GameID=0041300405&amp;Season=2013-14&amp;flag=1&amp;title=Leonard%2024'%203PT%20Jump%20Shot%20(3%20PTS)%20(Parker%201%20AST)", "Leonard 24' 3PT Jump Shot (3 PTS) (Parker 1 AST)")</f>
        <v>Leonard 24' 3PT Jump Shot (3 PTS) (Parker 1 AST)</v>
      </c>
      <c r="L2883" s="2" t="str">
        <f>HYPERLINK("https://www.nba.com/game/...-vs-...-0041300405/play-by-play?watchFullGame=true", "SAS vs MIA - Q1 07:13.00")</f>
        <v>SAS vs MIA - Q1 07:13.00</v>
      </c>
      <c r="M2883">
        <v>24</v>
      </c>
      <c r="N2883">
        <v>124</v>
      </c>
      <c r="O2883">
        <v>209</v>
      </c>
      <c r="P2883">
        <v>124</v>
      </c>
      <c r="Q2883">
        <v>209</v>
      </c>
      <c r="R2883" t="s">
        <v>21</v>
      </c>
      <c r="S2883" t="s">
        <v>21</v>
      </c>
    </row>
    <row r="2884" spans="1:19" hidden="1" x14ac:dyDescent="0.25">
      <c r="A2884">
        <v>21401200</v>
      </c>
      <c r="B2884" t="s">
        <v>26</v>
      </c>
      <c r="C2884" t="s">
        <v>19</v>
      </c>
      <c r="D2884">
        <v>91</v>
      </c>
      <c r="E2884">
        <v>75</v>
      </c>
      <c r="F2884">
        <v>16</v>
      </c>
      <c r="G2884">
        <v>4</v>
      </c>
      <c r="H2884" s="1">
        <v>5.115740740740741E-3</v>
      </c>
      <c r="I2884">
        <v>2014</v>
      </c>
      <c r="J2884" t="s">
        <v>20</v>
      </c>
      <c r="K2884" s="2" t="str">
        <f>HYPERLINK("https://www.nba.com/stats/events?CFID=&amp;CFPARAMS=&amp;GameEventID=465&amp;GameID=0021401200&amp;Season=2014-15&amp;flag=1&amp;title=Leonard%2024'%203PT%20Jump%20Shot%20(12%20PTS)%20(Parker%205%20AST)", "Leonard 24' 3PT Jump Shot (12 PTS) (Parker 5 AST)")</f>
        <v>Leonard 24' 3PT Jump Shot (12 PTS) (Parker 5 AST)</v>
      </c>
      <c r="L2884" s="2" t="str">
        <f>HYPERLINK("https://www.nba.com/game/...-vs-...-0021401200/play-by-play?watchFullGame=true", "SAS vs PHX - Q4 07:22.00")</f>
        <v>SAS vs PHX - Q4 07:22.00</v>
      </c>
      <c r="M2884">
        <v>24</v>
      </c>
      <c r="N2884">
        <v>242</v>
      </c>
      <c r="O2884">
        <v>-17</v>
      </c>
      <c r="P2884">
        <v>242</v>
      </c>
      <c r="Q2884">
        <v>-17</v>
      </c>
      <c r="R2884" t="s">
        <v>21</v>
      </c>
      <c r="S2884" t="s">
        <v>21</v>
      </c>
    </row>
    <row r="2885" spans="1:19" hidden="1" x14ac:dyDescent="0.25">
      <c r="A2885">
        <v>41200311</v>
      </c>
      <c r="B2885" t="s">
        <v>26</v>
      </c>
      <c r="C2885" t="s">
        <v>19</v>
      </c>
      <c r="D2885">
        <v>90</v>
      </c>
      <c r="E2885">
        <v>68</v>
      </c>
      <c r="F2885">
        <v>22</v>
      </c>
      <c r="G2885">
        <v>4</v>
      </c>
      <c r="H2885" s="1">
        <v>5.1967592592592595E-3</v>
      </c>
      <c r="I2885" t="s">
        <v>53</v>
      </c>
      <c r="J2885" t="s">
        <v>20</v>
      </c>
      <c r="K2885" s="2" t="str">
        <f>HYPERLINK("https://www.nba.com/stats/events?CFID=&amp;CFPARAMS=&amp;GameEventID=380&amp;GameID=0041200311&amp;Season=2012-13&amp;flag=1&amp;title=Leonard%2024'%203PT%20Jump%20Shot%20(18%20PTS)%20(Parker%209%20AST)", "Leonard 24' 3PT Jump Shot (18 PTS) (Parker 9 AST)")</f>
        <v>Leonard 24' 3PT Jump Shot (18 PTS) (Parker 9 AST)</v>
      </c>
      <c r="L2885" s="2" t="str">
        <f>HYPERLINK("https://www.nba.com/game/...-vs-...-0041200311/play-by-play?watchFullGame=true", "SAS vs MEM - Q4 07:29.00")</f>
        <v>SAS vs MEM - Q4 07:29.00</v>
      </c>
      <c r="M2885">
        <v>24</v>
      </c>
      <c r="N2885">
        <v>234</v>
      </c>
      <c r="O2885">
        <v>42</v>
      </c>
      <c r="P2885">
        <v>234</v>
      </c>
      <c r="Q2885">
        <v>42</v>
      </c>
      <c r="R2885" t="s">
        <v>21</v>
      </c>
      <c r="S2885" t="s">
        <v>21</v>
      </c>
    </row>
    <row r="2886" spans="1:19" hidden="1" x14ac:dyDescent="0.25">
      <c r="A2886">
        <v>21300338</v>
      </c>
      <c r="B2886" t="s">
        <v>26</v>
      </c>
      <c r="C2886" t="s">
        <v>19</v>
      </c>
      <c r="D2886">
        <v>69</v>
      </c>
      <c r="E2886">
        <v>66</v>
      </c>
      <c r="F2886">
        <v>3</v>
      </c>
      <c r="G2886">
        <v>3</v>
      </c>
      <c r="H2886" s="1">
        <v>5.2777777777777779E-3</v>
      </c>
      <c r="I2886">
        <v>2013</v>
      </c>
      <c r="J2886" t="s">
        <v>20</v>
      </c>
      <c r="K2886" s="2" t="str">
        <f>HYPERLINK("https://www.nba.com/stats/events?CFID=&amp;CFPARAMS=&amp;GameEventID=280&amp;GameID=0021300338&amp;Season=2013-14&amp;flag=1&amp;title=Leonard%2024'%203PT%20Jump%20Shot%20(15%20PTS)%20(Diaw%202%20AST)", "Leonard 24' 3PT Jump Shot (15 PTS) (Diaw 2 AST)")</f>
        <v>Leonard 24' 3PT Jump Shot (15 PTS) (Diaw 2 AST)</v>
      </c>
      <c r="L2886" s="2" t="str">
        <f>HYPERLINK("https://www.nba.com/game/...-vs-...-0021300338/play-by-play?watchFullGame=true", "SAS vs MIN - Q3 07:36.00")</f>
        <v>SAS vs MIN - Q3 07:36.00</v>
      </c>
      <c r="M2886">
        <v>24</v>
      </c>
      <c r="N2886">
        <v>237</v>
      </c>
      <c r="O2886">
        <v>4</v>
      </c>
      <c r="P2886">
        <v>237</v>
      </c>
      <c r="Q2886">
        <v>4</v>
      </c>
      <c r="R2886" t="s">
        <v>21</v>
      </c>
      <c r="S2886" t="s">
        <v>21</v>
      </c>
    </row>
    <row r="2887" spans="1:19" hidden="1" x14ac:dyDescent="0.25">
      <c r="A2887">
        <v>21601033</v>
      </c>
      <c r="B2887" t="s">
        <v>26</v>
      </c>
      <c r="C2887" t="s">
        <v>19</v>
      </c>
      <c r="D2887">
        <v>81</v>
      </c>
      <c r="E2887">
        <v>87</v>
      </c>
      <c r="F2887">
        <v>6</v>
      </c>
      <c r="G2887">
        <v>4</v>
      </c>
      <c r="H2887" s="1">
        <v>5.2893518518518515E-3</v>
      </c>
      <c r="I2887">
        <v>2016</v>
      </c>
      <c r="J2887" t="s">
        <v>20</v>
      </c>
      <c r="K2887" s="2" t="str">
        <f>HYPERLINK("https://www.nba.com/stats/events?CFID=&amp;CFPARAMS=&amp;GameEventID=425&amp;GameID=0021601033&amp;Season=2016-17&amp;flag=1&amp;title=Leonard%2024'%203PT%20Jump%20Shot%20(19%20PTS)%20(Bertans%201%20AST)", "Leonard 24' 3PT Jump Shot (19 PTS) (Bertans 1 AST)")</f>
        <v>Leonard 24' 3PT Jump Shot (19 PTS) (Bertans 1 AST)</v>
      </c>
      <c r="L2887" s="2" t="str">
        <f>HYPERLINK("https://www.nba.com/game/...-vs-...-0021601033/play-by-play?watchFullGame=true", "SAS vs MEM - Q4 07:37.00")</f>
        <v>SAS vs MEM - Q4 07:37.00</v>
      </c>
      <c r="M2887">
        <v>24</v>
      </c>
      <c r="N2887">
        <v>-240</v>
      </c>
      <c r="O2887">
        <v>-21</v>
      </c>
      <c r="P2887">
        <v>-240</v>
      </c>
      <c r="Q2887">
        <v>-21</v>
      </c>
      <c r="R2887" t="s">
        <v>21</v>
      </c>
      <c r="S2887" t="s">
        <v>21</v>
      </c>
    </row>
    <row r="2888" spans="1:19" hidden="1" x14ac:dyDescent="0.25">
      <c r="A2888">
        <v>21800930</v>
      </c>
      <c r="B2888" t="s">
        <v>26</v>
      </c>
      <c r="C2888" t="s">
        <v>30</v>
      </c>
      <c r="D2888">
        <v>76</v>
      </c>
      <c r="E2888">
        <v>67</v>
      </c>
      <c r="F2888">
        <v>9</v>
      </c>
      <c r="G2888">
        <v>3</v>
      </c>
      <c r="H2888" s="1">
        <v>5.3009259259259259E-3</v>
      </c>
      <c r="I2888">
        <v>2018</v>
      </c>
      <c r="J2888" t="s">
        <v>48</v>
      </c>
      <c r="K2888" s="2" t="str">
        <f>HYPERLINK("https://www.nba.com/stats/events?CFID=&amp;CFPARAMS=&amp;GameEventID=354&amp;GameID=0021800930&amp;Season=2018-19&amp;flag=1&amp;title=Leonard%2024'%203PT%20Running%20Jump%20Shot%20(21%20PTS)%20(Lowry%2010%20AST)", "Leonard 24' 3PT Running Jump Shot (21 PTS) (Lowry 10 AST)")</f>
        <v>Leonard 24' 3PT Running Jump Shot (21 PTS) (Lowry 10 AST)</v>
      </c>
      <c r="L2888" s="2" t="str">
        <f>HYPERLINK("https://www.nba.com/game/...-vs-...-0021800930/play-by-play?watchFullGame=true", "TOR vs POR - Q3 07:38.00")</f>
        <v>TOR vs POR - Q3 07:38.00</v>
      </c>
      <c r="M2888">
        <v>24</v>
      </c>
      <c r="N2888">
        <v>231</v>
      </c>
      <c r="O2888">
        <v>46</v>
      </c>
      <c r="P2888">
        <v>231</v>
      </c>
      <c r="Q2888">
        <v>46</v>
      </c>
      <c r="R2888" t="s">
        <v>21</v>
      </c>
      <c r="S2888" t="s">
        <v>21</v>
      </c>
    </row>
    <row r="2889" spans="1:19" x14ac:dyDescent="0.25">
      <c r="A2889">
        <v>41300222</v>
      </c>
      <c r="B2889" t="s">
        <v>26</v>
      </c>
      <c r="C2889" t="s">
        <v>19</v>
      </c>
      <c r="D2889">
        <v>12</v>
      </c>
      <c r="E2889">
        <v>7</v>
      </c>
      <c r="F2889">
        <v>5</v>
      </c>
      <c r="G2889">
        <v>1</v>
      </c>
      <c r="H2889" s="1">
        <v>5.3356481481481484E-3</v>
      </c>
      <c r="I2889" t="s">
        <v>55</v>
      </c>
      <c r="J2889" t="s">
        <v>20</v>
      </c>
      <c r="K2889" s="2" t="str">
        <f>HYPERLINK("https://www.nba.com/stats/events?CFID=&amp;CFPARAMS=&amp;GameEventID=40&amp;GameID=0041300222&amp;Season=2013-14&amp;flag=1&amp;title=Leonard%2024'%203PT%20Jump%20Shot%20(8%20PTS)%20(Parker%203%20AST)", "Leonard 24' 3PT Jump Shot (8 PTS) (Parker 3 AST)")</f>
        <v>Leonard 24' 3PT Jump Shot (8 PTS) (Parker 3 AST)</v>
      </c>
      <c r="L2889" s="2" t="str">
        <f>HYPERLINK("https://www.nba.com/game/...-vs-...-0041300222/play-by-play?watchFullGame=true", "SAS vs POR - Q1 07:41.00")</f>
        <v>SAS vs POR - Q1 07:41.00</v>
      </c>
      <c r="M2889">
        <v>24</v>
      </c>
      <c r="N2889">
        <v>-237</v>
      </c>
      <c r="O2889">
        <v>-19</v>
      </c>
      <c r="P2889">
        <v>-237</v>
      </c>
      <c r="Q2889">
        <v>-19</v>
      </c>
      <c r="R2889" t="s">
        <v>21</v>
      </c>
      <c r="S2889" t="s">
        <v>21</v>
      </c>
    </row>
    <row r="2890" spans="1:19" hidden="1" x14ac:dyDescent="0.25">
      <c r="A2890">
        <v>21400131</v>
      </c>
      <c r="B2890" t="s">
        <v>26</v>
      </c>
      <c r="C2890" t="s">
        <v>19</v>
      </c>
      <c r="D2890">
        <v>7</v>
      </c>
      <c r="E2890">
        <v>7</v>
      </c>
      <c r="F2890">
        <v>0</v>
      </c>
      <c r="G2890">
        <v>1</v>
      </c>
      <c r="H2890" s="1">
        <v>5.3587962962962964E-3</v>
      </c>
      <c r="I2890">
        <v>2014</v>
      </c>
      <c r="J2890" t="s">
        <v>20</v>
      </c>
      <c r="K2890" s="2" t="str">
        <f>HYPERLINK("https://www.nba.com/stats/events?CFID=&amp;CFPARAMS=&amp;GameEventID=28&amp;GameID=0021400131&amp;Season=2014-15&amp;flag=1&amp;title=Leonard%2024'%203PT%20Jump%20Shot%20(3%20PTS)%20(Duncan%201%20AST)", "Leonard 24' 3PT Jump Shot (3 PTS) (Duncan 1 AST)")</f>
        <v>Leonard 24' 3PT Jump Shot (3 PTS) (Duncan 1 AST)</v>
      </c>
      <c r="L2890" s="2" t="str">
        <f>HYPERLINK("https://www.nba.com/game/...-vs-...-0021400131/play-by-play?watchFullGame=true", "SAS vs LAL - Q1 07:43.00")</f>
        <v>SAS vs LAL - Q1 07:43.00</v>
      </c>
      <c r="M2890">
        <v>24</v>
      </c>
      <c r="N2890">
        <v>-125</v>
      </c>
      <c r="O2890">
        <v>209</v>
      </c>
      <c r="P2890">
        <v>-125</v>
      </c>
      <c r="Q2890">
        <v>209</v>
      </c>
      <c r="R2890" t="s">
        <v>21</v>
      </c>
      <c r="S2890" t="s">
        <v>21</v>
      </c>
    </row>
    <row r="2891" spans="1:19" hidden="1" x14ac:dyDescent="0.25">
      <c r="A2891">
        <v>21600588</v>
      </c>
      <c r="B2891" t="s">
        <v>26</v>
      </c>
      <c r="C2891" t="s">
        <v>19</v>
      </c>
      <c r="D2891">
        <v>15</v>
      </c>
      <c r="E2891">
        <v>9</v>
      </c>
      <c r="F2891">
        <v>6</v>
      </c>
      <c r="G2891">
        <v>1</v>
      </c>
      <c r="H2891" s="1">
        <v>5.37037037037037E-3</v>
      </c>
      <c r="I2891">
        <v>2016</v>
      </c>
      <c r="J2891" t="s">
        <v>20</v>
      </c>
      <c r="K2891" s="2" t="str">
        <f>HYPERLINK("https://www.nba.com/stats/events?CFID=&amp;CFPARAMS=&amp;GameEventID=41&amp;GameID=0021600588&amp;Season=2016-17&amp;flag=1&amp;title=Leonard%2024'%203PT%20Jump%20Shot%20(5%20PTS)%20(Green%201%20AST)", "Leonard 24' 3PT Jump Shot (5 PTS) (Green 1 AST)")</f>
        <v>Leonard 24' 3PT Jump Shot (5 PTS) (Green 1 AST)</v>
      </c>
      <c r="L2891" s="2" t="str">
        <f>HYPERLINK("https://www.nba.com/game/...-vs-...-0021600588/play-by-play?watchFullGame=true", "SAS vs LAL - Q1 07:44.00")</f>
        <v>SAS vs LAL - Q1 07:44.00</v>
      </c>
      <c r="M2891">
        <v>24</v>
      </c>
      <c r="N2891">
        <v>60</v>
      </c>
      <c r="O2891">
        <v>237</v>
      </c>
      <c r="P2891">
        <v>60</v>
      </c>
      <c r="Q2891">
        <v>237</v>
      </c>
      <c r="R2891" t="s">
        <v>21</v>
      </c>
      <c r="S2891" t="s">
        <v>21</v>
      </c>
    </row>
    <row r="2892" spans="1:19" hidden="1" x14ac:dyDescent="0.25">
      <c r="A2892">
        <v>41800211</v>
      </c>
      <c r="B2892" t="s">
        <v>26</v>
      </c>
      <c r="C2892" t="s">
        <v>19</v>
      </c>
      <c r="D2892">
        <v>101</v>
      </c>
      <c r="E2892">
        <v>85</v>
      </c>
      <c r="F2892">
        <v>16</v>
      </c>
      <c r="G2892">
        <v>4</v>
      </c>
      <c r="H2892" s="1">
        <v>5.3935185185185188E-3</v>
      </c>
      <c r="I2892" t="s">
        <v>60</v>
      </c>
      <c r="J2892" t="s">
        <v>48</v>
      </c>
      <c r="K2892" s="2" t="str">
        <f>HYPERLINK("https://www.nba.com/stats/events?CFID=&amp;CFPARAMS=&amp;GameEventID=531&amp;GameID=0041800211&amp;Season=2018-19&amp;flag=1&amp;title=Leonard%2024'%203PT%20Jump%20Shot%20(39%20PTS)%20(Powell%202%20AST)", "Leonard 24' 3PT Jump Shot (39 PTS) (Powell 2 AST)")</f>
        <v>Leonard 24' 3PT Jump Shot (39 PTS) (Powell 2 AST)</v>
      </c>
      <c r="L2892" s="2" t="str">
        <f>HYPERLINK("https://www.nba.com/game/...-vs-...-0041800211/play-by-play?watchFullGame=true", "TOR vs PHI - Q4 07:46.00")</f>
        <v>TOR vs PHI - Q4 07:46.00</v>
      </c>
      <c r="M2892">
        <v>24</v>
      </c>
      <c r="N2892">
        <v>-242</v>
      </c>
      <c r="O2892">
        <v>-5</v>
      </c>
      <c r="P2892">
        <v>-242</v>
      </c>
      <c r="Q2892">
        <v>-5</v>
      </c>
      <c r="R2892" t="s">
        <v>21</v>
      </c>
      <c r="S2892" t="s">
        <v>21</v>
      </c>
    </row>
    <row r="2893" spans="1:19" hidden="1" x14ac:dyDescent="0.25">
      <c r="A2893">
        <v>21601161</v>
      </c>
      <c r="B2893" t="s">
        <v>26</v>
      </c>
      <c r="C2893" t="s">
        <v>19</v>
      </c>
      <c r="D2893">
        <v>71</v>
      </c>
      <c r="E2893">
        <v>60</v>
      </c>
      <c r="F2893">
        <v>11</v>
      </c>
      <c r="G2893">
        <v>4</v>
      </c>
      <c r="H2893" s="1">
        <v>5.4398148148148149E-3</v>
      </c>
      <c r="I2893">
        <v>2016</v>
      </c>
      <c r="J2893" t="s">
        <v>20</v>
      </c>
      <c r="K2893" s="2" t="str">
        <f>HYPERLINK("https://www.nba.com/stats/events?CFID=&amp;CFPARAMS=&amp;GameEventID=383&amp;GameID=0021601161&amp;Season=2016-17&amp;flag=1&amp;title=Leonard%2024'%203PT%20Jump%20Shot%20(20%20PTS)%20(Parker%206%20AST)", "Leonard 24' 3PT Jump Shot (20 PTS) (Parker 6 AST)")</f>
        <v>Leonard 24' 3PT Jump Shot (20 PTS) (Parker 6 AST)</v>
      </c>
      <c r="L2893" s="2" t="str">
        <f>HYPERLINK("https://www.nba.com/game/...-vs-...-0021601161/play-by-play?watchFullGame=true", "SAS vs MEM - Q4 07:50.00")</f>
        <v>SAS vs MEM - Q4 07:50.00</v>
      </c>
      <c r="M2893">
        <v>24</v>
      </c>
      <c r="N2893">
        <v>150</v>
      </c>
      <c r="O2893">
        <v>188</v>
      </c>
      <c r="P2893">
        <v>150</v>
      </c>
      <c r="Q2893">
        <v>188</v>
      </c>
      <c r="R2893" t="s">
        <v>21</v>
      </c>
      <c r="S2893" t="s">
        <v>21</v>
      </c>
    </row>
    <row r="2894" spans="1:19" hidden="1" x14ac:dyDescent="0.25">
      <c r="A2894">
        <v>21600657</v>
      </c>
      <c r="B2894" t="s">
        <v>26</v>
      </c>
      <c r="C2894" t="s">
        <v>19</v>
      </c>
      <c r="D2894">
        <v>70</v>
      </c>
      <c r="E2894">
        <v>67</v>
      </c>
      <c r="F2894">
        <v>3</v>
      </c>
      <c r="G2894">
        <v>3</v>
      </c>
      <c r="H2894" s="1">
        <v>5.4861111111111109E-3</v>
      </c>
      <c r="I2894">
        <v>2016</v>
      </c>
      <c r="J2894" t="s">
        <v>20</v>
      </c>
      <c r="K2894" s="2" t="str">
        <f>HYPERLINK("https://www.nba.com/stats/events?CFID=&amp;CFPARAMS=&amp;GameEventID=270&amp;GameID=0021600657&amp;Season=2016-17&amp;flag=1&amp;title=Leonard%2024'%203PT%20Jump%20Shot%20(21%20PTS)%20(Murray%204%20AST)", "Leonard 24' 3PT Jump Shot (21 PTS) (Murray 4 AST)")</f>
        <v>Leonard 24' 3PT Jump Shot (21 PTS) (Murray 4 AST)</v>
      </c>
      <c r="L2894" s="2" t="str">
        <f>HYPERLINK("https://www.nba.com/game/...-vs-...-0021600657/play-by-play?watchFullGame=true", "SAS vs CLE - Q3 07:54.00")</f>
        <v>SAS vs CLE - Q3 07:54.00</v>
      </c>
      <c r="M2894">
        <v>24</v>
      </c>
      <c r="N2894">
        <v>207</v>
      </c>
      <c r="O2894">
        <v>131</v>
      </c>
      <c r="P2894">
        <v>207</v>
      </c>
      <c r="Q2894">
        <v>131</v>
      </c>
      <c r="R2894" t="s">
        <v>21</v>
      </c>
      <c r="S2894" t="s">
        <v>21</v>
      </c>
    </row>
    <row r="2895" spans="1:19" hidden="1" x14ac:dyDescent="0.25">
      <c r="A2895">
        <v>21600925</v>
      </c>
      <c r="B2895" t="s">
        <v>26</v>
      </c>
      <c r="C2895" t="s">
        <v>19</v>
      </c>
      <c r="D2895">
        <v>73</v>
      </c>
      <c r="E2895">
        <v>74</v>
      </c>
      <c r="F2895">
        <v>1</v>
      </c>
      <c r="G2895">
        <v>4</v>
      </c>
      <c r="H2895" s="1">
        <v>5.5439814814814813E-3</v>
      </c>
      <c r="I2895">
        <v>2016</v>
      </c>
      <c r="J2895" t="s">
        <v>20</v>
      </c>
      <c r="K2895" s="2" t="str">
        <f>HYPERLINK("https://www.nba.com/stats/events?CFID=&amp;CFPARAMS=&amp;GameEventID=435&amp;GameID=0021600925&amp;Season=2016-17&amp;flag=1&amp;title=Leonard%2024'%203PT%20Jump%20Shot%20(21%20PTS)%20(Murray%201%20AST)", "Leonard 24' 3PT Jump Shot (21 PTS) (Murray 1 AST)")</f>
        <v>Leonard 24' 3PT Jump Shot (21 PTS) (Murray 1 AST)</v>
      </c>
      <c r="L2895" s="2" t="str">
        <f>HYPERLINK("https://www.nba.com/game/...-vs-...-0021600925/play-by-play?watchFullGame=true", "SAS vs MIN - Q4 07:59.00")</f>
        <v>SAS vs MIN - Q4 07:59.00</v>
      </c>
      <c r="M2895">
        <v>24</v>
      </c>
      <c r="N2895">
        <v>191</v>
      </c>
      <c r="O2895">
        <v>146</v>
      </c>
      <c r="P2895">
        <v>191</v>
      </c>
      <c r="Q2895">
        <v>146</v>
      </c>
      <c r="R2895" t="s">
        <v>21</v>
      </c>
      <c r="S2895" t="s">
        <v>21</v>
      </c>
    </row>
    <row r="2896" spans="1:19" hidden="1" x14ac:dyDescent="0.25">
      <c r="A2896">
        <v>21600458</v>
      </c>
      <c r="B2896" t="s">
        <v>26</v>
      </c>
      <c r="C2896" t="s">
        <v>19</v>
      </c>
      <c r="D2896">
        <v>14</v>
      </c>
      <c r="E2896">
        <v>2</v>
      </c>
      <c r="F2896">
        <v>12</v>
      </c>
      <c r="G2896">
        <v>1</v>
      </c>
      <c r="H2896" s="1">
        <v>5.6597222222222222E-3</v>
      </c>
      <c r="I2896">
        <v>2016</v>
      </c>
      <c r="J2896" t="s">
        <v>20</v>
      </c>
      <c r="K2896" s="2" t="str">
        <f>HYPERLINK("https://www.nba.com/stats/events?CFID=&amp;CFPARAMS=&amp;GameEventID=25&amp;GameID=0021600458&amp;Season=2016-17&amp;flag=1&amp;title=Leonard%2024'%203PT%20Jump%20Shot%20(6%20PTS)%20(Parker%205%20AST)", "Leonard 24' 3PT Jump Shot (6 PTS) (Parker 5 AST)")</f>
        <v>Leonard 24' 3PT Jump Shot (6 PTS) (Parker 5 AST)</v>
      </c>
      <c r="L2896" s="2" t="str">
        <f>HYPERLINK("https://www.nba.com/game/...-vs-...-0021600458/play-by-play?watchFullGame=true", "SAS vs CHI - Q1 08:09.00")</f>
        <v>SAS vs CHI - Q1 08:09.00</v>
      </c>
      <c r="M2896">
        <v>24</v>
      </c>
      <c r="N2896">
        <v>230</v>
      </c>
      <c r="O2896">
        <v>51</v>
      </c>
      <c r="P2896">
        <v>230</v>
      </c>
      <c r="Q2896">
        <v>51</v>
      </c>
      <c r="R2896" t="s">
        <v>21</v>
      </c>
      <c r="S2896" t="s">
        <v>21</v>
      </c>
    </row>
    <row r="2897" spans="1:19" hidden="1" x14ac:dyDescent="0.25">
      <c r="A2897">
        <v>21401010</v>
      </c>
      <c r="B2897" t="s">
        <v>26</v>
      </c>
      <c r="C2897" t="s">
        <v>19</v>
      </c>
      <c r="D2897">
        <v>7</v>
      </c>
      <c r="E2897">
        <v>8</v>
      </c>
      <c r="F2897">
        <v>1</v>
      </c>
      <c r="G2897">
        <v>1</v>
      </c>
      <c r="H2897" s="1">
        <v>5.6944444444444447E-3</v>
      </c>
      <c r="I2897">
        <v>2014</v>
      </c>
      <c r="J2897" t="s">
        <v>20</v>
      </c>
      <c r="K2897" s="2" t="str">
        <f>HYPERLINK("https://www.nba.com/stats/events?CFID=&amp;CFPARAMS=&amp;GameEventID=45&amp;GameID=0021401010&amp;Season=2014-15&amp;flag=1&amp;title=Leonard%2024'%203PT%20Jump%20Shot%20(5%20PTS)%20(Duncan%201%20AST)", "Leonard 24' 3PT Jump Shot (5 PTS) (Duncan 1 AST)")</f>
        <v>Leonard 24' 3PT Jump Shot (5 PTS) (Duncan 1 AST)</v>
      </c>
      <c r="L2897" s="2" t="str">
        <f>HYPERLINK("https://www.nba.com/game/...-vs-...-0021401010/play-by-play?watchFullGame=true", "SAS vs MIL - Q1 08:12.00")</f>
        <v>SAS vs MIL - Q1 08:12.00</v>
      </c>
      <c r="M2897">
        <v>24</v>
      </c>
      <c r="N2897">
        <v>-237</v>
      </c>
      <c r="O2897">
        <v>-3</v>
      </c>
      <c r="P2897">
        <v>-237</v>
      </c>
      <c r="Q2897">
        <v>-3</v>
      </c>
      <c r="R2897" t="s">
        <v>21</v>
      </c>
      <c r="S2897" t="s">
        <v>21</v>
      </c>
    </row>
    <row r="2898" spans="1:19" hidden="1" x14ac:dyDescent="0.25">
      <c r="A2898">
        <v>21500713</v>
      </c>
      <c r="B2898" t="s">
        <v>26</v>
      </c>
      <c r="C2898" t="s">
        <v>19</v>
      </c>
      <c r="D2898">
        <v>9</v>
      </c>
      <c r="E2898">
        <v>13</v>
      </c>
      <c r="F2898">
        <v>4</v>
      </c>
      <c r="G2898">
        <v>1</v>
      </c>
      <c r="H2898" s="1">
        <v>5.7175925925925927E-3</v>
      </c>
      <c r="I2898">
        <v>2015</v>
      </c>
      <c r="J2898" t="s">
        <v>20</v>
      </c>
      <c r="K2898" s="2" t="str">
        <f>HYPERLINK("https://www.nba.com/stats/events?CFID=&amp;CFPARAMS=&amp;GameEventID=38&amp;GameID=0021500713&amp;Season=2015-16&amp;flag=1&amp;title=Leonard%2024'%203PT%20Jump%20Shot%20(5%20PTS)%20(Parker%203%20AST)", "Leonard 24' 3PT Jump Shot (5 PTS) (Parker 3 AST)")</f>
        <v>Leonard 24' 3PT Jump Shot (5 PTS) (Parker 3 AST)</v>
      </c>
      <c r="L2898" s="2" t="str">
        <f>HYPERLINK("https://www.nba.com/game/...-vs-...-0021500713/play-by-play?watchFullGame=true", "SAS vs CLE - Q1 08:14.00")</f>
        <v>SAS vs CLE - Q1 08:14.00</v>
      </c>
      <c r="M2898">
        <v>24</v>
      </c>
      <c r="N2898">
        <v>-241</v>
      </c>
      <c r="O2898">
        <v>2</v>
      </c>
      <c r="P2898">
        <v>-241</v>
      </c>
      <c r="Q2898">
        <v>2</v>
      </c>
      <c r="R2898" t="s">
        <v>21</v>
      </c>
      <c r="S2898" t="s">
        <v>21</v>
      </c>
    </row>
    <row r="2899" spans="1:19" hidden="1" x14ac:dyDescent="0.25">
      <c r="A2899">
        <v>41500154</v>
      </c>
      <c r="B2899" t="s">
        <v>26</v>
      </c>
      <c r="C2899" t="s">
        <v>19</v>
      </c>
      <c r="D2899">
        <v>57</v>
      </c>
      <c r="E2899">
        <v>51</v>
      </c>
      <c r="F2899">
        <v>6</v>
      </c>
      <c r="G2899">
        <v>3</v>
      </c>
      <c r="H2899" s="1">
        <v>5.7175925925925927E-3</v>
      </c>
      <c r="I2899" t="s">
        <v>57</v>
      </c>
      <c r="J2899" t="s">
        <v>20</v>
      </c>
      <c r="K2899" s="2" t="str">
        <f>HYPERLINK("https://www.nba.com/stats/events?CFID=&amp;CFPARAMS=&amp;GameEventID=323&amp;GameID=0041500154&amp;Season=2015-16&amp;flag=1&amp;title=Leonard%2024'%203PT%20Jump%20Shot%20(17%20PTS)%20(Parker%202%20AST)", "Leonard 24' 3PT Jump Shot (17 PTS) (Parker 2 AST)")</f>
        <v>Leonard 24' 3PT Jump Shot (17 PTS) (Parker 2 AST)</v>
      </c>
      <c r="L2899" s="2" t="str">
        <f>HYPERLINK("https://www.nba.com/game/...-vs-...-0041500154/play-by-play?watchFullGame=true", "SAS vs MEM - Q3 08:14.00")</f>
        <v>SAS vs MEM - Q3 08:14.00</v>
      </c>
      <c r="M2899">
        <v>24</v>
      </c>
      <c r="N2899">
        <v>236</v>
      </c>
      <c r="O2899">
        <v>-1</v>
      </c>
      <c r="P2899">
        <v>236</v>
      </c>
      <c r="Q2899">
        <v>-1</v>
      </c>
      <c r="R2899" t="s">
        <v>21</v>
      </c>
      <c r="S2899" t="s">
        <v>21</v>
      </c>
    </row>
    <row r="2900" spans="1:19" hidden="1" x14ac:dyDescent="0.25">
      <c r="A2900">
        <v>41600235</v>
      </c>
      <c r="B2900" t="s">
        <v>26</v>
      </c>
      <c r="C2900" t="s">
        <v>36</v>
      </c>
      <c r="D2900">
        <v>15</v>
      </c>
      <c r="E2900">
        <v>9</v>
      </c>
      <c r="F2900">
        <v>6</v>
      </c>
      <c r="G2900">
        <v>1</v>
      </c>
      <c r="H2900" s="1">
        <v>5.7523148148148151E-3</v>
      </c>
      <c r="I2900" t="s">
        <v>58</v>
      </c>
      <c r="J2900" t="s">
        <v>20</v>
      </c>
      <c r="K2900" s="2" t="str">
        <f>HYPERLINK("https://www.nba.com/stats/events?CFID=&amp;CFPARAMS=&amp;GameEventID=28&amp;GameID=0041600235&amp;Season=2016-17&amp;flag=1&amp;title=Leonard%2024'%203PT%20Pullup%20Jump%20Shot%20(3%20PTS)%20(Green%201%20AST)", "Leonard 24' 3PT Pullup Jump Shot (3 PTS) (Green 1 AST)")</f>
        <v>Leonard 24' 3PT Pullup Jump Shot (3 PTS) (Green 1 AST)</v>
      </c>
      <c r="L2900" s="2" t="str">
        <f>HYPERLINK("https://www.nba.com/game/...-vs-...-0041600235/play-by-play?watchFullGame=true", "SAS vs HOU - Q1 08:17.00")</f>
        <v>SAS vs HOU - Q1 08:17.00</v>
      </c>
      <c r="M2900">
        <v>24</v>
      </c>
      <c r="N2900">
        <v>-166</v>
      </c>
      <c r="O2900">
        <v>174</v>
      </c>
      <c r="P2900">
        <v>-166</v>
      </c>
      <c r="Q2900">
        <v>174</v>
      </c>
      <c r="R2900" t="s">
        <v>21</v>
      </c>
      <c r="S2900" t="s">
        <v>21</v>
      </c>
    </row>
    <row r="2901" spans="1:19" hidden="1" x14ac:dyDescent="0.25">
      <c r="A2901">
        <v>21500854</v>
      </c>
      <c r="B2901" t="s">
        <v>26</v>
      </c>
      <c r="C2901" t="s">
        <v>19</v>
      </c>
      <c r="D2901">
        <v>89</v>
      </c>
      <c r="E2901">
        <v>72</v>
      </c>
      <c r="F2901">
        <v>17</v>
      </c>
      <c r="G2901">
        <v>4</v>
      </c>
      <c r="H2901" s="1">
        <v>5.7754629629629631E-3</v>
      </c>
      <c r="I2901">
        <v>2015</v>
      </c>
      <c r="J2901" t="s">
        <v>20</v>
      </c>
      <c r="K2901" s="2" t="str">
        <f>HYPERLINK("https://www.nba.com/stats/events?CFID=&amp;CFPARAMS=&amp;GameEventID=408&amp;GameID=0021500854&amp;Season=2015-16&amp;flag=1&amp;title=Leonard%2024'%203PT%20Jump%20Shot%20(12%20PTS)%20(West%201%20AST)", "Leonard 24' 3PT Jump Shot (12 PTS) (West 1 AST)")</f>
        <v>Leonard 24' 3PT Jump Shot (12 PTS) (West 1 AST)</v>
      </c>
      <c r="L2901" s="2" t="str">
        <f>HYPERLINK("https://www.nba.com/game/...-vs-...-0021500854/play-by-play?watchFullGame=true", "SAS vs SAC - Q4 08:19.00")</f>
        <v>SAS vs SAC - Q4 08:19.00</v>
      </c>
      <c r="M2901">
        <v>24</v>
      </c>
      <c r="N2901">
        <v>-243</v>
      </c>
      <c r="O2901">
        <v>23</v>
      </c>
      <c r="P2901">
        <v>-243</v>
      </c>
      <c r="Q2901">
        <v>23</v>
      </c>
      <c r="R2901" t="s">
        <v>21</v>
      </c>
      <c r="S2901" t="s">
        <v>21</v>
      </c>
    </row>
    <row r="2902" spans="1:19" hidden="1" x14ac:dyDescent="0.25">
      <c r="A2902">
        <v>21500566</v>
      </c>
      <c r="B2902" t="s">
        <v>26</v>
      </c>
      <c r="C2902" t="s">
        <v>19</v>
      </c>
      <c r="D2902">
        <v>87</v>
      </c>
      <c r="E2902">
        <v>64</v>
      </c>
      <c r="F2902">
        <v>23</v>
      </c>
      <c r="G2902">
        <v>4</v>
      </c>
      <c r="H2902" s="1">
        <v>5.8333333333333336E-3</v>
      </c>
      <c r="I2902">
        <v>2015</v>
      </c>
      <c r="J2902" t="s">
        <v>20</v>
      </c>
      <c r="K2902" s="2" t="str">
        <f>HYPERLINK("https://www.nba.com/stats/events?CFID=&amp;CFPARAMS=&amp;GameEventID=380&amp;GameID=0021500566&amp;Season=2015-16&amp;flag=1&amp;title=Leonard%2024'%203PT%20Jump%20Shot%20(17%20PTS)%20(Aldridge%202%20AST)", "Leonard 24' 3PT Jump Shot (17 PTS) (Aldridge 2 AST)")</f>
        <v>Leonard 24' 3PT Jump Shot (17 PTS) (Aldridge 2 AST)</v>
      </c>
      <c r="L2902" s="2" t="str">
        <f>HYPERLINK("https://www.nba.com/game/...-vs-...-0021500566/play-by-play?watchFullGame=true", "SAS vs BKN - Q4 08:24.00")</f>
        <v>SAS vs BKN - Q4 08:24.00</v>
      </c>
      <c r="M2902">
        <v>24</v>
      </c>
      <c r="N2902">
        <v>235</v>
      </c>
      <c r="O2902">
        <v>-24</v>
      </c>
      <c r="P2902">
        <v>235</v>
      </c>
      <c r="Q2902">
        <v>-24</v>
      </c>
      <c r="R2902" t="s">
        <v>21</v>
      </c>
      <c r="S2902" t="s">
        <v>21</v>
      </c>
    </row>
    <row r="2903" spans="1:19" hidden="1" x14ac:dyDescent="0.25">
      <c r="A2903">
        <v>21401134</v>
      </c>
      <c r="B2903" t="s">
        <v>26</v>
      </c>
      <c r="C2903" t="s">
        <v>19</v>
      </c>
      <c r="D2903">
        <v>80</v>
      </c>
      <c r="E2903">
        <v>54</v>
      </c>
      <c r="F2903">
        <v>26</v>
      </c>
      <c r="G2903">
        <v>3</v>
      </c>
      <c r="H2903" s="1">
        <v>5.8449074074074072E-3</v>
      </c>
      <c r="I2903">
        <v>2014</v>
      </c>
      <c r="J2903" t="s">
        <v>20</v>
      </c>
      <c r="K2903" s="2" t="str">
        <f>HYPERLINK("https://www.nba.com/stats/events?CFID=&amp;CFPARAMS=&amp;GameEventID=261&amp;GameID=0021401134&amp;Season=2014-15&amp;flag=1&amp;title=Leonard%2024'%203PT%20Jump%20Shot%20(18%20PTS)%20(Parker%208%20AST)", "Leonard 24' 3PT Jump Shot (18 PTS) (Parker 8 AST)")</f>
        <v>Leonard 24' 3PT Jump Shot (18 PTS) (Parker 8 AST)</v>
      </c>
      <c r="L2903" s="2" t="str">
        <f>HYPERLINK("https://www.nba.com/game/...-vs-...-0021401134/play-by-play?watchFullGame=true", "SAS vs DEN - Q3 08:25.00")</f>
        <v>SAS vs DEN - Q3 08:25.00</v>
      </c>
      <c r="M2903">
        <v>24</v>
      </c>
      <c r="N2903">
        <v>-237</v>
      </c>
      <c r="O2903">
        <v>-10</v>
      </c>
      <c r="P2903">
        <v>-237</v>
      </c>
      <c r="Q2903">
        <v>-10</v>
      </c>
      <c r="R2903" t="s">
        <v>21</v>
      </c>
      <c r="S2903" t="s">
        <v>21</v>
      </c>
    </row>
    <row r="2904" spans="1:19" hidden="1" x14ac:dyDescent="0.25">
      <c r="A2904">
        <v>21800602</v>
      </c>
      <c r="B2904" t="s">
        <v>26</v>
      </c>
      <c r="C2904" t="s">
        <v>30</v>
      </c>
      <c r="D2904">
        <v>64</v>
      </c>
      <c r="E2904">
        <v>66</v>
      </c>
      <c r="F2904">
        <v>2</v>
      </c>
      <c r="G2904">
        <v>3</v>
      </c>
      <c r="H2904" s="1">
        <v>5.8912037037037041E-3</v>
      </c>
      <c r="I2904">
        <v>2018</v>
      </c>
      <c r="J2904" t="s">
        <v>48</v>
      </c>
      <c r="K2904" s="2" t="str">
        <f>HYPERLINK("https://www.nba.com/stats/events?CFID=&amp;CFPARAMS=&amp;GameEventID=400&amp;GameID=0021800602&amp;Season=2018-19&amp;flag=1&amp;title=Leonard%2024'%203PT%20Running%20Jump%20Shot%20(18%20PTS)%20(Lowry%203%20AST)", "Leonard 24' 3PT Running Jump Shot (18 PTS) (Lowry 3 AST)")</f>
        <v>Leonard 24' 3PT Running Jump Shot (18 PTS) (Lowry 3 AST)</v>
      </c>
      <c r="L2904" s="2" t="str">
        <f>HYPERLINK("https://www.nba.com/game/...-vs-...-0021800602/play-by-play?watchFullGame=true", "TOR vs ATL - Q3 08:29.00")</f>
        <v>TOR vs ATL - Q3 08:29.00</v>
      </c>
      <c r="M2904">
        <v>24</v>
      </c>
      <c r="N2904">
        <v>84</v>
      </c>
      <c r="O2904">
        <v>230</v>
      </c>
      <c r="P2904">
        <v>84</v>
      </c>
      <c r="Q2904">
        <v>230</v>
      </c>
      <c r="R2904" t="s">
        <v>21</v>
      </c>
      <c r="S2904" t="s">
        <v>21</v>
      </c>
    </row>
    <row r="2905" spans="1:19" hidden="1" x14ac:dyDescent="0.25">
      <c r="A2905">
        <v>21801001</v>
      </c>
      <c r="B2905" t="s">
        <v>26</v>
      </c>
      <c r="C2905" t="s">
        <v>19</v>
      </c>
      <c r="D2905">
        <v>61</v>
      </c>
      <c r="E2905">
        <v>69</v>
      </c>
      <c r="F2905">
        <v>8</v>
      </c>
      <c r="G2905">
        <v>3</v>
      </c>
      <c r="H2905" s="1">
        <v>5.9722222222222225E-3</v>
      </c>
      <c r="I2905">
        <v>2018</v>
      </c>
      <c r="J2905" t="s">
        <v>48</v>
      </c>
      <c r="K2905" s="2" t="str">
        <f>HYPERLINK("https://www.nba.com/stats/events?CFID=&amp;CFPARAMS=&amp;GameEventID=389&amp;GameID=0021801001&amp;Season=2018-19&amp;flag=1&amp;title=Leonard%2024'%203PT%20Jump%20Shot%20(19%20PTS)%20(Gasol%203%20AST)", "Leonard 24' 3PT Jump Shot (19 PTS) (Gasol 3 AST)")</f>
        <v>Leonard 24' 3PT Jump Shot (19 PTS) (Gasol 3 AST)</v>
      </c>
      <c r="L2905" s="2" t="str">
        <f>HYPERLINK("https://www.nba.com/game/...-vs-...-0021801001/play-by-play?watchFullGame=true", "TOR vs CLE - Q3 08:36.00")</f>
        <v>TOR vs CLE - Q3 08:36.00</v>
      </c>
      <c r="M2905">
        <v>24</v>
      </c>
      <c r="N2905">
        <v>-236</v>
      </c>
      <c r="O2905">
        <v>18</v>
      </c>
      <c r="P2905">
        <v>-236</v>
      </c>
      <c r="Q2905">
        <v>18</v>
      </c>
      <c r="R2905" t="s">
        <v>21</v>
      </c>
      <c r="S2905" t="s">
        <v>21</v>
      </c>
    </row>
    <row r="2906" spans="1:19" hidden="1" x14ac:dyDescent="0.25">
      <c r="A2906">
        <v>21400921</v>
      </c>
      <c r="B2906" t="s">
        <v>26</v>
      </c>
      <c r="C2906" t="s">
        <v>19</v>
      </c>
      <c r="D2906">
        <v>12</v>
      </c>
      <c r="E2906">
        <v>9</v>
      </c>
      <c r="F2906">
        <v>3</v>
      </c>
      <c r="G2906">
        <v>1</v>
      </c>
      <c r="H2906" s="1">
        <v>6.053240740740741E-3</v>
      </c>
      <c r="I2906">
        <v>2014</v>
      </c>
      <c r="J2906" t="s">
        <v>20</v>
      </c>
      <c r="K2906" s="2" t="str">
        <f>HYPERLINK("https://www.nba.com/stats/events?CFID=&amp;CFPARAMS=&amp;GameEventID=23&amp;GameID=0021400921&amp;Season=2014-15&amp;flag=1&amp;title=Leonard%2024'%203PT%20Jump%20Shot%20(3%20PTS)%20(Splitter%201%20AST)", "Leonard 24' 3PT Jump Shot (3 PTS) (Splitter 1 AST)")</f>
        <v>Leonard 24' 3PT Jump Shot (3 PTS) (Splitter 1 AST)</v>
      </c>
      <c r="L2906" s="2" t="str">
        <f>HYPERLINK("https://www.nba.com/game/...-vs-...-0021400921/play-by-play?watchFullGame=true", "SAS vs DEN - Q1 08:43.00")</f>
        <v>SAS vs DEN - Q1 08:43.00</v>
      </c>
      <c r="M2906">
        <v>24</v>
      </c>
      <c r="N2906">
        <v>241</v>
      </c>
      <c r="O2906">
        <v>4</v>
      </c>
      <c r="P2906">
        <v>241</v>
      </c>
      <c r="Q2906">
        <v>4</v>
      </c>
      <c r="R2906" t="s">
        <v>21</v>
      </c>
      <c r="S2906" t="s">
        <v>21</v>
      </c>
    </row>
    <row r="2907" spans="1:19" hidden="1" x14ac:dyDescent="0.25">
      <c r="A2907">
        <v>21801044</v>
      </c>
      <c r="B2907" t="s">
        <v>26</v>
      </c>
      <c r="C2907" t="s">
        <v>19</v>
      </c>
      <c r="D2907">
        <v>58</v>
      </c>
      <c r="E2907">
        <v>55</v>
      </c>
      <c r="F2907">
        <v>3</v>
      </c>
      <c r="G2907">
        <v>3</v>
      </c>
      <c r="H2907" s="1">
        <v>6.099537037037037E-3</v>
      </c>
      <c r="I2907">
        <v>2018</v>
      </c>
      <c r="J2907" t="s">
        <v>48</v>
      </c>
      <c r="K2907" s="2" t="str">
        <f>HYPERLINK("https://www.nba.com/stats/events?CFID=&amp;CFPARAMS=&amp;GameEventID=321&amp;GameID=0021801044&amp;Season=2018-19&amp;flag=1&amp;title=Leonard%2024'%203PT%20Jump%20Shot%20(22%20PTS)%20(Green%202%20AST)", "Leonard 24' 3PT Jump Shot (22 PTS) (Green 2 AST)")</f>
        <v>Leonard 24' 3PT Jump Shot (22 PTS) (Green 2 AST)</v>
      </c>
      <c r="L2907" s="2" t="str">
        <f>HYPERLINK("https://www.nba.com/game/...-vs-...-0021801044/play-by-play?watchFullGame=true", "TOR vs DET - Q3 08:47.00")</f>
        <v>TOR vs DET - Q3 08:47.00</v>
      </c>
      <c r="M2907">
        <v>24</v>
      </c>
      <c r="N2907">
        <v>241</v>
      </c>
      <c r="O2907">
        <v>37</v>
      </c>
      <c r="P2907">
        <v>241</v>
      </c>
      <c r="Q2907">
        <v>37</v>
      </c>
      <c r="R2907" t="s">
        <v>21</v>
      </c>
      <c r="S2907" t="s">
        <v>21</v>
      </c>
    </row>
    <row r="2908" spans="1:19" hidden="1" x14ac:dyDescent="0.25">
      <c r="A2908">
        <v>41800111</v>
      </c>
      <c r="B2908" t="s">
        <v>26</v>
      </c>
      <c r="C2908" t="s">
        <v>65</v>
      </c>
      <c r="D2908">
        <v>58</v>
      </c>
      <c r="E2908">
        <v>59</v>
      </c>
      <c r="F2908">
        <v>1</v>
      </c>
      <c r="G2908">
        <v>3</v>
      </c>
      <c r="H2908" s="1">
        <v>6.122685185185185E-3</v>
      </c>
      <c r="I2908" t="s">
        <v>60</v>
      </c>
      <c r="J2908" t="s">
        <v>48</v>
      </c>
      <c r="K2908" s="2" t="str">
        <f>HYPERLINK("https://www.nba.com/stats/events?CFID=&amp;CFPARAMS=&amp;GameEventID=338&amp;GameID=0041800111&amp;Season=2018-19&amp;flag=1&amp;title=Leonard%2024'%203PT%20Running%20Pull-Up%20Jump%20Shot%20(16%20PTS)", "Leonard 24' 3PT Running Pull-Up Jump Shot (16 PTS)")</f>
        <v>Leonard 24' 3PT Running Pull-Up Jump Shot (16 PTS)</v>
      </c>
      <c r="L2908" s="2" t="str">
        <f>HYPERLINK("https://www.nba.com/game/...-vs-...-0041800111/play-by-play?watchFullGame=true", "TOR vs ORL - Q3 08:49.00")</f>
        <v>TOR vs ORL - Q3 08:49.00</v>
      </c>
      <c r="M2908">
        <v>24</v>
      </c>
      <c r="N2908">
        <v>13</v>
      </c>
      <c r="O2908">
        <v>242</v>
      </c>
      <c r="P2908">
        <v>13</v>
      </c>
      <c r="Q2908">
        <v>242</v>
      </c>
      <c r="R2908" t="s">
        <v>21</v>
      </c>
      <c r="S2908" t="s">
        <v>21</v>
      </c>
    </row>
    <row r="2909" spans="1:19" hidden="1" x14ac:dyDescent="0.25">
      <c r="A2909">
        <v>41500236</v>
      </c>
      <c r="B2909" t="s">
        <v>26</v>
      </c>
      <c r="C2909" t="s">
        <v>19</v>
      </c>
      <c r="D2909">
        <v>73</v>
      </c>
      <c r="E2909">
        <v>94</v>
      </c>
      <c r="F2909">
        <v>21</v>
      </c>
      <c r="G2909">
        <v>4</v>
      </c>
      <c r="H2909" s="1">
        <v>6.1805555555555555E-3</v>
      </c>
      <c r="I2909" t="s">
        <v>57</v>
      </c>
      <c r="J2909" t="s">
        <v>20</v>
      </c>
      <c r="K2909" s="2" t="str">
        <f>HYPERLINK("https://www.nba.com/stats/events?CFID=&amp;CFPARAMS=&amp;GameEventID=421&amp;GameID=0041500236&amp;Season=2015-16&amp;flag=1&amp;title=Leonard%2024'%203PT%20Jump%20Shot%20(19%20PTS)%20(Ginobili%202%20AST)", "Leonard 24' 3PT Jump Shot (19 PTS) (Ginobili 2 AST)")</f>
        <v>Leonard 24' 3PT Jump Shot (19 PTS) (Ginobili 2 AST)</v>
      </c>
      <c r="L2909" s="2" t="str">
        <f>HYPERLINK("https://www.nba.com/game/...-vs-...-0041500236/play-by-play?watchFullGame=true", "SAS vs OKC - Q4 08:54.00")</f>
        <v>SAS vs OKC - Q4 08:54.00</v>
      </c>
      <c r="M2909">
        <v>24</v>
      </c>
      <c r="N2909">
        <v>1</v>
      </c>
      <c r="O2909">
        <v>242</v>
      </c>
      <c r="P2909">
        <v>1</v>
      </c>
      <c r="Q2909">
        <v>242</v>
      </c>
      <c r="R2909" t="s">
        <v>21</v>
      </c>
      <c r="S2909" t="s">
        <v>21</v>
      </c>
    </row>
    <row r="2910" spans="1:19" hidden="1" x14ac:dyDescent="0.25">
      <c r="A2910">
        <v>41200406</v>
      </c>
      <c r="B2910" t="s">
        <v>26</v>
      </c>
      <c r="C2910" t="s">
        <v>19</v>
      </c>
      <c r="D2910">
        <v>12</v>
      </c>
      <c r="E2910">
        <v>10</v>
      </c>
      <c r="F2910">
        <v>2</v>
      </c>
      <c r="G2910">
        <v>1</v>
      </c>
      <c r="H2910" s="1">
        <v>6.1921296296296299E-3</v>
      </c>
      <c r="I2910" t="s">
        <v>53</v>
      </c>
      <c r="J2910" t="s">
        <v>20</v>
      </c>
      <c r="K2910" s="2" t="str">
        <f>HYPERLINK("https://www.nba.com/stats/events?CFID=&amp;CFPARAMS=&amp;GameEventID=22&amp;GameID=0041200406&amp;Season=2012-13&amp;flag=1&amp;title=Leonard%2024'%203PT%20Jump%20Shot%20(6%20PTS)%20(Parker%202%20AST)", "Leonard 24' 3PT Jump Shot (6 PTS) (Parker 2 AST)")</f>
        <v>Leonard 24' 3PT Jump Shot (6 PTS) (Parker 2 AST)</v>
      </c>
      <c r="L2910" s="2" t="str">
        <f>HYPERLINK("https://www.nba.com/game/...-vs-...-0041200406/play-by-play?watchFullGame=true", "SAS vs MIA - Q1 08:55.00")</f>
        <v>SAS vs MIA - Q1 08:55.00</v>
      </c>
      <c r="M2910">
        <v>24</v>
      </c>
      <c r="N2910">
        <v>-201</v>
      </c>
      <c r="O2910">
        <v>140</v>
      </c>
      <c r="P2910">
        <v>-201</v>
      </c>
      <c r="Q2910">
        <v>140</v>
      </c>
      <c r="R2910" t="s">
        <v>21</v>
      </c>
      <c r="S2910" t="s">
        <v>21</v>
      </c>
    </row>
    <row r="2911" spans="1:19" x14ac:dyDescent="0.25">
      <c r="A2911">
        <v>21500689</v>
      </c>
      <c r="B2911" t="s">
        <v>26</v>
      </c>
      <c r="C2911" t="s">
        <v>19</v>
      </c>
      <c r="D2911">
        <v>16</v>
      </c>
      <c r="E2911">
        <v>8</v>
      </c>
      <c r="F2911">
        <v>8</v>
      </c>
      <c r="G2911">
        <v>1</v>
      </c>
      <c r="H2911" s="1">
        <v>6.2500000000000003E-3</v>
      </c>
      <c r="I2911">
        <v>2015</v>
      </c>
      <c r="J2911" t="s">
        <v>20</v>
      </c>
      <c r="K2911" s="2" t="str">
        <f>HYPERLINK("https://www.nba.com/stats/events?CFID=&amp;CFPARAMS=&amp;GameEventID=27&amp;GameID=0021500689&amp;Season=2015-16&amp;flag=1&amp;title=Leonard%2024'%203PT%20Jump%20Shot%20(6%20PTS)%20(Parker%202%20AST)", "Leonard 24' 3PT Jump Shot (6 PTS) (Parker 2 AST)")</f>
        <v>Leonard 24' 3PT Jump Shot (6 PTS) (Parker 2 AST)</v>
      </c>
      <c r="L2911" s="2" t="str">
        <f>HYPERLINK("https://www.nba.com/game/...-vs-...-0021500689/play-by-play?watchFullGame=true", "SAS vs HOU - Q1 09:00.00")</f>
        <v>SAS vs HOU - Q1 09:00.00</v>
      </c>
      <c r="M2911">
        <v>24</v>
      </c>
      <c r="N2911">
        <v>-237</v>
      </c>
      <c r="O2911">
        <v>-16</v>
      </c>
      <c r="P2911">
        <v>-237</v>
      </c>
      <c r="Q2911">
        <v>-16</v>
      </c>
      <c r="R2911" t="s">
        <v>21</v>
      </c>
      <c r="S2911" t="s">
        <v>21</v>
      </c>
    </row>
    <row r="2912" spans="1:19" x14ac:dyDescent="0.25">
      <c r="A2912">
        <v>21501063</v>
      </c>
      <c r="B2912" t="s">
        <v>26</v>
      </c>
      <c r="C2912" t="s">
        <v>19</v>
      </c>
      <c r="D2912">
        <v>7</v>
      </c>
      <c r="E2912">
        <v>2</v>
      </c>
      <c r="F2912">
        <v>5</v>
      </c>
      <c r="G2912">
        <v>1</v>
      </c>
      <c r="H2912" s="1">
        <v>6.3425925925925924E-3</v>
      </c>
      <c r="I2912">
        <v>2015</v>
      </c>
      <c r="J2912" t="s">
        <v>20</v>
      </c>
      <c r="K2912" s="2" t="str">
        <f>HYPERLINK("https://www.nba.com/stats/events?CFID=&amp;CFPARAMS=&amp;GameEventID=18&amp;GameID=0021501063&amp;Season=2015-16&amp;flag=1&amp;title=Leonard%2024'%203PT%20Jump%20Shot%20(5%20PTS)%20(Green%201%20AST)", "Leonard 24' 3PT Jump Shot (5 PTS) (Green 1 AST)")</f>
        <v>Leonard 24' 3PT Jump Shot (5 PTS) (Green 1 AST)</v>
      </c>
      <c r="L2912" s="2" t="str">
        <f>HYPERLINK("https://www.nba.com/game/...-vs-...-0021501063/play-by-play?watchFullGame=true", "SAS vs MIA - Q1 09:08.00")</f>
        <v>SAS vs MIA - Q1 09:08.00</v>
      </c>
      <c r="M2912">
        <v>24</v>
      </c>
      <c r="N2912">
        <v>-237</v>
      </c>
      <c r="O2912">
        <v>-19</v>
      </c>
      <c r="P2912">
        <v>-237</v>
      </c>
      <c r="Q2912">
        <v>-19</v>
      </c>
      <c r="R2912" t="s">
        <v>21</v>
      </c>
      <c r="S2912" t="s">
        <v>21</v>
      </c>
    </row>
    <row r="2913" spans="1:19" hidden="1" x14ac:dyDescent="0.25">
      <c r="A2913">
        <v>21301221</v>
      </c>
      <c r="B2913" t="s">
        <v>26</v>
      </c>
      <c r="C2913" t="s">
        <v>19</v>
      </c>
      <c r="D2913">
        <v>56</v>
      </c>
      <c r="E2913">
        <v>62</v>
      </c>
      <c r="F2913">
        <v>6</v>
      </c>
      <c r="G2913">
        <v>3</v>
      </c>
      <c r="H2913" s="1">
        <v>6.3425925925925924E-3</v>
      </c>
      <c r="I2913">
        <v>2013</v>
      </c>
      <c r="J2913" t="s">
        <v>20</v>
      </c>
      <c r="K2913" s="2" t="str">
        <f>HYPERLINK("https://www.nba.com/stats/events?CFID=&amp;CFPARAMS=&amp;GameEventID=276&amp;GameID=0021301221&amp;Season=2013-14&amp;flag=1&amp;title=Leonard%2024'%203PT%20Jump%20Shot%20(12%20PTS)%20(Ginobili%204%20AST)", "Leonard 24' 3PT Jump Shot (12 PTS) (Ginobili 4 AST)")</f>
        <v>Leonard 24' 3PT Jump Shot (12 PTS) (Ginobili 4 AST)</v>
      </c>
      <c r="L2913" s="2" t="str">
        <f>HYPERLINK("https://www.nba.com/game/...-vs-...-0021301221/play-by-play?watchFullGame=true", "SAS vs LAL - Q3 09:08.00")</f>
        <v>SAS vs LAL - Q3 09:08.00</v>
      </c>
      <c r="M2913">
        <v>24</v>
      </c>
      <c r="N2913">
        <v>130</v>
      </c>
      <c r="O2913">
        <v>203</v>
      </c>
      <c r="P2913">
        <v>130</v>
      </c>
      <c r="Q2913">
        <v>203</v>
      </c>
      <c r="R2913" t="s">
        <v>21</v>
      </c>
      <c r="S2913" t="s">
        <v>21</v>
      </c>
    </row>
    <row r="2914" spans="1:19" hidden="1" x14ac:dyDescent="0.25">
      <c r="A2914">
        <v>21500784</v>
      </c>
      <c r="B2914" t="s">
        <v>26</v>
      </c>
      <c r="C2914" t="s">
        <v>19</v>
      </c>
      <c r="D2914">
        <v>61</v>
      </c>
      <c r="E2914">
        <v>54</v>
      </c>
      <c r="F2914">
        <v>7</v>
      </c>
      <c r="G2914">
        <v>3</v>
      </c>
      <c r="H2914" s="1">
        <v>6.3425925925925924E-3</v>
      </c>
      <c r="I2914">
        <v>2015</v>
      </c>
      <c r="J2914" t="s">
        <v>20</v>
      </c>
      <c r="K2914" s="2" t="str">
        <f>HYPERLINK("https://www.nba.com/stats/events?CFID=&amp;CFPARAMS=&amp;GameEventID=267&amp;GameID=0021500784&amp;Season=2015-16&amp;flag=1&amp;title=Leonard%2024'%203PT%20Jump%20Shot%20(11%20PTS)%20(West%203%20AST)", "Leonard 24' 3PT Jump Shot (11 PTS) (West 3 AST)")</f>
        <v>Leonard 24' 3PT Jump Shot (11 PTS) (West 3 AST)</v>
      </c>
      <c r="L2914" s="2" t="str">
        <f>HYPERLINK("https://www.nba.com/game/...-vs-...-0021500784/play-by-play?watchFullGame=true", "SAS vs MIA - Q3 09:08.00")</f>
        <v>SAS vs MIA - Q3 09:08.00</v>
      </c>
      <c r="M2914">
        <v>24</v>
      </c>
      <c r="N2914">
        <v>150</v>
      </c>
      <c r="O2914">
        <v>190</v>
      </c>
      <c r="P2914">
        <v>150</v>
      </c>
      <c r="Q2914">
        <v>190</v>
      </c>
      <c r="R2914" t="s">
        <v>21</v>
      </c>
      <c r="S2914" t="s">
        <v>21</v>
      </c>
    </row>
    <row r="2915" spans="1:19" hidden="1" x14ac:dyDescent="0.25">
      <c r="A2915">
        <v>41200311</v>
      </c>
      <c r="B2915" t="s">
        <v>26</v>
      </c>
      <c r="C2915" t="s">
        <v>19</v>
      </c>
      <c r="D2915">
        <v>82</v>
      </c>
      <c r="E2915">
        <v>63</v>
      </c>
      <c r="F2915">
        <v>19</v>
      </c>
      <c r="G2915">
        <v>4</v>
      </c>
      <c r="H2915" s="1">
        <v>6.3888888888888893E-3</v>
      </c>
      <c r="I2915" t="s">
        <v>53</v>
      </c>
      <c r="J2915" t="s">
        <v>20</v>
      </c>
      <c r="K2915" s="2" t="str">
        <f>HYPERLINK("https://www.nba.com/stats/events?CFID=&amp;CFPARAMS=&amp;GameEventID=365&amp;GameID=0041200311&amp;Season=2012-13&amp;flag=1&amp;title=Leonard%2024'%203PT%20Jump%20Shot%20(15%20PTS)%20(Parker%208%20AST)", "Leonard 24' 3PT Jump Shot (15 PTS) (Parker 8 AST)")</f>
        <v>Leonard 24' 3PT Jump Shot (15 PTS) (Parker 8 AST)</v>
      </c>
      <c r="L2915" s="2" t="str">
        <f>HYPERLINK("https://www.nba.com/game/...-vs-...-0041200311/play-by-play?watchFullGame=true", "SAS vs MEM - Q4 09:12.00")</f>
        <v>SAS vs MEM - Q4 09:12.00</v>
      </c>
      <c r="M2915">
        <v>24</v>
      </c>
      <c r="N2915">
        <v>-152</v>
      </c>
      <c r="O2915">
        <v>184</v>
      </c>
      <c r="P2915">
        <v>-152</v>
      </c>
      <c r="Q2915">
        <v>184</v>
      </c>
      <c r="R2915" t="s">
        <v>21</v>
      </c>
      <c r="S2915" t="s">
        <v>21</v>
      </c>
    </row>
    <row r="2916" spans="1:19" hidden="1" x14ac:dyDescent="0.25">
      <c r="A2916">
        <v>21500280</v>
      </c>
      <c r="B2916" t="s">
        <v>26</v>
      </c>
      <c r="C2916" t="s">
        <v>19</v>
      </c>
      <c r="D2916">
        <v>84</v>
      </c>
      <c r="E2916">
        <v>62</v>
      </c>
      <c r="F2916">
        <v>22</v>
      </c>
      <c r="G2916">
        <v>4</v>
      </c>
      <c r="H2916" s="1">
        <v>6.3888888888888893E-3</v>
      </c>
      <c r="I2916">
        <v>2015</v>
      </c>
      <c r="J2916" t="s">
        <v>20</v>
      </c>
      <c r="K2916" s="2" t="str">
        <f>HYPERLINK("https://www.nba.com/stats/events?CFID=&amp;CFPARAMS=&amp;GameEventID=383&amp;GameID=0021500280&amp;Season=2015-16&amp;flag=1&amp;title=Leonard%2024'%203PT%20Jump%20Shot%20(27%20PTS)%20(Mills%202%20AST)", "Leonard 24' 3PT Jump Shot (27 PTS) (Mills 2 AST)")</f>
        <v>Leonard 24' 3PT Jump Shot (27 PTS) (Mills 2 AST)</v>
      </c>
      <c r="L2916" s="2" t="str">
        <f>HYPERLINK("https://www.nba.com/game/...-vs-...-0021500280/play-by-play?watchFullGame=true", "SAS vs MEM - Q4 09:12.00")</f>
        <v>SAS vs MEM - Q4 09:12.00</v>
      </c>
      <c r="M2916">
        <v>24</v>
      </c>
      <c r="N2916">
        <v>235</v>
      </c>
      <c r="O2916">
        <v>36</v>
      </c>
      <c r="P2916">
        <v>235</v>
      </c>
      <c r="Q2916">
        <v>36</v>
      </c>
      <c r="R2916" t="s">
        <v>21</v>
      </c>
      <c r="S2916" t="s">
        <v>21</v>
      </c>
    </row>
    <row r="2917" spans="1:19" hidden="1" x14ac:dyDescent="0.25">
      <c r="A2917">
        <v>41600234</v>
      </c>
      <c r="B2917" t="s">
        <v>26</v>
      </c>
      <c r="C2917" t="s">
        <v>19</v>
      </c>
      <c r="D2917">
        <v>29</v>
      </c>
      <c r="E2917">
        <v>37</v>
      </c>
      <c r="F2917">
        <v>8</v>
      </c>
      <c r="G2917">
        <v>2</v>
      </c>
      <c r="H2917" s="1">
        <v>6.5393518518518517E-3</v>
      </c>
      <c r="I2917" t="s">
        <v>58</v>
      </c>
      <c r="J2917" t="s">
        <v>20</v>
      </c>
      <c r="K2917" s="2" t="str">
        <f>HYPERLINK("https://www.nba.com/stats/events?CFID=&amp;CFPARAMS=&amp;GameEventID=163&amp;GameID=0041600234&amp;Season=2016-17&amp;flag=1&amp;title=Leonard%2024'%203PT%20Jump%20Shot%20(8%20PTS)%20(Mills%202%20AST)", "Leonard 24' 3PT Jump Shot (8 PTS) (Mills 2 AST)")</f>
        <v>Leonard 24' 3PT Jump Shot (8 PTS) (Mills 2 AST)</v>
      </c>
      <c r="L2917" s="2" t="str">
        <f>HYPERLINK("https://www.nba.com/game/...-vs-...-0041600234/play-by-play?watchFullGame=true", "SAS vs HOU - Q2 09:25.00")</f>
        <v>SAS vs HOU - Q2 09:25.00</v>
      </c>
      <c r="M2917">
        <v>24</v>
      </c>
      <c r="N2917">
        <v>202</v>
      </c>
      <c r="O2917">
        <v>131</v>
      </c>
      <c r="P2917">
        <v>202</v>
      </c>
      <c r="Q2917">
        <v>131</v>
      </c>
      <c r="R2917" t="s">
        <v>21</v>
      </c>
      <c r="S2917" t="s">
        <v>21</v>
      </c>
    </row>
    <row r="2918" spans="1:19" hidden="1" x14ac:dyDescent="0.25">
      <c r="A2918">
        <v>21500431</v>
      </c>
      <c r="B2918" t="s">
        <v>26</v>
      </c>
      <c r="C2918" t="s">
        <v>19</v>
      </c>
      <c r="D2918">
        <v>85</v>
      </c>
      <c r="E2918">
        <v>65</v>
      </c>
      <c r="F2918">
        <v>20</v>
      </c>
      <c r="G2918">
        <v>4</v>
      </c>
      <c r="H2918" s="1">
        <v>6.5972222222222222E-3</v>
      </c>
      <c r="I2918">
        <v>2015</v>
      </c>
      <c r="J2918" t="s">
        <v>20</v>
      </c>
      <c r="K2918" s="2" t="str">
        <f>HYPERLINK("https://www.nba.com/stats/events?CFID=&amp;CFPARAMS=&amp;GameEventID=388&amp;GameID=0021500431&amp;Season=2015-16&amp;flag=1&amp;title=Leonard%2024'%203PT%20Jump%20Shot%20(10%20PTS)%20(Parker%204%20AST)", "Leonard 24' 3PT Jump Shot (10 PTS) (Parker 4 AST)")</f>
        <v>Leonard 24' 3PT Jump Shot (10 PTS) (Parker 4 AST)</v>
      </c>
      <c r="L2918" s="2" t="str">
        <f>HYPERLINK("https://www.nba.com/game/...-vs-...-0021500431/play-by-play?watchFullGame=true", "SAS vs MIN - Q4 09:30.00")</f>
        <v>SAS vs MIN - Q4 09:30.00</v>
      </c>
      <c r="M2918">
        <v>24</v>
      </c>
      <c r="N2918">
        <v>223</v>
      </c>
      <c r="O2918">
        <v>85</v>
      </c>
      <c r="P2918">
        <v>223</v>
      </c>
      <c r="Q2918">
        <v>85</v>
      </c>
      <c r="R2918" t="s">
        <v>21</v>
      </c>
      <c r="S2918" t="s">
        <v>21</v>
      </c>
    </row>
    <row r="2919" spans="1:19" x14ac:dyDescent="0.25">
      <c r="A2919">
        <v>21300630</v>
      </c>
      <c r="B2919" t="s">
        <v>26</v>
      </c>
      <c r="C2919" t="s">
        <v>19</v>
      </c>
      <c r="D2919">
        <v>5</v>
      </c>
      <c r="E2919">
        <v>6</v>
      </c>
      <c r="F2919">
        <v>1</v>
      </c>
      <c r="G2919">
        <v>1</v>
      </c>
      <c r="H2919" s="1">
        <v>6.6087962962962966E-3</v>
      </c>
      <c r="I2919">
        <v>2013</v>
      </c>
      <c r="J2919" t="s">
        <v>20</v>
      </c>
      <c r="K2919" s="2" t="str">
        <f>HYPERLINK("https://www.nba.com/stats/events?CFID=&amp;CFPARAMS=&amp;GameEventID=18&amp;GameID=0021300630&amp;Season=2013-14&amp;flag=1&amp;title=Leonard%2024'%203PT%20Jump%20Shot%20(3%20PTS)%20(Parker%201%20AST)", "Leonard 24' 3PT Jump Shot (3 PTS) (Parker 1 AST)")</f>
        <v>Leonard 24' 3PT Jump Shot (3 PTS) (Parker 1 AST)</v>
      </c>
      <c r="L2919" s="2" t="str">
        <f>HYPERLINK("https://www.nba.com/game/...-vs-...-0021300630/play-by-play?watchFullGame=true", "SAS vs OKC - Q1 09:31.00")</f>
        <v>SAS vs OKC - Q1 09:31.00</v>
      </c>
      <c r="M2919">
        <v>24</v>
      </c>
      <c r="N2919">
        <v>-235</v>
      </c>
      <c r="O2919">
        <v>-17</v>
      </c>
      <c r="P2919">
        <v>-235</v>
      </c>
      <c r="Q2919">
        <v>-17</v>
      </c>
      <c r="R2919" t="s">
        <v>21</v>
      </c>
      <c r="S2919" t="s">
        <v>21</v>
      </c>
    </row>
    <row r="2920" spans="1:19" hidden="1" x14ac:dyDescent="0.25">
      <c r="A2920">
        <v>21500207</v>
      </c>
      <c r="B2920" t="s">
        <v>26</v>
      </c>
      <c r="C2920" t="s">
        <v>19</v>
      </c>
      <c r="D2920">
        <v>5</v>
      </c>
      <c r="E2920">
        <v>7</v>
      </c>
      <c r="F2920">
        <v>2</v>
      </c>
      <c r="G2920">
        <v>1</v>
      </c>
      <c r="H2920" s="1">
        <v>6.6666666666666671E-3</v>
      </c>
      <c r="I2920">
        <v>2015</v>
      </c>
      <c r="J2920" t="s">
        <v>20</v>
      </c>
      <c r="K2920" s="2" t="str">
        <f>HYPERLINK("https://www.nba.com/stats/events?CFID=&amp;CFPARAMS=&amp;GameEventID=22&amp;GameID=0021500207&amp;Season=2015-16&amp;flag=1&amp;title=Leonard%2024'%203PT%20Jump%20Shot%20(5%20PTS)%20(Green%201%20AST)", "Leonard 24' 3PT Jump Shot (5 PTS) (Green 1 AST)")</f>
        <v>Leonard 24' 3PT Jump Shot (5 PTS) (Green 1 AST)</v>
      </c>
      <c r="L2920" s="2" t="str">
        <f>HYPERLINK("https://www.nba.com/game/...-vs-...-0021500207/play-by-play?watchFullGame=true", "SAS vs PHX - Q1 09:36.00")</f>
        <v>SAS vs PHX - Q1 09:36.00</v>
      </c>
      <c r="M2920">
        <v>24</v>
      </c>
      <c r="N2920">
        <v>153</v>
      </c>
      <c r="O2920">
        <v>190</v>
      </c>
      <c r="P2920">
        <v>153</v>
      </c>
      <c r="Q2920">
        <v>190</v>
      </c>
      <c r="R2920" t="s">
        <v>21</v>
      </c>
      <c r="S2920" t="s">
        <v>21</v>
      </c>
    </row>
    <row r="2921" spans="1:19" hidden="1" x14ac:dyDescent="0.25">
      <c r="A2921">
        <v>21500123</v>
      </c>
      <c r="B2921" t="s">
        <v>26</v>
      </c>
      <c r="C2921" t="s">
        <v>19</v>
      </c>
      <c r="D2921">
        <v>62</v>
      </c>
      <c r="E2921">
        <v>52</v>
      </c>
      <c r="F2921">
        <v>10</v>
      </c>
      <c r="G2921">
        <v>3</v>
      </c>
      <c r="H2921" s="1">
        <v>6.7013888888888887E-3</v>
      </c>
      <c r="I2921">
        <v>2015</v>
      </c>
      <c r="J2921" t="s">
        <v>20</v>
      </c>
      <c r="K2921" s="2" t="str">
        <f>HYPERLINK("https://www.nba.com/stats/events?CFID=&amp;CFPARAMS=&amp;GameEventID=244&amp;GameID=0021500123&amp;Season=2015-16&amp;flag=1&amp;title=Leonard%2024'%203PT%20Jump%20Shot%20(14%20PTS)%20(Aldridge%201%20AST)", "Leonard 24' 3PT Jump Shot (14 PTS) (Aldridge 1 AST)")</f>
        <v>Leonard 24' 3PT Jump Shot (14 PTS) (Aldridge 1 AST)</v>
      </c>
      <c r="L2921" s="2" t="str">
        <f>HYPERLINK("https://www.nba.com/game/...-vs-...-0021500123/play-by-play?watchFullGame=true", "SAS vs POR - Q3 09:39.00")</f>
        <v>SAS vs POR - Q3 09:39.00</v>
      </c>
      <c r="M2921">
        <v>24</v>
      </c>
      <c r="N2921">
        <v>-125</v>
      </c>
      <c r="O2921">
        <v>208</v>
      </c>
      <c r="P2921">
        <v>-125</v>
      </c>
      <c r="Q2921">
        <v>208</v>
      </c>
      <c r="R2921" t="s">
        <v>21</v>
      </c>
      <c r="S2921" t="s">
        <v>21</v>
      </c>
    </row>
    <row r="2922" spans="1:19" hidden="1" x14ac:dyDescent="0.25">
      <c r="A2922">
        <v>41500151</v>
      </c>
      <c r="B2922" t="s">
        <v>26</v>
      </c>
      <c r="C2922" t="s">
        <v>19</v>
      </c>
      <c r="D2922">
        <v>5</v>
      </c>
      <c r="E2922">
        <v>3</v>
      </c>
      <c r="F2922">
        <v>2</v>
      </c>
      <c r="G2922">
        <v>1</v>
      </c>
      <c r="H2922" s="1">
        <v>6.8634259259259256E-3</v>
      </c>
      <c r="I2922" t="s">
        <v>57</v>
      </c>
      <c r="J2922" t="s">
        <v>20</v>
      </c>
      <c r="K2922" s="2" t="str">
        <f>HYPERLINK("https://www.nba.com/stats/events?CFID=&amp;CFPARAMS=&amp;GameEventID=15&amp;GameID=0041500151&amp;Season=2015-16&amp;flag=1&amp;title=Leonard%2024'%203PT%20Jump%20Shot%20(5%20PTS)%20(Parker%201%20AST)", "Leonard 24' 3PT Jump Shot (5 PTS) (Parker 1 AST)")</f>
        <v>Leonard 24' 3PT Jump Shot (5 PTS) (Parker 1 AST)</v>
      </c>
      <c r="L2922" s="2" t="str">
        <f>HYPERLINK("https://www.nba.com/game/...-vs-...-0041500151/play-by-play?watchFullGame=true", "SAS vs MEM - Q1 09:53.00")</f>
        <v>SAS vs MEM - Q1 09:53.00</v>
      </c>
      <c r="M2922">
        <v>24</v>
      </c>
      <c r="N2922">
        <v>-238</v>
      </c>
      <c r="O2922">
        <v>-10</v>
      </c>
      <c r="P2922">
        <v>-238</v>
      </c>
      <c r="Q2922">
        <v>-10</v>
      </c>
      <c r="R2922" t="s">
        <v>21</v>
      </c>
      <c r="S2922" t="s">
        <v>21</v>
      </c>
    </row>
    <row r="2923" spans="1:19" hidden="1" x14ac:dyDescent="0.25">
      <c r="A2923">
        <v>41200403</v>
      </c>
      <c r="B2923" t="s">
        <v>26</v>
      </c>
      <c r="C2923" t="s">
        <v>19</v>
      </c>
      <c r="D2923">
        <v>5</v>
      </c>
      <c r="E2923">
        <v>2</v>
      </c>
      <c r="F2923">
        <v>3</v>
      </c>
      <c r="G2923">
        <v>1</v>
      </c>
      <c r="H2923" s="1">
        <v>6.8634259259259256E-3</v>
      </c>
      <c r="I2923" t="s">
        <v>53</v>
      </c>
      <c r="J2923" t="s">
        <v>20</v>
      </c>
      <c r="K2923" s="2" t="str">
        <f>HYPERLINK("https://www.nba.com/stats/events?CFID=&amp;CFPARAMS=&amp;GameEventID=20&amp;GameID=0041200403&amp;Season=2012-13&amp;flag=1&amp;title=Leonard%2024'%203PT%20Jump%20Shot%20(3%20PTS)%20(Parker%201%20AST)", "Leonard 24' 3PT Jump Shot (3 PTS) (Parker 1 AST)")</f>
        <v>Leonard 24' 3PT Jump Shot (3 PTS) (Parker 1 AST)</v>
      </c>
      <c r="L2923" s="2" t="str">
        <f>HYPERLINK("https://www.nba.com/game/...-vs-...-0041200403/play-by-play?watchFullGame=true", "SAS vs MIA - Q1 09:53.00")</f>
        <v>SAS vs MIA - Q1 09:53.00</v>
      </c>
      <c r="M2923">
        <v>24</v>
      </c>
      <c r="N2923">
        <v>-92</v>
      </c>
      <c r="O2923">
        <v>222</v>
      </c>
      <c r="P2923">
        <v>-92</v>
      </c>
      <c r="Q2923">
        <v>222</v>
      </c>
      <c r="R2923" t="s">
        <v>21</v>
      </c>
      <c r="S2923" t="s">
        <v>21</v>
      </c>
    </row>
    <row r="2924" spans="1:19" hidden="1" x14ac:dyDescent="0.25">
      <c r="A2924">
        <v>21601011</v>
      </c>
      <c r="B2924" t="s">
        <v>26</v>
      </c>
      <c r="C2924" t="s">
        <v>36</v>
      </c>
      <c r="D2924">
        <v>86</v>
      </c>
      <c r="E2924">
        <v>84</v>
      </c>
      <c r="F2924">
        <v>2</v>
      </c>
      <c r="G2924">
        <v>4</v>
      </c>
      <c r="H2924" s="1">
        <v>6.9444444444444441E-3</v>
      </c>
      <c r="I2924">
        <v>2016</v>
      </c>
      <c r="J2924" t="s">
        <v>20</v>
      </c>
      <c r="K2924" s="2" t="str">
        <f>HYPERLINK("https://www.nba.com/stats/events?CFID=&amp;CFPARAMS=&amp;GameEventID=378&amp;GameID=0021601011&amp;Season=2016-17&amp;flag=1&amp;title=Leonard%2024'%203PT%20Pullup%20Jump%20Shot%20(30%20PTS)%20(Ginobili%204%20AST)", "Leonard 24' 3PT Pullup Jump Shot (30 PTS) (Ginobili 4 AST)")</f>
        <v>Leonard 24' 3PT Pullup Jump Shot (30 PTS) (Ginobili 4 AST)</v>
      </c>
      <c r="L2924" s="2" t="str">
        <f>HYPERLINK("https://www.nba.com/game/...-vs-...-0021601011/play-by-play?watchFullGame=true", "SAS vs POR - Q4 10:00.00")</f>
        <v>SAS vs POR - Q4 10:00.00</v>
      </c>
      <c r="M2924">
        <v>24</v>
      </c>
      <c r="N2924">
        <v>243</v>
      </c>
      <c r="O2924">
        <v>-5</v>
      </c>
      <c r="P2924">
        <v>243</v>
      </c>
      <c r="Q2924">
        <v>-5</v>
      </c>
      <c r="R2924" t="s">
        <v>21</v>
      </c>
      <c r="S2924" t="s">
        <v>21</v>
      </c>
    </row>
    <row r="2925" spans="1:19" hidden="1" x14ac:dyDescent="0.25">
      <c r="A2925">
        <v>21600412</v>
      </c>
      <c r="B2925" t="s">
        <v>26</v>
      </c>
      <c r="C2925" t="s">
        <v>19</v>
      </c>
      <c r="D2925">
        <v>7</v>
      </c>
      <c r="E2925">
        <v>6</v>
      </c>
      <c r="F2925">
        <v>1</v>
      </c>
      <c r="G2925">
        <v>1</v>
      </c>
      <c r="H2925" s="1">
        <v>7.0023148148148145E-3</v>
      </c>
      <c r="I2925">
        <v>2016</v>
      </c>
      <c r="J2925" t="s">
        <v>20</v>
      </c>
      <c r="K2925" s="2" t="str">
        <f>HYPERLINK("https://www.nba.com/stats/events?CFID=&amp;CFPARAMS=&amp;GameEventID=14&amp;GameID=0021600412&amp;Season=2016-17&amp;flag=1&amp;title=Leonard%2024'%203PT%20Jump%20Shot%20(3%20PTS)%20(Parker%202%20AST)", "Leonard 24' 3PT Jump Shot (3 PTS) (Parker 2 AST)")</f>
        <v>Leonard 24' 3PT Jump Shot (3 PTS) (Parker 2 AST)</v>
      </c>
      <c r="L2925" s="2" t="str">
        <f>HYPERLINK("https://www.nba.com/game/...-vs-...-0021600412/play-by-play?watchFullGame=true", "SAS vs NOP - Q1 10:05.00")</f>
        <v>SAS vs NOP - Q1 10:05.00</v>
      </c>
      <c r="M2925">
        <v>24</v>
      </c>
      <c r="N2925">
        <v>240</v>
      </c>
      <c r="O2925">
        <v>-5</v>
      </c>
      <c r="P2925">
        <v>240</v>
      </c>
      <c r="Q2925">
        <v>-5</v>
      </c>
      <c r="R2925" t="s">
        <v>21</v>
      </c>
      <c r="S2925" t="s">
        <v>21</v>
      </c>
    </row>
    <row r="2926" spans="1:19" hidden="1" x14ac:dyDescent="0.25">
      <c r="A2926">
        <v>21700550</v>
      </c>
      <c r="B2926" t="s">
        <v>26</v>
      </c>
      <c r="C2926" t="s">
        <v>19</v>
      </c>
      <c r="D2926">
        <v>86</v>
      </c>
      <c r="E2926">
        <v>71</v>
      </c>
      <c r="F2926">
        <v>15</v>
      </c>
      <c r="G2926">
        <v>4</v>
      </c>
      <c r="H2926" s="1">
        <v>7.1064814814814819E-3</v>
      </c>
      <c r="I2926">
        <v>2017</v>
      </c>
      <c r="J2926" t="s">
        <v>20</v>
      </c>
      <c r="K2926" s="2" t="str">
        <f>HYPERLINK("https://www.nba.com/stats/events?CFID=&amp;CFPARAMS=&amp;GameEventID=513&amp;GameID=0021700550&amp;Season=2017-18&amp;flag=1&amp;title=Leonard%2024'%203PT%20Jump%20Shot%20(24%20PTS)%20(Gasol%201%20AST)", "Leonard 24' 3PT Jump Shot (24 PTS) (Gasol 1 AST)")</f>
        <v>Leonard 24' 3PT Jump Shot (24 PTS) (Gasol 1 AST)</v>
      </c>
      <c r="L2926" s="2" t="str">
        <f>HYPERLINK("https://www.nba.com/game/...-vs-...-0021700550/play-by-play?watchFullGame=true", "SAS vs NYK - Q4 10:14.00")</f>
        <v>SAS vs NYK - Q4 10:14.00</v>
      </c>
      <c r="M2926">
        <v>24</v>
      </c>
      <c r="N2926">
        <v>234</v>
      </c>
      <c r="O2926">
        <v>22</v>
      </c>
      <c r="P2926">
        <v>234</v>
      </c>
      <c r="Q2926">
        <v>22</v>
      </c>
      <c r="R2926" t="s">
        <v>21</v>
      </c>
      <c r="S2926" t="s">
        <v>21</v>
      </c>
    </row>
    <row r="2927" spans="1:19" hidden="1" x14ac:dyDescent="0.25">
      <c r="A2927">
        <v>41500233</v>
      </c>
      <c r="B2927" t="s">
        <v>26</v>
      </c>
      <c r="C2927" t="s">
        <v>36</v>
      </c>
      <c r="D2927">
        <v>7</v>
      </c>
      <c r="E2927">
        <v>5</v>
      </c>
      <c r="F2927">
        <v>2</v>
      </c>
      <c r="G2927">
        <v>1</v>
      </c>
      <c r="H2927" s="1">
        <v>7.1527777777777779E-3</v>
      </c>
      <c r="I2927" t="s">
        <v>57</v>
      </c>
      <c r="J2927" t="s">
        <v>20</v>
      </c>
      <c r="K2927" s="2" t="str">
        <f>HYPERLINK("https://www.nba.com/stats/events?CFID=&amp;CFPARAMS=&amp;GameEventID=10&amp;GameID=0041500233&amp;Season=2015-16&amp;flag=1&amp;title=Leonard%2024'%203PT%20Pullup%20Jump%20Shot%20(3%20PTS)", "Leonard 24' 3PT Pullup Jump Shot (3 PTS)")</f>
        <v>Leonard 24' 3PT Pullup Jump Shot (3 PTS)</v>
      </c>
      <c r="L2927" s="2" t="str">
        <f>HYPERLINK("https://www.nba.com/game/...-vs-...-0041500233/play-by-play?watchFullGame=true", "SAS vs OKC - Q1 10:18.00")</f>
        <v>SAS vs OKC - Q1 10:18.00</v>
      </c>
      <c r="M2927">
        <v>24</v>
      </c>
      <c r="N2927">
        <v>-109</v>
      </c>
      <c r="O2927">
        <v>219</v>
      </c>
      <c r="P2927">
        <v>-109</v>
      </c>
      <c r="Q2927">
        <v>219</v>
      </c>
      <c r="R2927" t="s">
        <v>21</v>
      </c>
      <c r="S2927" t="s">
        <v>21</v>
      </c>
    </row>
    <row r="2928" spans="1:19" hidden="1" x14ac:dyDescent="0.25">
      <c r="A2928">
        <v>41300146</v>
      </c>
      <c r="B2928" t="s">
        <v>26</v>
      </c>
      <c r="C2928" t="s">
        <v>19</v>
      </c>
      <c r="D2928">
        <v>57</v>
      </c>
      <c r="E2928">
        <v>60</v>
      </c>
      <c r="F2928">
        <v>3</v>
      </c>
      <c r="G2928">
        <v>3</v>
      </c>
      <c r="H2928" s="1">
        <v>7.3495370370370372E-3</v>
      </c>
      <c r="I2928" t="s">
        <v>55</v>
      </c>
      <c r="J2928" t="s">
        <v>20</v>
      </c>
      <c r="K2928" s="2" t="str">
        <f>HYPERLINK("https://www.nba.com/stats/events?CFID=&amp;CFPARAMS=&amp;GameEventID=299&amp;GameID=0041300146&amp;Season=2013-14&amp;flag=1&amp;title=Leonard%2024'%203PT%20Jump%20Shot%20(10%20PTS)%20(Parker%203%20AST)", "Leonard 24' 3PT Jump Shot (10 PTS) (Parker 3 AST)")</f>
        <v>Leonard 24' 3PT Jump Shot (10 PTS) (Parker 3 AST)</v>
      </c>
      <c r="L2928" s="2" t="str">
        <f>HYPERLINK("https://www.nba.com/game/...-vs-...-0041300146/play-by-play?watchFullGame=true", "SAS vs DAL - Q3 10:35.00")</f>
        <v>SAS vs DAL - Q3 10:35.00</v>
      </c>
      <c r="M2928">
        <v>24</v>
      </c>
      <c r="N2928">
        <v>-67</v>
      </c>
      <c r="O2928">
        <v>233</v>
      </c>
      <c r="P2928">
        <v>-67</v>
      </c>
      <c r="Q2928">
        <v>233</v>
      </c>
      <c r="R2928" t="s">
        <v>21</v>
      </c>
      <c r="S2928" t="s">
        <v>21</v>
      </c>
    </row>
    <row r="2929" spans="1:19" hidden="1" x14ac:dyDescent="0.25">
      <c r="A2929">
        <v>21600168</v>
      </c>
      <c r="B2929" t="s">
        <v>26</v>
      </c>
      <c r="C2929" t="s">
        <v>19</v>
      </c>
      <c r="D2929">
        <v>5</v>
      </c>
      <c r="E2929">
        <v>2</v>
      </c>
      <c r="F2929">
        <v>3</v>
      </c>
      <c r="G2929">
        <v>1</v>
      </c>
      <c r="H2929" s="1">
        <v>7.4189814814814813E-3</v>
      </c>
      <c r="I2929">
        <v>2016</v>
      </c>
      <c r="J2929" t="s">
        <v>20</v>
      </c>
      <c r="K2929" s="2" t="str">
        <f>HYPERLINK("https://www.nba.com/stats/events?CFID=&amp;CFPARAMS=&amp;GameEventID=3&amp;GameID=0021600168&amp;Season=2016-17&amp;flag=1&amp;title=Leonard%2024'%203PT%20Jump%20Shot%20(3%20PTS)%20(Gasol%201%20AST)", "Leonard 24' 3PT Jump Shot (3 PTS) (Gasol 1 AST)")</f>
        <v>Leonard 24' 3PT Jump Shot (3 PTS) (Gasol 1 AST)</v>
      </c>
      <c r="L2929" s="2" t="str">
        <f>HYPERLINK("https://www.nba.com/game/...-vs-...-0021600168/play-by-play?watchFullGame=true", "SAS vs SAC - Q1 10:41.00")</f>
        <v>SAS vs SAC - Q1 10:41.00</v>
      </c>
      <c r="M2929">
        <v>24</v>
      </c>
      <c r="N2929">
        <v>235</v>
      </c>
      <c r="O2929">
        <v>24</v>
      </c>
      <c r="P2929">
        <v>235</v>
      </c>
      <c r="Q2929">
        <v>24</v>
      </c>
      <c r="R2929" t="s">
        <v>21</v>
      </c>
      <c r="S2929" t="s">
        <v>21</v>
      </c>
    </row>
    <row r="2930" spans="1:19" hidden="1" x14ac:dyDescent="0.25">
      <c r="A2930">
        <v>21401157</v>
      </c>
      <c r="B2930" t="s">
        <v>26</v>
      </c>
      <c r="C2930" t="s">
        <v>19</v>
      </c>
      <c r="D2930">
        <v>68</v>
      </c>
      <c r="E2930">
        <v>44</v>
      </c>
      <c r="F2930">
        <v>24</v>
      </c>
      <c r="G2930">
        <v>3</v>
      </c>
      <c r="H2930" s="1">
        <v>7.4652777777777781E-3</v>
      </c>
      <c r="I2930">
        <v>2014</v>
      </c>
      <c r="J2930" t="s">
        <v>20</v>
      </c>
      <c r="K2930" s="2" t="str">
        <f>HYPERLINK("https://www.nba.com/stats/events?CFID=&amp;CFPARAMS=&amp;GameEventID=271&amp;GameID=0021401157&amp;Season=2014-15&amp;flag=1&amp;title=Leonard%2024'%203PT%20Jump%20Shot%20(26%20PTS)%20(Joseph%203%20AST)", "Leonard 24' 3PT Jump Shot (26 PTS) (Joseph 3 AST)")</f>
        <v>Leonard 24' 3PT Jump Shot (26 PTS) (Joseph 3 AST)</v>
      </c>
      <c r="L2930" s="2" t="str">
        <f>HYPERLINK("https://www.nba.com/game/...-vs-...-0021401157/play-by-play?watchFullGame=true", "SAS vs OKC - Q3 10:45.00")</f>
        <v>SAS vs OKC - Q3 10:45.00</v>
      </c>
      <c r="M2930">
        <v>24</v>
      </c>
      <c r="N2930">
        <v>36</v>
      </c>
      <c r="O2930">
        <v>239</v>
      </c>
      <c r="P2930">
        <v>36</v>
      </c>
      <c r="Q2930">
        <v>239</v>
      </c>
      <c r="R2930" t="s">
        <v>21</v>
      </c>
      <c r="S2930" t="s">
        <v>21</v>
      </c>
    </row>
    <row r="2931" spans="1:19" hidden="1" x14ac:dyDescent="0.25">
      <c r="A2931">
        <v>21300888</v>
      </c>
      <c r="B2931" t="s">
        <v>26</v>
      </c>
      <c r="C2931" t="s">
        <v>19</v>
      </c>
      <c r="D2931">
        <v>5</v>
      </c>
      <c r="E2931">
        <v>2</v>
      </c>
      <c r="F2931">
        <v>3</v>
      </c>
      <c r="G2931">
        <v>1</v>
      </c>
      <c r="H2931" s="1">
        <v>7.4652777777777781E-3</v>
      </c>
      <c r="I2931">
        <v>2013</v>
      </c>
      <c r="J2931" t="s">
        <v>20</v>
      </c>
      <c r="K2931" s="2" t="str">
        <f>HYPERLINK("https://www.nba.com/stats/events?CFID=&amp;CFPARAMS=&amp;GameEventID=8&amp;GameID=0021300888&amp;Season=2013-14&amp;flag=1&amp;title=Leonard%2024'%203PT%20Jump%20Shot%20(3%20PTS)%20(Parker%201%20AST)", "Leonard 24' 3PT Jump Shot (3 PTS) (Parker 1 AST)")</f>
        <v>Leonard 24' 3PT Jump Shot (3 PTS) (Parker 1 AST)</v>
      </c>
      <c r="L2931" s="2" t="str">
        <f>HYPERLINK("https://www.nba.com/game/...-vs-...-0021300888/play-by-play?watchFullGame=true", "SAS vs DAL - Q1 10:45.00")</f>
        <v>SAS vs DAL - Q1 10:45.00</v>
      </c>
      <c r="M2931">
        <v>24</v>
      </c>
      <c r="N2931">
        <v>177</v>
      </c>
      <c r="O2931">
        <v>167</v>
      </c>
      <c r="P2931">
        <v>177</v>
      </c>
      <c r="Q2931">
        <v>167</v>
      </c>
      <c r="R2931" t="s">
        <v>21</v>
      </c>
      <c r="S2931" t="s">
        <v>21</v>
      </c>
    </row>
    <row r="2932" spans="1:19" hidden="1" x14ac:dyDescent="0.25">
      <c r="A2932">
        <v>21801214</v>
      </c>
      <c r="B2932" t="s">
        <v>26</v>
      </c>
      <c r="C2932" t="s">
        <v>36</v>
      </c>
      <c r="D2932">
        <v>5</v>
      </c>
      <c r="E2932">
        <v>2</v>
      </c>
      <c r="F2932">
        <v>3</v>
      </c>
      <c r="G2932">
        <v>1</v>
      </c>
      <c r="H2932" s="1">
        <v>7.4884259259259262E-3</v>
      </c>
      <c r="I2932">
        <v>2018</v>
      </c>
      <c r="J2932" t="s">
        <v>48</v>
      </c>
      <c r="K2932" s="2" t="str">
        <f>HYPERLINK("https://www.nba.com/stats/events?CFID=&amp;CFPARAMS=&amp;GameEventID=20&amp;GameID=0021801214&amp;Season=2018-19&amp;flag=1&amp;title=Leonard%2024'%203PT%20Pullup%20Jump%20Shot%20(3%20PTS)", "Leonard 24' 3PT Pullup Jump Shot (3 PTS)")</f>
        <v>Leonard 24' 3PT Pullup Jump Shot (3 PTS)</v>
      </c>
      <c r="L2932" s="2" t="str">
        <f>HYPERLINK("https://www.nba.com/game/...-vs-...-0021801214/play-by-play?watchFullGame=true", "TOR vs MIN - Q1 10:47.00")</f>
        <v>TOR vs MIN - Q1 10:47.00</v>
      </c>
      <c r="M2932">
        <v>24</v>
      </c>
      <c r="N2932">
        <v>31</v>
      </c>
      <c r="O2932">
        <v>239</v>
      </c>
      <c r="P2932">
        <v>31</v>
      </c>
      <c r="Q2932">
        <v>239</v>
      </c>
      <c r="R2932" t="s">
        <v>21</v>
      </c>
      <c r="S2932" t="s">
        <v>21</v>
      </c>
    </row>
    <row r="2933" spans="1:19" hidden="1" x14ac:dyDescent="0.25">
      <c r="A2933">
        <v>41800115</v>
      </c>
      <c r="B2933" t="s">
        <v>26</v>
      </c>
      <c r="C2933" t="s">
        <v>19</v>
      </c>
      <c r="D2933">
        <v>73</v>
      </c>
      <c r="E2933">
        <v>47</v>
      </c>
      <c r="F2933">
        <v>26</v>
      </c>
      <c r="G2933">
        <v>3</v>
      </c>
      <c r="H2933" s="1">
        <v>7.5578703703703702E-3</v>
      </c>
      <c r="I2933" t="s">
        <v>60</v>
      </c>
      <c r="J2933" t="s">
        <v>48</v>
      </c>
      <c r="K2933" s="2" t="str">
        <f>HYPERLINK("https://www.nba.com/stats/events?CFID=&amp;CFPARAMS=&amp;GameEventID=347&amp;GameID=0041800115&amp;Season=2018-19&amp;flag=1&amp;title=Leonard%2024'%203PT%20Jump%20Shot%20(20%20PTS)%20(Lowry%207%20AST)", "Leonard 24' 3PT Jump Shot (20 PTS) (Lowry 7 AST)")</f>
        <v>Leonard 24' 3PT Jump Shot (20 PTS) (Lowry 7 AST)</v>
      </c>
      <c r="L2933" s="2" t="str">
        <f>HYPERLINK("https://www.nba.com/game/...-vs-...-0041800115/play-by-play?watchFullGame=true", "TOR vs ORL - Q3 10:53.00")</f>
        <v>TOR vs ORL - Q3 10:53.00</v>
      </c>
      <c r="M2933">
        <v>24</v>
      </c>
      <c r="N2933">
        <v>202</v>
      </c>
      <c r="O2933">
        <v>135</v>
      </c>
      <c r="P2933">
        <v>202</v>
      </c>
      <c r="Q2933">
        <v>135</v>
      </c>
      <c r="R2933" t="s">
        <v>21</v>
      </c>
      <c r="S2933" t="s">
        <v>21</v>
      </c>
    </row>
    <row r="2934" spans="1:19" hidden="1" x14ac:dyDescent="0.25">
      <c r="A2934">
        <v>21600575</v>
      </c>
      <c r="B2934" t="s">
        <v>26</v>
      </c>
      <c r="C2934" t="s">
        <v>19</v>
      </c>
      <c r="D2934">
        <v>29</v>
      </c>
      <c r="E2934">
        <v>25</v>
      </c>
      <c r="F2934">
        <v>4</v>
      </c>
      <c r="G2934">
        <v>2</v>
      </c>
      <c r="H2934" s="1">
        <v>7.6851851851851855E-3</v>
      </c>
      <c r="I2934">
        <v>2016</v>
      </c>
      <c r="J2934" t="s">
        <v>20</v>
      </c>
      <c r="K2934" s="2" t="str">
        <f>HYPERLINK("https://www.nba.com/stats/events?CFID=&amp;CFPARAMS=&amp;GameEventID=136&amp;GameID=0021600575&amp;Season=2016-17&amp;flag=1&amp;title=Leonard%2024'%203PT%20Jump%20Shot%20(10%20PTS)", "Leonard 24' 3PT Jump Shot (10 PTS)")</f>
        <v>Leonard 24' 3PT Jump Shot (10 PTS)</v>
      </c>
      <c r="L2934" s="2" t="str">
        <f>HYPERLINK("https://www.nba.com/game/...-vs-...-0021600575/play-by-play?watchFullGame=true", "SAS vs MIL - Q2 11:04.00")</f>
        <v>SAS vs MIL - Q2 11:04.00</v>
      </c>
      <c r="M2934">
        <v>24</v>
      </c>
      <c r="N2934">
        <v>-12</v>
      </c>
      <c r="O2934">
        <v>244</v>
      </c>
      <c r="P2934">
        <v>-12</v>
      </c>
      <c r="Q2934">
        <v>244</v>
      </c>
      <c r="R2934" t="s">
        <v>21</v>
      </c>
      <c r="S2934" t="s">
        <v>21</v>
      </c>
    </row>
    <row r="2935" spans="1:19" hidden="1" x14ac:dyDescent="0.25">
      <c r="A2935">
        <v>21300117</v>
      </c>
      <c r="B2935" t="s">
        <v>26</v>
      </c>
      <c r="C2935" t="s">
        <v>19</v>
      </c>
      <c r="D2935">
        <v>5</v>
      </c>
      <c r="E2935">
        <v>0</v>
      </c>
      <c r="F2935">
        <v>5</v>
      </c>
      <c r="G2935">
        <v>1</v>
      </c>
      <c r="H2935" s="1">
        <v>7.7083333333333335E-3</v>
      </c>
      <c r="I2935">
        <v>2013</v>
      </c>
      <c r="J2935" t="s">
        <v>20</v>
      </c>
      <c r="K2935" s="2" t="str">
        <f>HYPERLINK("https://www.nba.com/stats/events?CFID=&amp;CFPARAMS=&amp;GameEventID=5&amp;GameID=0021300117&amp;Season=2013-14&amp;flag=1&amp;title=Leonard%2024'%203PT%20Jump%20Shot%20(5%20PTS)%20(Green%201%20AST)", "Leonard 24' 3PT Jump Shot (5 PTS) (Green 1 AST)")</f>
        <v>Leonard 24' 3PT Jump Shot (5 PTS) (Green 1 AST)</v>
      </c>
      <c r="L2935" s="2" t="str">
        <f>HYPERLINK("https://www.nba.com/game/...-vs-...-0021300117/play-by-play?watchFullGame=true", "SAS vs WAS - Q1 11:06.00")</f>
        <v>SAS vs WAS - Q1 11:06.00</v>
      </c>
      <c r="M2935">
        <v>24</v>
      </c>
      <c r="N2935">
        <v>-237</v>
      </c>
      <c r="O2935">
        <v>-2</v>
      </c>
      <c r="P2935">
        <v>-237</v>
      </c>
      <c r="Q2935">
        <v>-2</v>
      </c>
      <c r="R2935" t="s">
        <v>21</v>
      </c>
      <c r="S2935" t="s">
        <v>21</v>
      </c>
    </row>
    <row r="2936" spans="1:19" hidden="1" x14ac:dyDescent="0.25">
      <c r="A2936">
        <v>21301092</v>
      </c>
      <c r="B2936" t="s">
        <v>26</v>
      </c>
      <c r="C2936" t="s">
        <v>19</v>
      </c>
      <c r="D2936">
        <v>3</v>
      </c>
      <c r="E2936">
        <v>2</v>
      </c>
      <c r="F2936">
        <v>1</v>
      </c>
      <c r="G2936">
        <v>1</v>
      </c>
      <c r="H2936" s="1">
        <v>7.7777777777777776E-3</v>
      </c>
      <c r="I2936">
        <v>2013</v>
      </c>
      <c r="J2936" t="s">
        <v>20</v>
      </c>
      <c r="K2936" s="2" t="str">
        <f>HYPERLINK("https://www.nba.com/stats/events?CFID=&amp;CFPARAMS=&amp;GameEventID=4&amp;GameID=0021301092&amp;Season=2013-14&amp;flag=1&amp;title=Leonard%2024'%203PT%20Jump%20Shot%20(3%20PTS)", "Leonard 24' 3PT Jump Shot (3 PTS)")</f>
        <v>Leonard 24' 3PT Jump Shot (3 PTS)</v>
      </c>
      <c r="L2936" s="2" t="str">
        <f>HYPERLINK("https://www.nba.com/game/...-vs-...-0021301092/play-by-play?watchFullGame=true", "SAS vs NOP - Q1 11:12.00")</f>
        <v>SAS vs NOP - Q1 11:12.00</v>
      </c>
      <c r="M2936">
        <v>24</v>
      </c>
      <c r="N2936">
        <v>234</v>
      </c>
      <c r="O2936">
        <v>69</v>
      </c>
      <c r="P2936">
        <v>234</v>
      </c>
      <c r="Q2936">
        <v>69</v>
      </c>
      <c r="R2936" t="s">
        <v>21</v>
      </c>
      <c r="S2936" t="s">
        <v>21</v>
      </c>
    </row>
    <row r="2937" spans="1:19" hidden="1" x14ac:dyDescent="0.25">
      <c r="A2937">
        <v>41200311</v>
      </c>
      <c r="B2937" t="s">
        <v>26</v>
      </c>
      <c r="C2937" t="s">
        <v>19</v>
      </c>
      <c r="D2937">
        <v>3</v>
      </c>
      <c r="E2937">
        <v>2</v>
      </c>
      <c r="F2937">
        <v>1</v>
      </c>
      <c r="G2937">
        <v>1</v>
      </c>
      <c r="H2937" s="1">
        <v>7.8356481481481489E-3</v>
      </c>
      <c r="I2937" t="s">
        <v>53</v>
      </c>
      <c r="J2937" t="s">
        <v>20</v>
      </c>
      <c r="K2937" s="2" t="str">
        <f>HYPERLINK("https://www.nba.com/stats/events?CFID=&amp;CFPARAMS=&amp;GameEventID=3&amp;GameID=0041200311&amp;Season=2012-13&amp;flag=1&amp;title=Leonard%2024'%203PT%20Jump%20Shot%20(3%20PTS)%20(Parker%201%20AST)", "Leonard 24' 3PT Jump Shot (3 PTS) (Parker 1 AST)")</f>
        <v>Leonard 24' 3PT Jump Shot (3 PTS) (Parker 1 AST)</v>
      </c>
      <c r="L2937" s="2" t="str">
        <f>HYPERLINK("https://www.nba.com/game/...-vs-...-0041200311/play-by-play?watchFullGame=true", "SAS vs MEM - Q1 11:17.00")</f>
        <v>SAS vs MEM - Q1 11:17.00</v>
      </c>
      <c r="M2937">
        <v>24</v>
      </c>
      <c r="N2937">
        <v>236</v>
      </c>
      <c r="O2937">
        <v>-10</v>
      </c>
      <c r="P2937">
        <v>236</v>
      </c>
      <c r="Q2937">
        <v>-10</v>
      </c>
      <c r="R2937" t="s">
        <v>21</v>
      </c>
      <c r="S2937" t="s">
        <v>21</v>
      </c>
    </row>
    <row r="2938" spans="1:19" hidden="1" x14ac:dyDescent="0.25">
      <c r="A2938">
        <v>41500153</v>
      </c>
      <c r="B2938" t="s">
        <v>26</v>
      </c>
      <c r="C2938" t="s">
        <v>30</v>
      </c>
      <c r="D2938">
        <v>29</v>
      </c>
      <c r="E2938">
        <v>18</v>
      </c>
      <c r="F2938">
        <v>11</v>
      </c>
      <c r="G2938">
        <v>2</v>
      </c>
      <c r="H2938" s="1">
        <v>7.9629629629629634E-3</v>
      </c>
      <c r="I2938" t="s">
        <v>57</v>
      </c>
      <c r="J2938" t="s">
        <v>20</v>
      </c>
      <c r="K2938" s="2" t="str">
        <f>HYPERLINK("https://www.nba.com/stats/events?CFID=&amp;CFPARAMS=&amp;GameEventID=109&amp;GameID=0041500153&amp;Season=2015-16&amp;flag=1&amp;title=Leonard%2024'%203PT%20Running%20Jump%20Shot%20(10%20PTS)%20(Ginobili%201%20AST)", "Leonard 24' 3PT Running Jump Shot (10 PTS) (Ginobili 1 AST)")</f>
        <v>Leonard 24' 3PT Running Jump Shot (10 PTS) (Ginobili 1 AST)</v>
      </c>
      <c r="L2938" s="2" t="str">
        <f>HYPERLINK("https://www.nba.com/game/...-vs-...-0041500153/play-by-play?watchFullGame=true", "SAS vs MEM - Q2 11:28.00")</f>
        <v>SAS vs MEM - Q2 11:28.00</v>
      </c>
      <c r="M2938">
        <v>24</v>
      </c>
      <c r="N2938">
        <v>235</v>
      </c>
      <c r="O2938">
        <v>13</v>
      </c>
      <c r="P2938">
        <v>235</v>
      </c>
      <c r="Q2938">
        <v>13</v>
      </c>
      <c r="R2938" t="s">
        <v>21</v>
      </c>
      <c r="S2938" t="s">
        <v>21</v>
      </c>
    </row>
    <row r="2939" spans="1:19" hidden="1" x14ac:dyDescent="0.25">
      <c r="A2939">
        <v>21400986</v>
      </c>
      <c r="B2939" t="s">
        <v>26</v>
      </c>
      <c r="C2939" t="s">
        <v>19</v>
      </c>
      <c r="D2939">
        <v>32</v>
      </c>
      <c r="E2939">
        <v>23</v>
      </c>
      <c r="F2939">
        <v>9</v>
      </c>
      <c r="G2939">
        <v>2</v>
      </c>
      <c r="H2939" s="1">
        <v>8.0208333333333329E-3</v>
      </c>
      <c r="I2939">
        <v>2014</v>
      </c>
      <c r="J2939" t="s">
        <v>20</v>
      </c>
      <c r="K2939" s="2" t="str">
        <f>HYPERLINK("https://www.nba.com/stats/events?CFID=&amp;CFPARAMS=&amp;GameEventID=111&amp;GameID=0021400986&amp;Season=2014-15&amp;flag=1&amp;title=Leonard%2024'%203PT%20Jump%20Shot%20(3%20PTS)%20(Green%201%20AST)", "Leonard 24' 3PT Jump Shot (3 PTS) (Green 1 AST)")</f>
        <v>Leonard 24' 3PT Jump Shot (3 PTS) (Green 1 AST)</v>
      </c>
      <c r="L2939" s="2" t="str">
        <f>HYPERLINK("https://www.nba.com/game/...-vs-...-0021400986/play-by-play?watchFullGame=true", "SAS vs MIN - Q2 11:33.00")</f>
        <v>SAS vs MIN - Q2 11:33.00</v>
      </c>
      <c r="M2939">
        <v>24</v>
      </c>
      <c r="N2939">
        <v>-237</v>
      </c>
      <c r="O2939">
        <v>7</v>
      </c>
      <c r="P2939">
        <v>-237</v>
      </c>
      <c r="Q2939">
        <v>7</v>
      </c>
      <c r="R2939" t="s">
        <v>21</v>
      </c>
      <c r="S2939" t="s">
        <v>21</v>
      </c>
    </row>
    <row r="2940" spans="1:19" hidden="1" x14ac:dyDescent="0.25">
      <c r="A2940">
        <v>21401084</v>
      </c>
      <c r="B2940" t="s">
        <v>26</v>
      </c>
      <c r="C2940" t="s">
        <v>19</v>
      </c>
      <c r="D2940">
        <v>3</v>
      </c>
      <c r="E2940">
        <v>0</v>
      </c>
      <c r="F2940">
        <v>3</v>
      </c>
      <c r="G2940">
        <v>1</v>
      </c>
      <c r="H2940" s="1">
        <v>8.067129629629629E-3</v>
      </c>
      <c r="I2940">
        <v>2014</v>
      </c>
      <c r="J2940" t="s">
        <v>20</v>
      </c>
      <c r="K2940" s="2" t="str">
        <f>HYPERLINK("https://www.nba.com/stats/events?CFID=&amp;CFPARAMS=&amp;GameEventID=2&amp;GameID=0021401084&amp;Season=2014-15&amp;flag=1&amp;title=Leonard%2024'%203PT%20Jump%20Shot%20(3%20PTS)%20(Splitter%201%20AST)", "Leonard 24' 3PT Jump Shot (3 PTS) (Splitter 1 AST)")</f>
        <v>Leonard 24' 3PT Jump Shot (3 PTS) (Splitter 1 AST)</v>
      </c>
      <c r="L2940" s="2" t="str">
        <f>HYPERLINK("https://www.nba.com/game/...-vs-...-0021401084/play-by-play?watchFullGame=true", "SAS vs DAL - Q1 11:37.00")</f>
        <v>SAS vs DAL - Q1 11:37.00</v>
      </c>
      <c r="M2940">
        <v>24</v>
      </c>
      <c r="N2940">
        <v>-239</v>
      </c>
      <c r="O2940">
        <v>11</v>
      </c>
      <c r="P2940">
        <v>-239</v>
      </c>
      <c r="Q2940">
        <v>11</v>
      </c>
      <c r="R2940" t="s">
        <v>21</v>
      </c>
      <c r="S2940" t="s">
        <v>21</v>
      </c>
    </row>
    <row r="2941" spans="1:19" hidden="1" x14ac:dyDescent="0.25">
      <c r="A2941">
        <v>21601161</v>
      </c>
      <c r="B2941" t="s">
        <v>26</v>
      </c>
      <c r="C2941" t="s">
        <v>19</v>
      </c>
      <c r="D2941">
        <v>36</v>
      </c>
      <c r="E2941">
        <v>35</v>
      </c>
      <c r="F2941">
        <v>1</v>
      </c>
      <c r="G2941">
        <v>3</v>
      </c>
      <c r="H2941" s="1">
        <v>8.1365740740740738E-3</v>
      </c>
      <c r="I2941">
        <v>2016</v>
      </c>
      <c r="J2941" t="s">
        <v>20</v>
      </c>
      <c r="K2941" s="2" t="str">
        <f>HYPERLINK("https://www.nba.com/stats/events?CFID=&amp;CFPARAMS=&amp;GameEventID=245&amp;GameID=0021601161&amp;Season=2016-17&amp;flag=1&amp;title=Leonard%2024'%203PT%20Jump%20Shot%20(12%20PTS)%20(Simmons%202%20AST)", "Leonard 24' 3PT Jump Shot (12 PTS) (Simmons 2 AST)")</f>
        <v>Leonard 24' 3PT Jump Shot (12 PTS) (Simmons 2 AST)</v>
      </c>
      <c r="L2941" s="2" t="str">
        <f>HYPERLINK("https://www.nba.com/game/...-vs-...-0021601161/play-by-play?watchFullGame=true", "SAS vs MEM - Q3 11:43.00")</f>
        <v>SAS vs MEM - Q3 11:43.00</v>
      </c>
      <c r="M2941">
        <v>24</v>
      </c>
      <c r="N2941">
        <v>-241</v>
      </c>
      <c r="O2941">
        <v>28</v>
      </c>
      <c r="P2941">
        <v>-241</v>
      </c>
      <c r="Q2941">
        <v>28</v>
      </c>
      <c r="R2941" t="s">
        <v>21</v>
      </c>
      <c r="S2941" t="s">
        <v>21</v>
      </c>
    </row>
    <row r="2942" spans="1:19" hidden="1" x14ac:dyDescent="0.25">
      <c r="A2942">
        <v>21400610</v>
      </c>
      <c r="B2942" t="s">
        <v>18</v>
      </c>
      <c r="C2942" t="s">
        <v>19</v>
      </c>
      <c r="D2942">
        <v>43</v>
      </c>
      <c r="E2942">
        <v>27</v>
      </c>
      <c r="F2942">
        <v>16</v>
      </c>
      <c r="G2942">
        <v>2</v>
      </c>
      <c r="H2942" s="1">
        <v>3.472222222222222E-6</v>
      </c>
      <c r="I2942">
        <v>2014</v>
      </c>
      <c r="J2942" t="s">
        <v>20</v>
      </c>
      <c r="K2942" s="2" t="str">
        <f>HYPERLINK("https://www.nba.com/stats/events?CFID=&amp;CFPARAMS=&amp;GameEventID=264&amp;GameID=0021400610&amp;Season=2014-15&amp;flag=1&amp;title=Leonard%2017'%20Jump%20Shot%20(10%20PTS)", "Leonard 17' Jump Shot (10 PTS)")</f>
        <v>Leonard 17' Jump Shot (10 PTS)</v>
      </c>
      <c r="L2942" s="2" t="str">
        <f>HYPERLINK("https://www.nba.com/game/...-vs-...-0021400610/play-by-play?watchFullGame=true", "SAS vs UTA - Q2 00:00.30")</f>
        <v>SAS vs UTA - Q2 00:00.30</v>
      </c>
      <c r="M2942">
        <v>17</v>
      </c>
      <c r="N2942">
        <v>162</v>
      </c>
      <c r="O2942">
        <v>-32</v>
      </c>
      <c r="P2942">
        <v>162</v>
      </c>
      <c r="Q2942">
        <v>-32</v>
      </c>
      <c r="R2942" t="s">
        <v>21</v>
      </c>
      <c r="S2942" t="s">
        <v>21</v>
      </c>
    </row>
    <row r="2943" spans="1:19" hidden="1" x14ac:dyDescent="0.25">
      <c r="A2943">
        <v>21600575</v>
      </c>
      <c r="B2943" t="s">
        <v>18</v>
      </c>
      <c r="C2943" t="s">
        <v>36</v>
      </c>
      <c r="D2943">
        <v>99</v>
      </c>
      <c r="E2943">
        <v>94</v>
      </c>
      <c r="F2943">
        <v>5</v>
      </c>
      <c r="G2943">
        <v>4</v>
      </c>
      <c r="H2943" s="1">
        <v>3.4953703703703705E-3</v>
      </c>
      <c r="I2943">
        <v>2016</v>
      </c>
      <c r="J2943" t="s">
        <v>20</v>
      </c>
      <c r="K2943" s="2" t="str">
        <f>HYPERLINK("https://www.nba.com/stats/events?CFID=&amp;CFPARAMS=&amp;GameEventID=425&amp;GameID=0021600575&amp;Season=2016-17&amp;flag=1&amp;title=Leonard%2016'%20Pullup%20Jump%20Shot%20(29%20PTS)", "Leonard 16' Pullup Jump Shot (29 PTS)")</f>
        <v>Leonard 16' Pullup Jump Shot (29 PTS)</v>
      </c>
      <c r="L2943" s="2" t="str">
        <f>HYPERLINK("https://www.nba.com/game/...-vs-...-0021600575/play-by-play?watchFullGame=true", "SAS vs MIL - Q4 05:02.00")</f>
        <v>SAS vs MIL - Q4 05:02.00</v>
      </c>
      <c r="M2943">
        <v>16</v>
      </c>
      <c r="N2943">
        <v>158</v>
      </c>
      <c r="O2943">
        <v>-29</v>
      </c>
      <c r="P2943">
        <v>158</v>
      </c>
      <c r="Q2943">
        <v>-29</v>
      </c>
      <c r="R2943" t="s">
        <v>21</v>
      </c>
      <c r="S2943" t="s">
        <v>21</v>
      </c>
    </row>
    <row r="2944" spans="1:19" hidden="1" x14ac:dyDescent="0.25">
      <c r="A2944">
        <v>41300147</v>
      </c>
      <c r="B2944" t="s">
        <v>18</v>
      </c>
      <c r="C2944" t="s">
        <v>19</v>
      </c>
      <c r="D2944">
        <v>18</v>
      </c>
      <c r="E2944">
        <v>7</v>
      </c>
      <c r="F2944">
        <v>11</v>
      </c>
      <c r="G2944">
        <v>1</v>
      </c>
      <c r="H2944" s="1">
        <v>4.0393518518518521E-3</v>
      </c>
      <c r="I2944" t="s">
        <v>55</v>
      </c>
      <c r="J2944" t="s">
        <v>20</v>
      </c>
      <c r="K2944" s="2" t="str">
        <f>HYPERLINK("https://www.nba.com/stats/events?CFID=&amp;CFPARAMS=&amp;GameEventID=54&amp;GameID=0041300147&amp;Season=2013-14&amp;flag=1&amp;title=Leonard%2016'%20Jump%20Shot%20(4%20PTS)%20(Diaw%201%20AST)", "Leonard 16' Jump Shot (4 PTS) (Diaw 1 AST)")</f>
        <v>Leonard 16' Jump Shot (4 PTS) (Diaw 1 AST)</v>
      </c>
      <c r="L2944" s="2" t="str">
        <f>HYPERLINK("https://www.nba.com/game/...-vs-...-0041300147/play-by-play?watchFullGame=true", "SAS vs DAL - Q1 05:49.00")</f>
        <v>SAS vs DAL - Q1 05:49.00</v>
      </c>
      <c r="M2944">
        <v>16</v>
      </c>
      <c r="N2944">
        <v>-158</v>
      </c>
      <c r="O2944">
        <v>-25</v>
      </c>
      <c r="P2944">
        <v>-158</v>
      </c>
      <c r="Q2944">
        <v>-25</v>
      </c>
      <c r="R2944" t="s">
        <v>21</v>
      </c>
      <c r="S2944" t="s">
        <v>21</v>
      </c>
    </row>
    <row r="2945" spans="1:19" hidden="1" x14ac:dyDescent="0.25">
      <c r="A2945">
        <v>21600077</v>
      </c>
      <c r="B2945" t="s">
        <v>18</v>
      </c>
      <c r="C2945" t="s">
        <v>37</v>
      </c>
      <c r="D2945">
        <v>71</v>
      </c>
      <c r="E2945">
        <v>55</v>
      </c>
      <c r="F2945">
        <v>16</v>
      </c>
      <c r="G2945">
        <v>3</v>
      </c>
      <c r="H2945" s="1">
        <v>4.2129629629629626E-3</v>
      </c>
      <c r="I2945">
        <v>2016</v>
      </c>
      <c r="J2945" t="s">
        <v>20</v>
      </c>
      <c r="K2945" s="2" t="str">
        <f>HYPERLINK("https://www.nba.com/stats/events?CFID=&amp;CFPARAMS=&amp;GameEventID=313&amp;GameID=0021600077&amp;Season=2016-17&amp;flag=1&amp;title=Leonard%2019'%20Fadeaway%20Jumper%20(23%20PTS)", "Leonard 19' Fadeaway Jumper (23 PTS)")</f>
        <v>Leonard 19' Fadeaway Jumper (23 PTS)</v>
      </c>
      <c r="L2945" s="2" t="str">
        <f>HYPERLINK("https://www.nba.com/game/...-vs-...-0021600077/play-by-play?watchFullGame=true", "SAS vs UTA - Q3 06:04.00")</f>
        <v>SAS vs UTA - Q3 06:04.00</v>
      </c>
      <c r="M2945">
        <v>19</v>
      </c>
      <c r="N2945">
        <v>-184</v>
      </c>
      <c r="O2945">
        <v>-24</v>
      </c>
      <c r="P2945">
        <v>-184</v>
      </c>
      <c r="Q2945">
        <v>-24</v>
      </c>
      <c r="R2945" t="s">
        <v>21</v>
      </c>
      <c r="S2945" t="s">
        <v>21</v>
      </c>
    </row>
    <row r="2946" spans="1:19" hidden="1" x14ac:dyDescent="0.25">
      <c r="A2946">
        <v>21401168</v>
      </c>
      <c r="B2946" t="s">
        <v>18</v>
      </c>
      <c r="C2946" t="s">
        <v>36</v>
      </c>
      <c r="D2946">
        <v>96</v>
      </c>
      <c r="E2946">
        <v>78</v>
      </c>
      <c r="F2946">
        <v>18</v>
      </c>
      <c r="G2946">
        <v>4</v>
      </c>
      <c r="H2946" s="1">
        <v>5.4166666666666669E-3</v>
      </c>
      <c r="I2946">
        <v>2014</v>
      </c>
      <c r="J2946" t="s">
        <v>20</v>
      </c>
      <c r="K2946" s="2" t="str">
        <f>HYPERLINK("https://www.nba.com/stats/events?CFID=&amp;CFPARAMS=&amp;GameEventID=403&amp;GameID=0021401168&amp;Season=2014-15&amp;flag=1&amp;title=Leonard%2018'%20Pullup%20Jump%20Shot%20(16%20PTS)", "Leonard 18' Pullup Jump Shot (16 PTS)")</f>
        <v>Leonard 18' Pullup Jump Shot (16 PTS)</v>
      </c>
      <c r="L2946" s="2" t="str">
        <f>HYPERLINK("https://www.nba.com/game/...-vs-...-0021401168/play-by-play?watchFullGame=true", "SAS vs HOU - Q4 07:48.00")</f>
        <v>SAS vs HOU - Q4 07:48.00</v>
      </c>
      <c r="M2946">
        <v>18</v>
      </c>
      <c r="N2946">
        <v>177</v>
      </c>
      <c r="O2946">
        <v>-19</v>
      </c>
      <c r="P2946">
        <v>177</v>
      </c>
      <c r="Q2946">
        <v>-19</v>
      </c>
      <c r="R2946" t="s">
        <v>21</v>
      </c>
      <c r="S2946" t="s">
        <v>21</v>
      </c>
    </row>
    <row r="2947" spans="1:19" hidden="1" x14ac:dyDescent="0.25">
      <c r="A2947">
        <v>41200403</v>
      </c>
      <c r="B2947" t="s">
        <v>18</v>
      </c>
      <c r="C2947" t="s">
        <v>36</v>
      </c>
      <c r="D2947">
        <v>9</v>
      </c>
      <c r="E2947">
        <v>4</v>
      </c>
      <c r="F2947">
        <v>5</v>
      </c>
      <c r="G2947">
        <v>1</v>
      </c>
      <c r="H2947" s="1">
        <v>5.4861111111111109E-3</v>
      </c>
      <c r="I2947" t="s">
        <v>53</v>
      </c>
      <c r="J2947" t="s">
        <v>20</v>
      </c>
      <c r="K2947" s="2" t="str">
        <f>HYPERLINK("https://www.nba.com/stats/events?CFID=&amp;CFPARAMS=&amp;GameEventID=32&amp;GameID=0041200403&amp;Season=2012-13&amp;flag=1&amp;title=Leonard%2016'%20Pullup%20Jump%20Shot%20(5%20PTS)%20(Parker%202%20AST)", "Leonard 16' Pullup Jump Shot (5 PTS) (Parker 2 AST)")</f>
        <v>Leonard 16' Pullup Jump Shot (5 PTS) (Parker 2 AST)</v>
      </c>
      <c r="L2947" s="2" t="str">
        <f>HYPERLINK("https://www.nba.com/game/...-vs-...-0041200403/play-by-play?watchFullGame=true", "SAS vs MIA - Q1 07:54.00")</f>
        <v>SAS vs MIA - Q1 07:54.00</v>
      </c>
      <c r="M2947">
        <v>16</v>
      </c>
      <c r="N2947">
        <v>155</v>
      </c>
      <c r="O2947">
        <v>-17</v>
      </c>
      <c r="P2947">
        <v>155</v>
      </c>
      <c r="Q2947">
        <v>-17</v>
      </c>
      <c r="R2947" t="s">
        <v>21</v>
      </c>
      <c r="S2947" t="s">
        <v>21</v>
      </c>
    </row>
    <row r="2948" spans="1:19" hidden="1" x14ac:dyDescent="0.25">
      <c r="A2948">
        <v>21600994</v>
      </c>
      <c r="B2948" t="s">
        <v>18</v>
      </c>
      <c r="C2948" t="s">
        <v>19</v>
      </c>
      <c r="D2948">
        <v>23</v>
      </c>
      <c r="E2948">
        <v>17</v>
      </c>
      <c r="F2948">
        <v>6</v>
      </c>
      <c r="G2948">
        <v>1</v>
      </c>
      <c r="H2948" s="1">
        <v>1.261574074074074E-3</v>
      </c>
      <c r="I2948">
        <v>2016</v>
      </c>
      <c r="J2948" t="s">
        <v>20</v>
      </c>
      <c r="K2948" s="2" t="str">
        <f>HYPERLINK("https://www.nba.com/stats/events?CFID=&amp;CFPARAMS=&amp;GameEventID=89&amp;GameID=0021600994&amp;Season=2016-17&amp;flag=1&amp;title=Leonard%2017'%20Jump%20Shot%20(9%20PTS)%20(Forbes%201%20AST)", "Leonard 17' Jump Shot (9 PTS) (Forbes 1 AST)")</f>
        <v>Leonard 17' Jump Shot (9 PTS) (Forbes 1 AST)</v>
      </c>
      <c r="L2948" s="2" t="str">
        <f>HYPERLINK("https://www.nba.com/game/...-vs-...-0021600994/play-by-play?watchFullGame=true", "SAS vs ATL - Q1 01:49.00")</f>
        <v>SAS vs ATL - Q1 01:49.00</v>
      </c>
      <c r="M2948">
        <v>17</v>
      </c>
      <c r="N2948">
        <v>-165</v>
      </c>
      <c r="O2948">
        <v>-16</v>
      </c>
      <c r="P2948">
        <v>-165</v>
      </c>
      <c r="Q2948">
        <v>-16</v>
      </c>
      <c r="R2948" t="s">
        <v>21</v>
      </c>
      <c r="S2948" t="s">
        <v>21</v>
      </c>
    </row>
    <row r="2949" spans="1:19" hidden="1" x14ac:dyDescent="0.25">
      <c r="A2949">
        <v>21400314</v>
      </c>
      <c r="B2949" t="s">
        <v>18</v>
      </c>
      <c r="C2949" t="s">
        <v>19</v>
      </c>
      <c r="D2949">
        <v>71</v>
      </c>
      <c r="E2949">
        <v>72</v>
      </c>
      <c r="F2949">
        <v>1</v>
      </c>
      <c r="G2949">
        <v>3</v>
      </c>
      <c r="H2949" s="1">
        <v>6.0069444444444439E-4</v>
      </c>
      <c r="I2949">
        <v>2014</v>
      </c>
      <c r="J2949" t="s">
        <v>20</v>
      </c>
      <c r="K2949" s="2" t="str">
        <f>HYPERLINK("https://www.nba.com/stats/events?CFID=&amp;CFPARAMS=&amp;GameEventID=340&amp;GameID=0021400314&amp;Season=2014-15&amp;flag=1&amp;title=Leonard%2017'%20Jump%20Shot%20(13%20PTS)%20(Ginobili%206%20AST)", "Leonard 17' Jump Shot (13 PTS) (Ginobili 6 AST)")</f>
        <v>Leonard 17' Jump Shot (13 PTS) (Ginobili 6 AST)</v>
      </c>
      <c r="L2949" s="2" t="str">
        <f>HYPERLINK("https://www.nba.com/game/...-vs-...-0021400314/play-by-play?watchFullGame=true", "SAS vs UTA - Q3 00:51.90")</f>
        <v>SAS vs UTA - Q3 00:51.90</v>
      </c>
      <c r="M2949">
        <v>17</v>
      </c>
      <c r="N2949">
        <v>-171</v>
      </c>
      <c r="O2949">
        <v>-11</v>
      </c>
      <c r="P2949">
        <v>-171</v>
      </c>
      <c r="Q2949">
        <v>-11</v>
      </c>
      <c r="R2949" t="s">
        <v>21</v>
      </c>
      <c r="S2949" t="s">
        <v>21</v>
      </c>
    </row>
    <row r="2950" spans="1:19" hidden="1" x14ac:dyDescent="0.25">
      <c r="A2950">
        <v>41600232</v>
      </c>
      <c r="B2950" t="s">
        <v>18</v>
      </c>
      <c r="C2950" t="s">
        <v>39</v>
      </c>
      <c r="D2950">
        <v>7</v>
      </c>
      <c r="E2950">
        <v>4</v>
      </c>
      <c r="F2950">
        <v>3</v>
      </c>
      <c r="G2950">
        <v>1</v>
      </c>
      <c r="H2950" s="1">
        <v>7.1296296296296299E-3</v>
      </c>
      <c r="I2950" t="s">
        <v>58</v>
      </c>
      <c r="J2950" t="s">
        <v>20</v>
      </c>
      <c r="K2950" s="2" t="str">
        <f>HYPERLINK("https://www.nba.com/stats/events?CFID=&amp;CFPARAMS=&amp;GameEventID=10&amp;GameID=0041600232&amp;Season=2016-17&amp;flag=1&amp;title=Leonard%2017'%20Step%20Back%20Jump%20Shot%20(5%20PTS)%20(Parker%201%20AST)", "Leonard 17' Step Back Jump Shot (5 PTS) (Parker 1 AST)")</f>
        <v>Leonard 17' Step Back Jump Shot (5 PTS) (Parker 1 AST)</v>
      </c>
      <c r="L2950" s="2" t="str">
        <f>HYPERLINK("https://www.nba.com/game/...-vs-...-0041600232/play-by-play?watchFullGame=true", "SAS vs HOU - Q1 10:16.00")</f>
        <v>SAS vs HOU - Q1 10:16.00</v>
      </c>
      <c r="M2950">
        <v>17</v>
      </c>
      <c r="N2950">
        <v>-168</v>
      </c>
      <c r="O2950">
        <v>-11</v>
      </c>
      <c r="P2950">
        <v>-168</v>
      </c>
      <c r="Q2950">
        <v>-11</v>
      </c>
      <c r="R2950" t="s">
        <v>21</v>
      </c>
      <c r="S2950" t="s">
        <v>21</v>
      </c>
    </row>
    <row r="2951" spans="1:19" hidden="1" x14ac:dyDescent="0.25">
      <c r="A2951">
        <v>41600231</v>
      </c>
      <c r="B2951" t="s">
        <v>18</v>
      </c>
      <c r="C2951" t="s">
        <v>36</v>
      </c>
      <c r="D2951">
        <v>13</v>
      </c>
      <c r="E2951">
        <v>23</v>
      </c>
      <c r="F2951">
        <v>10</v>
      </c>
      <c r="G2951">
        <v>1</v>
      </c>
      <c r="H2951" s="1">
        <v>2.8009259259259259E-3</v>
      </c>
      <c r="I2951" t="s">
        <v>58</v>
      </c>
      <c r="J2951" t="s">
        <v>20</v>
      </c>
      <c r="K2951" s="2" t="str">
        <f>HYPERLINK("https://www.nba.com/stats/events?CFID=&amp;CFPARAMS=&amp;GameEventID=73&amp;GameID=0041600231&amp;Season=2016-17&amp;flag=1&amp;title=Leonard%2017'%20Pullup%20Jump%20Shot%20(7%20PTS)%20(Ginobili%201%20AST)", "Leonard 17' Pullup Jump Shot (7 PTS) (Ginobili 1 AST)")</f>
        <v>Leonard 17' Pullup Jump Shot (7 PTS) (Ginobili 1 AST)</v>
      </c>
      <c r="L2951" s="2" t="str">
        <f>HYPERLINK("https://www.nba.com/game/...-vs-...-0041600231/play-by-play?watchFullGame=true", "SAS vs HOU - Q1 04:02.00")</f>
        <v>SAS vs HOU - Q1 04:02.00</v>
      </c>
      <c r="M2951">
        <v>17</v>
      </c>
      <c r="N2951">
        <v>166</v>
      </c>
      <c r="O2951">
        <v>-10</v>
      </c>
      <c r="P2951">
        <v>166</v>
      </c>
      <c r="Q2951">
        <v>-10</v>
      </c>
      <c r="R2951" t="s">
        <v>21</v>
      </c>
      <c r="S2951" t="s">
        <v>21</v>
      </c>
    </row>
    <row r="2952" spans="1:19" hidden="1" x14ac:dyDescent="0.25">
      <c r="A2952">
        <v>21601099</v>
      </c>
      <c r="B2952" t="s">
        <v>18</v>
      </c>
      <c r="C2952" t="s">
        <v>39</v>
      </c>
      <c r="D2952">
        <v>6</v>
      </c>
      <c r="E2952">
        <v>7</v>
      </c>
      <c r="F2952">
        <v>1</v>
      </c>
      <c r="G2952">
        <v>1</v>
      </c>
      <c r="H2952" s="1">
        <v>5.9953703703703705E-3</v>
      </c>
      <c r="I2952">
        <v>2016</v>
      </c>
      <c r="J2952" t="s">
        <v>20</v>
      </c>
      <c r="K2952" s="2" t="str">
        <f>HYPERLINK("https://www.nba.com/stats/events?CFID=&amp;CFPARAMS=&amp;GameEventID=26&amp;GameID=0021601099&amp;Season=2016-17&amp;flag=1&amp;title=Leonard%2017'%20Step%20Back%20Jump%20Shot%20(2%20PTS)%20(Aldridge%202%20AST)", "Leonard 17' Step Back Jump Shot (2 PTS) (Aldridge 2 AST)")</f>
        <v>Leonard 17' Step Back Jump Shot (2 PTS) (Aldridge 2 AST)</v>
      </c>
      <c r="L2952" s="2" t="str">
        <f>HYPERLINK("https://www.nba.com/game/...-vs-...-0021601099/play-by-play?watchFullGame=true", "SAS vs CLE - Q1 08:38.00")</f>
        <v>SAS vs CLE - Q1 08:38.00</v>
      </c>
      <c r="M2952">
        <v>17</v>
      </c>
      <c r="N2952">
        <v>171</v>
      </c>
      <c r="O2952">
        <v>-6</v>
      </c>
      <c r="P2952">
        <v>171</v>
      </c>
      <c r="Q2952">
        <v>-6</v>
      </c>
      <c r="R2952" t="s">
        <v>21</v>
      </c>
      <c r="S2952" t="s">
        <v>21</v>
      </c>
    </row>
    <row r="2953" spans="1:19" hidden="1" x14ac:dyDescent="0.25">
      <c r="A2953">
        <v>21500347</v>
      </c>
      <c r="B2953" t="s">
        <v>18</v>
      </c>
      <c r="C2953" t="s">
        <v>36</v>
      </c>
      <c r="D2953">
        <v>17</v>
      </c>
      <c r="E2953">
        <v>9</v>
      </c>
      <c r="F2953">
        <v>8</v>
      </c>
      <c r="G2953">
        <v>1</v>
      </c>
      <c r="H2953" s="1">
        <v>2.3726851851851851E-3</v>
      </c>
      <c r="I2953">
        <v>2015</v>
      </c>
      <c r="J2953" t="s">
        <v>20</v>
      </c>
      <c r="K2953" s="2" t="str">
        <f>HYPERLINK("https://www.nba.com/stats/events?CFID=&amp;CFPARAMS=&amp;GameEventID=79&amp;GameID=0021500347&amp;Season=2015-16&amp;flag=1&amp;title=Leonard%2016'%20Pullup%20Jump%20Shot%20(4%20PTS)%20(Diaw%202%20AST)", "Leonard 16' Pullup Jump Shot (4 PTS) (Diaw 2 AST)")</f>
        <v>Leonard 16' Pullup Jump Shot (4 PTS) (Diaw 2 AST)</v>
      </c>
      <c r="L2953" s="2" t="str">
        <f>HYPERLINK("https://www.nba.com/game/...-vs-...-0021500347/play-by-play?watchFullGame=true", "SAS vs ATL - Q1 03:25.00")</f>
        <v>SAS vs ATL - Q1 03:25.00</v>
      </c>
      <c r="M2953">
        <v>16</v>
      </c>
      <c r="N2953">
        <v>155</v>
      </c>
      <c r="O2953">
        <v>-5</v>
      </c>
      <c r="P2953">
        <v>155</v>
      </c>
      <c r="Q2953">
        <v>-5</v>
      </c>
      <c r="R2953" t="s">
        <v>21</v>
      </c>
      <c r="S2953" t="s">
        <v>21</v>
      </c>
    </row>
    <row r="2954" spans="1:19" hidden="1" x14ac:dyDescent="0.25">
      <c r="A2954">
        <v>41500231</v>
      </c>
      <c r="B2954" t="s">
        <v>18</v>
      </c>
      <c r="C2954" t="s">
        <v>19</v>
      </c>
      <c r="D2954">
        <v>60</v>
      </c>
      <c r="E2954">
        <v>30</v>
      </c>
      <c r="F2954">
        <v>30</v>
      </c>
      <c r="G2954">
        <v>2</v>
      </c>
      <c r="H2954" s="1">
        <v>4.0740740740740737E-3</v>
      </c>
      <c r="I2954" t="s">
        <v>57</v>
      </c>
      <c r="J2954" t="s">
        <v>20</v>
      </c>
      <c r="K2954" s="2" t="str">
        <f>HYPERLINK("https://www.nba.com/stats/events?CFID=&amp;CFPARAMS=&amp;GameEventID=190&amp;GameID=0041500231&amp;Season=2015-16&amp;flag=1&amp;title=Leonard%2018'%20Jump%20Shot%20(17%20PTS)%20(Parker%207%20AST)", "Leonard 18' Jump Shot (17 PTS) (Parker 7 AST)")</f>
        <v>Leonard 18' Jump Shot (17 PTS) (Parker 7 AST)</v>
      </c>
      <c r="L2954" s="2" t="str">
        <f>HYPERLINK("https://www.nba.com/game/...-vs-...-0041500231/play-by-play?watchFullGame=true", "SAS vs OKC - Q2 05:52.00")</f>
        <v>SAS vs OKC - Q2 05:52.00</v>
      </c>
      <c r="M2954">
        <v>18</v>
      </c>
      <c r="N2954">
        <v>176</v>
      </c>
      <c r="O2954">
        <v>-5</v>
      </c>
      <c r="P2954">
        <v>176</v>
      </c>
      <c r="Q2954">
        <v>-5</v>
      </c>
      <c r="R2954" t="s">
        <v>21</v>
      </c>
      <c r="S2954" t="s">
        <v>21</v>
      </c>
    </row>
    <row r="2955" spans="1:19" hidden="1" x14ac:dyDescent="0.25">
      <c r="A2955">
        <v>21400875</v>
      </c>
      <c r="B2955" t="s">
        <v>18</v>
      </c>
      <c r="C2955" t="s">
        <v>19</v>
      </c>
      <c r="D2955">
        <v>83</v>
      </c>
      <c r="E2955">
        <v>62</v>
      </c>
      <c r="F2955">
        <v>21</v>
      </c>
      <c r="G2955">
        <v>4</v>
      </c>
      <c r="H2955" s="1">
        <v>3.6226851851851854E-3</v>
      </c>
      <c r="I2955">
        <v>2014</v>
      </c>
      <c r="J2955" t="s">
        <v>20</v>
      </c>
      <c r="K2955" s="2" t="str">
        <f>HYPERLINK("https://www.nba.com/stats/events?CFID=&amp;CFPARAMS=&amp;GameEventID=500&amp;GameID=0021400875&amp;Season=2014-15&amp;flag=1&amp;title=Leonard%2018'%20Jump%20Shot%20(19%20PTS)", "Leonard 18' Jump Shot (19 PTS)")</f>
        <v>Leonard 18' Jump Shot (19 PTS)</v>
      </c>
      <c r="L2955" s="2" t="str">
        <f>HYPERLINK("https://www.nba.com/game/...-vs-...-0021400875/play-by-play?watchFullGame=true", "SAS vs PHX - Q4 05:13.00")</f>
        <v>SAS vs PHX - Q4 05:13.00</v>
      </c>
      <c r="M2955">
        <v>18</v>
      </c>
      <c r="N2955">
        <v>181</v>
      </c>
      <c r="O2955">
        <v>-5</v>
      </c>
      <c r="P2955">
        <v>181</v>
      </c>
      <c r="Q2955">
        <v>-5</v>
      </c>
      <c r="R2955" t="s">
        <v>21</v>
      </c>
      <c r="S2955" t="s">
        <v>21</v>
      </c>
    </row>
    <row r="2956" spans="1:19" hidden="1" x14ac:dyDescent="0.25">
      <c r="A2956">
        <v>21800739</v>
      </c>
      <c r="B2956" t="s">
        <v>18</v>
      </c>
      <c r="C2956" t="s">
        <v>19</v>
      </c>
      <c r="D2956">
        <v>26</v>
      </c>
      <c r="E2956">
        <v>18</v>
      </c>
      <c r="F2956">
        <v>8</v>
      </c>
      <c r="G2956">
        <v>1</v>
      </c>
      <c r="H2956" s="1">
        <v>2.9166666666666668E-3</v>
      </c>
      <c r="I2956">
        <v>2018</v>
      </c>
      <c r="J2956" t="s">
        <v>48</v>
      </c>
      <c r="K2956" s="2" t="str">
        <f>HYPERLINK("https://www.nba.com/stats/events?CFID=&amp;CFPARAMS=&amp;GameEventID=93&amp;GameID=0021800739&amp;Season=2018-19&amp;flag=1&amp;title=Leonard%2016'%20Jump%20Shot%20(12%20PTS)%20(VanVleet%201%20AST)", "Leonard 16' Jump Shot (12 PTS) (VanVleet 1 AST)")</f>
        <v>Leonard 16' Jump Shot (12 PTS) (VanVleet 1 AST)</v>
      </c>
      <c r="L2956" s="2" t="str">
        <f>HYPERLINK("https://www.nba.com/game/...-vs-...-0021800739/play-by-play?watchFullGame=true", "TOR vs DAL - Q1 04:12.00")</f>
        <v>TOR vs DAL - Q1 04:12.00</v>
      </c>
      <c r="M2956">
        <v>16</v>
      </c>
      <c r="N2956">
        <v>-162</v>
      </c>
      <c r="O2956">
        <v>-2</v>
      </c>
      <c r="P2956">
        <v>-162</v>
      </c>
      <c r="Q2956">
        <v>-2</v>
      </c>
      <c r="R2956" t="s">
        <v>21</v>
      </c>
      <c r="S2956" t="s">
        <v>21</v>
      </c>
    </row>
    <row r="2957" spans="1:19" hidden="1" x14ac:dyDescent="0.25">
      <c r="A2957">
        <v>21600264</v>
      </c>
      <c r="B2957" t="s">
        <v>18</v>
      </c>
      <c r="C2957" t="s">
        <v>19</v>
      </c>
      <c r="D2957">
        <v>58</v>
      </c>
      <c r="E2957">
        <v>59</v>
      </c>
      <c r="F2957">
        <v>1</v>
      </c>
      <c r="G2957">
        <v>3</v>
      </c>
      <c r="H2957" s="1">
        <v>4.5370370370370373E-3</v>
      </c>
      <c r="I2957">
        <v>2016</v>
      </c>
      <c r="J2957" t="s">
        <v>20</v>
      </c>
      <c r="K2957" s="2" t="str">
        <f>HYPERLINK("https://www.nba.com/stats/events?CFID=&amp;CFPARAMS=&amp;GameEventID=287&amp;GameID=0021600264&amp;Season=2016-17&amp;flag=1&amp;title=Leonard%2016'%20Jump%20Shot%20(16%20PTS)%20(Green%202%20AST)", "Leonard 16' Jump Shot (16 PTS) (Green 2 AST)")</f>
        <v>Leonard 16' Jump Shot (16 PTS) (Green 2 AST)</v>
      </c>
      <c r="L2957" s="2" t="str">
        <f>HYPERLINK("https://www.nba.com/game/...-vs-...-0021600264/play-by-play?watchFullGame=true", "SAS vs ORL - Q3 06:32.00")</f>
        <v>SAS vs ORL - Q3 06:32.00</v>
      </c>
      <c r="M2957">
        <v>16</v>
      </c>
      <c r="N2957">
        <v>163</v>
      </c>
      <c r="O2957">
        <v>-1</v>
      </c>
      <c r="P2957">
        <v>163</v>
      </c>
      <c r="Q2957">
        <v>-1</v>
      </c>
      <c r="R2957" t="s">
        <v>21</v>
      </c>
      <c r="S2957" t="s">
        <v>21</v>
      </c>
    </row>
    <row r="2958" spans="1:19" hidden="1" x14ac:dyDescent="0.25">
      <c r="A2958">
        <v>21501018</v>
      </c>
      <c r="B2958" t="s">
        <v>18</v>
      </c>
      <c r="C2958" t="s">
        <v>36</v>
      </c>
      <c r="D2958">
        <v>70</v>
      </c>
      <c r="E2958">
        <v>58</v>
      </c>
      <c r="F2958">
        <v>12</v>
      </c>
      <c r="G2958">
        <v>3</v>
      </c>
      <c r="H2958" s="1">
        <v>5.8912037037037041E-3</v>
      </c>
      <c r="I2958">
        <v>2015</v>
      </c>
      <c r="J2958" t="s">
        <v>20</v>
      </c>
      <c r="K2958" s="2" t="str">
        <f>HYPERLINK("https://www.nba.com/stats/events?CFID=&amp;CFPARAMS=&amp;GameEventID=318&amp;GameID=0021501018&amp;Season=2015-16&amp;flag=1&amp;title=Leonard%2016'%20Pullup%20Jump%20Shot%20(11%20PTS)%20(Parker%2013%20AST)", "Leonard 16' Pullup Jump Shot (11 PTS) (Parker 13 AST)")</f>
        <v>Leonard 16' Pullup Jump Shot (11 PTS) (Parker 13 AST)</v>
      </c>
      <c r="L2958" s="2" t="str">
        <f>HYPERLINK("https://www.nba.com/game/...-vs-...-0021501018/play-by-play?watchFullGame=true", "SAS vs POR - Q3 08:29.00")</f>
        <v>SAS vs POR - Q3 08:29.00</v>
      </c>
      <c r="M2958">
        <v>16</v>
      </c>
      <c r="N2958">
        <v>163</v>
      </c>
      <c r="O2958">
        <v>-1</v>
      </c>
      <c r="P2958">
        <v>163</v>
      </c>
      <c r="Q2958">
        <v>-1</v>
      </c>
      <c r="R2958" t="s">
        <v>21</v>
      </c>
      <c r="S2958" t="s">
        <v>21</v>
      </c>
    </row>
    <row r="2959" spans="1:19" hidden="1" x14ac:dyDescent="0.25">
      <c r="A2959">
        <v>21500207</v>
      </c>
      <c r="B2959" t="s">
        <v>18</v>
      </c>
      <c r="C2959" t="s">
        <v>19</v>
      </c>
      <c r="D2959">
        <v>7</v>
      </c>
      <c r="E2959">
        <v>7</v>
      </c>
      <c r="F2959">
        <v>0</v>
      </c>
      <c r="G2959">
        <v>1</v>
      </c>
      <c r="H2959" s="1">
        <v>6.4120370370370373E-3</v>
      </c>
      <c r="I2959">
        <v>2015</v>
      </c>
      <c r="J2959" t="s">
        <v>20</v>
      </c>
      <c r="K2959" s="2" t="str">
        <f>HYPERLINK("https://www.nba.com/stats/events?CFID=&amp;CFPARAMS=&amp;GameEventID=25&amp;GameID=0021500207&amp;Season=2015-16&amp;flag=1&amp;title=Leonard%2017'%20Jump%20Shot%20(7%20PTS)", "Leonard 17' Jump Shot (7 PTS)")</f>
        <v>Leonard 17' Jump Shot (7 PTS)</v>
      </c>
      <c r="L2959" s="2" t="str">
        <f>HYPERLINK("https://www.nba.com/game/...-vs-...-0021500207/play-by-play?watchFullGame=true", "SAS vs PHX - Q1 09:14.00")</f>
        <v>SAS vs PHX - Q1 09:14.00</v>
      </c>
      <c r="M2959">
        <v>17</v>
      </c>
      <c r="N2959">
        <v>166</v>
      </c>
      <c r="O2959">
        <v>-1</v>
      </c>
      <c r="P2959">
        <v>166</v>
      </c>
      <c r="Q2959">
        <v>-1</v>
      </c>
      <c r="R2959" t="s">
        <v>21</v>
      </c>
      <c r="S2959" t="s">
        <v>21</v>
      </c>
    </row>
    <row r="2960" spans="1:19" hidden="1" x14ac:dyDescent="0.25">
      <c r="A2960">
        <v>21300039</v>
      </c>
      <c r="B2960" t="s">
        <v>18</v>
      </c>
      <c r="C2960" t="s">
        <v>36</v>
      </c>
      <c r="D2960">
        <v>6</v>
      </c>
      <c r="E2960">
        <v>4</v>
      </c>
      <c r="F2960">
        <v>2</v>
      </c>
      <c r="G2960">
        <v>1</v>
      </c>
      <c r="H2960" s="1">
        <v>6.6087962962962966E-3</v>
      </c>
      <c r="I2960">
        <v>2013</v>
      </c>
      <c r="J2960" t="s">
        <v>20</v>
      </c>
      <c r="K2960" s="2" t="str">
        <f>HYPERLINK("https://www.nba.com/stats/events?CFID=&amp;CFPARAMS=&amp;GameEventID=19&amp;GameID=0021300039&amp;Season=2013-14&amp;flag=1&amp;title=Leonard%2017'%20Pullup%20Jump%20Shot%20(2%20PTS)", "Leonard 17' Pullup Jump Shot (2 PTS)")</f>
        <v>Leonard 17' Pullup Jump Shot (2 PTS)</v>
      </c>
      <c r="L2960" s="2" t="str">
        <f>HYPERLINK("https://www.nba.com/game/...-vs-...-0021300039/play-by-play?watchFullGame=true", "SAS vs POR - Q1 09:31.00")</f>
        <v>SAS vs POR - Q1 09:31.00</v>
      </c>
      <c r="M2960">
        <v>17</v>
      </c>
      <c r="N2960">
        <v>168</v>
      </c>
      <c r="O2960">
        <v>0</v>
      </c>
      <c r="P2960">
        <v>168</v>
      </c>
      <c r="Q2960">
        <v>0</v>
      </c>
      <c r="R2960" t="s">
        <v>21</v>
      </c>
      <c r="S2960" t="s">
        <v>21</v>
      </c>
    </row>
    <row r="2961" spans="1:19" hidden="1" x14ac:dyDescent="0.25">
      <c r="A2961">
        <v>21300514</v>
      </c>
      <c r="B2961" t="s">
        <v>18</v>
      </c>
      <c r="C2961" t="s">
        <v>36</v>
      </c>
      <c r="D2961">
        <v>43</v>
      </c>
      <c r="E2961">
        <v>33</v>
      </c>
      <c r="F2961">
        <v>10</v>
      </c>
      <c r="G2961">
        <v>2</v>
      </c>
      <c r="H2961" s="1">
        <v>2.2685185185185187E-3</v>
      </c>
      <c r="I2961">
        <v>2013</v>
      </c>
      <c r="J2961" t="s">
        <v>20</v>
      </c>
      <c r="K2961" s="2" t="str">
        <f>HYPERLINK("https://www.nba.com/stats/events?CFID=&amp;CFPARAMS=&amp;GameEventID=191&amp;GameID=0021300514&amp;Season=2013-14&amp;flag=1&amp;title=Leonard%2017'%20Pullup%20Jump%20Shot%20(9%20PTS)", "Leonard 17' Pullup Jump Shot (9 PTS)")</f>
        <v>Leonard 17' Pullup Jump Shot (9 PTS)</v>
      </c>
      <c r="L2961" s="2" t="str">
        <f>HYPERLINK("https://www.nba.com/game/...-vs-...-0021300514/play-by-play?watchFullGame=true", "SAS vs MEM - Q2 03:16.00")</f>
        <v>SAS vs MEM - Q2 03:16.00</v>
      </c>
      <c r="M2961">
        <v>17</v>
      </c>
      <c r="N2961">
        <v>170</v>
      </c>
      <c r="O2961">
        <v>0</v>
      </c>
      <c r="P2961">
        <v>170</v>
      </c>
      <c r="Q2961">
        <v>0</v>
      </c>
      <c r="R2961" t="s">
        <v>21</v>
      </c>
      <c r="S2961" t="s">
        <v>21</v>
      </c>
    </row>
    <row r="2962" spans="1:19" hidden="1" x14ac:dyDescent="0.25">
      <c r="A2962">
        <v>21400291</v>
      </c>
      <c r="B2962" t="s">
        <v>18</v>
      </c>
      <c r="C2962" t="s">
        <v>19</v>
      </c>
      <c r="D2962">
        <v>62</v>
      </c>
      <c r="E2962">
        <v>44</v>
      </c>
      <c r="F2962">
        <v>18</v>
      </c>
      <c r="G2962">
        <v>2</v>
      </c>
      <c r="H2962" s="1">
        <v>1.3078703703703703E-3</v>
      </c>
      <c r="I2962">
        <v>2014</v>
      </c>
      <c r="J2962" t="s">
        <v>20</v>
      </c>
      <c r="K2962" s="2" t="str">
        <f>HYPERLINK("https://www.nba.com/stats/events?CFID=&amp;CFPARAMS=&amp;GameEventID=238&amp;GameID=0021400291&amp;Season=2014-15&amp;flag=1&amp;title=Leonard%2019'%20Jump%20Shot%20(12%20PTS)%20(Diaw%204%20AST)", "Leonard 19' Jump Shot (12 PTS) (Diaw 4 AST)")</f>
        <v>Leonard 19' Jump Shot (12 PTS) (Diaw 4 AST)</v>
      </c>
      <c r="L2962" s="2" t="str">
        <f>HYPERLINK("https://www.nba.com/game/...-vs-...-0021400291/play-by-play?watchFullGame=true", "SAS vs MIN - Q2 01:53.00")</f>
        <v>SAS vs MIN - Q2 01:53.00</v>
      </c>
      <c r="M2962">
        <v>19</v>
      </c>
      <c r="N2962">
        <v>185</v>
      </c>
      <c r="O2962">
        <v>0</v>
      </c>
      <c r="P2962">
        <v>185</v>
      </c>
      <c r="Q2962">
        <v>0</v>
      </c>
      <c r="R2962" t="s">
        <v>21</v>
      </c>
      <c r="S2962" t="s">
        <v>21</v>
      </c>
    </row>
    <row r="2963" spans="1:19" hidden="1" x14ac:dyDescent="0.25">
      <c r="A2963">
        <v>21600003</v>
      </c>
      <c r="B2963" t="s">
        <v>18</v>
      </c>
      <c r="C2963" t="s">
        <v>19</v>
      </c>
      <c r="D2963">
        <v>40</v>
      </c>
      <c r="E2963">
        <v>25</v>
      </c>
      <c r="F2963">
        <v>15</v>
      </c>
      <c r="G2963">
        <v>2</v>
      </c>
      <c r="H2963" s="1">
        <v>5.4050925925925924E-3</v>
      </c>
      <c r="I2963">
        <v>2016</v>
      </c>
      <c r="J2963" t="s">
        <v>20</v>
      </c>
      <c r="K2963" s="2" t="str">
        <f>HYPERLINK("https://www.nba.com/stats/events?CFID=&amp;CFPARAMS=&amp;GameEventID=169&amp;GameID=0021600003&amp;Season=2016-17&amp;flag=1&amp;title=Leonard%2020'%20Jump%20Shot%20(8%20PTS)%20(Parker%203%20AST)", "Leonard 20' Jump Shot (8 PTS) (Parker 3 AST)")</f>
        <v>Leonard 20' Jump Shot (8 PTS) (Parker 3 AST)</v>
      </c>
      <c r="L2963" s="2" t="str">
        <f>HYPERLINK("https://www.nba.com/game/...-vs-...-0021600003/play-by-play?watchFullGame=true", "SAS vs GSW - Q2 07:47.00")</f>
        <v>SAS vs GSW - Q2 07:47.00</v>
      </c>
      <c r="M2963">
        <v>20</v>
      </c>
      <c r="N2963">
        <v>202</v>
      </c>
      <c r="O2963">
        <v>0</v>
      </c>
      <c r="P2963">
        <v>202</v>
      </c>
      <c r="Q2963">
        <v>0</v>
      </c>
      <c r="R2963" t="s">
        <v>21</v>
      </c>
      <c r="S2963" t="s">
        <v>21</v>
      </c>
    </row>
    <row r="2964" spans="1:19" hidden="1" x14ac:dyDescent="0.25">
      <c r="A2964">
        <v>21600225</v>
      </c>
      <c r="B2964" t="s">
        <v>18</v>
      </c>
      <c r="C2964" t="s">
        <v>19</v>
      </c>
      <c r="D2964">
        <v>37</v>
      </c>
      <c r="E2964">
        <v>38</v>
      </c>
      <c r="F2964">
        <v>1</v>
      </c>
      <c r="G2964">
        <v>2</v>
      </c>
      <c r="H2964" s="1">
        <v>3.1597222222222222E-3</v>
      </c>
      <c r="I2964">
        <v>2016</v>
      </c>
      <c r="J2964" t="s">
        <v>20</v>
      </c>
      <c r="K2964" s="2" t="str">
        <f>HYPERLINK("https://www.nba.com/stats/events?CFID=&amp;CFPARAMS=&amp;GameEventID=182&amp;GameID=0021600225&amp;Season=2016-17&amp;flag=1&amp;title=Leonard%2018'%20Jump%20Shot%20(10%20PTS)%20(Aldridge%201%20AST)", "Leonard 18' Jump Shot (10 PTS) (Aldridge 1 AST)")</f>
        <v>Leonard 18' Jump Shot (10 PTS) (Aldridge 1 AST)</v>
      </c>
      <c r="L2964" s="2" t="str">
        <f>HYPERLINK("https://www.nba.com/game/...-vs-...-0021600225/play-by-play?watchFullGame=true", "SAS vs BOS - Q2 04:33.00")</f>
        <v>SAS vs BOS - Q2 04:33.00</v>
      </c>
      <c r="M2964">
        <v>18</v>
      </c>
      <c r="N2964">
        <v>-179</v>
      </c>
      <c r="O2964">
        <v>2</v>
      </c>
      <c r="P2964">
        <v>-179</v>
      </c>
      <c r="Q2964">
        <v>2</v>
      </c>
      <c r="R2964" t="s">
        <v>21</v>
      </c>
      <c r="S2964" t="s">
        <v>21</v>
      </c>
    </row>
    <row r="2965" spans="1:19" hidden="1" x14ac:dyDescent="0.25">
      <c r="A2965">
        <v>21501161</v>
      </c>
      <c r="B2965" t="s">
        <v>18</v>
      </c>
      <c r="C2965" t="s">
        <v>19</v>
      </c>
      <c r="D2965">
        <v>88</v>
      </c>
      <c r="E2965">
        <v>86</v>
      </c>
      <c r="F2965">
        <v>2</v>
      </c>
      <c r="G2965">
        <v>4</v>
      </c>
      <c r="H2965" s="1">
        <v>5.6712962962962965E-5</v>
      </c>
      <c r="I2965">
        <v>2015</v>
      </c>
      <c r="J2965" t="s">
        <v>20</v>
      </c>
      <c r="K2965" s="2" t="str">
        <f>HYPERLINK("https://www.nba.com/stats/events?CFID=&amp;CFPARAMS=&amp;GameEventID=450&amp;GameID=0021501161&amp;Season=2015-16&amp;flag=1&amp;title=Leonard%2016'%20Jump%20Shot%20(18%20PTS)%20(Anderson%204%20AST)", "Leonard 16' Jump Shot (18 PTS) (Anderson 4 AST)")</f>
        <v>Leonard 16' Jump Shot (18 PTS) (Anderson 4 AST)</v>
      </c>
      <c r="L2965" s="2" t="str">
        <f>HYPERLINK("https://www.nba.com/game/...-vs-...-0021501161/play-by-play?watchFullGame=true", "SAS vs UTA - Q4 00:04.90")</f>
        <v>SAS vs UTA - Q4 00:04.90</v>
      </c>
      <c r="M2965">
        <v>16</v>
      </c>
      <c r="N2965">
        <v>158</v>
      </c>
      <c r="O2965">
        <v>2</v>
      </c>
      <c r="P2965">
        <v>158</v>
      </c>
      <c r="Q2965">
        <v>2</v>
      </c>
      <c r="R2965" t="s">
        <v>21</v>
      </c>
      <c r="S2965" t="s">
        <v>21</v>
      </c>
    </row>
    <row r="2966" spans="1:19" hidden="1" x14ac:dyDescent="0.25">
      <c r="A2966">
        <v>21601011</v>
      </c>
      <c r="B2966" t="s">
        <v>18</v>
      </c>
      <c r="C2966" t="s">
        <v>34</v>
      </c>
      <c r="D2966">
        <v>57</v>
      </c>
      <c r="E2966">
        <v>56</v>
      </c>
      <c r="F2966">
        <v>1</v>
      </c>
      <c r="G2966">
        <v>3</v>
      </c>
      <c r="H2966" s="1">
        <v>7.8472222222222224E-3</v>
      </c>
      <c r="I2966">
        <v>2016</v>
      </c>
      <c r="J2966" t="s">
        <v>20</v>
      </c>
      <c r="K2966" s="2" t="str">
        <f>HYPERLINK("https://www.nba.com/stats/events?CFID=&amp;CFPARAMS=&amp;GameEventID=228&amp;GameID=0021601011&amp;Season=2016-17&amp;flag=1&amp;title=Leonard%2016'%20Turnaround%20Jump%20Shot%20(19%20PTS)%20(Aldridge%202%20AST)", "Leonard 16' Turnaround Jump Shot (19 PTS) (Aldridge 2 AST)")</f>
        <v>Leonard 16' Turnaround Jump Shot (19 PTS) (Aldridge 2 AST)</v>
      </c>
      <c r="L2966" s="2" t="str">
        <f>HYPERLINK("https://www.nba.com/game/...-vs-...-0021601011/play-by-play?watchFullGame=true", "SAS vs POR - Q3 11:18.00")</f>
        <v>SAS vs POR - Q3 11:18.00</v>
      </c>
      <c r="M2966">
        <v>16</v>
      </c>
      <c r="N2966">
        <v>159</v>
      </c>
      <c r="O2966">
        <v>2</v>
      </c>
      <c r="P2966">
        <v>159</v>
      </c>
      <c r="Q2966">
        <v>2</v>
      </c>
      <c r="R2966" t="s">
        <v>21</v>
      </c>
      <c r="S2966" t="s">
        <v>21</v>
      </c>
    </row>
    <row r="2967" spans="1:19" hidden="1" x14ac:dyDescent="0.25">
      <c r="A2967">
        <v>21600558</v>
      </c>
      <c r="B2967" t="s">
        <v>18</v>
      </c>
      <c r="C2967" t="s">
        <v>19</v>
      </c>
      <c r="D2967">
        <v>42</v>
      </c>
      <c r="E2967">
        <v>42</v>
      </c>
      <c r="F2967">
        <v>0</v>
      </c>
      <c r="G2967">
        <v>2</v>
      </c>
      <c r="H2967" s="1">
        <v>2.662037037037037E-3</v>
      </c>
      <c r="I2967">
        <v>2016</v>
      </c>
      <c r="J2967" t="s">
        <v>20</v>
      </c>
      <c r="K2967" s="2" t="str">
        <f>HYPERLINK("https://www.nba.com/stats/events?CFID=&amp;CFPARAMS=&amp;GameEventID=192&amp;GameID=0021600558&amp;Season=2016-17&amp;flag=1&amp;title=Leonard%2016'%20Jump%20Shot%20(13%20PTS)%20(Ginobili%201%20AST)", "Leonard 16' Jump Shot (13 PTS) (Ginobili 1 AST)")</f>
        <v>Leonard 16' Jump Shot (13 PTS) (Ginobili 1 AST)</v>
      </c>
      <c r="L2967" s="2" t="str">
        <f>HYPERLINK("https://www.nba.com/game/...-vs-...-0021600558/play-by-play?watchFullGame=true", "SAS vs CHA - Q2 03:50.00")</f>
        <v>SAS vs CHA - Q2 03:50.00</v>
      </c>
      <c r="M2967">
        <v>16</v>
      </c>
      <c r="N2967">
        <v>159</v>
      </c>
      <c r="O2967">
        <v>3</v>
      </c>
      <c r="P2967">
        <v>159</v>
      </c>
      <c r="Q2967">
        <v>3</v>
      </c>
      <c r="R2967" t="s">
        <v>21</v>
      </c>
      <c r="S2967" t="s">
        <v>21</v>
      </c>
    </row>
    <row r="2968" spans="1:19" hidden="1" x14ac:dyDescent="0.25">
      <c r="A2968">
        <v>41600154</v>
      </c>
      <c r="B2968" t="s">
        <v>18</v>
      </c>
      <c r="C2968" t="s">
        <v>19</v>
      </c>
      <c r="D2968">
        <v>24</v>
      </c>
      <c r="E2968">
        <v>14</v>
      </c>
      <c r="F2968">
        <v>10</v>
      </c>
      <c r="G2968">
        <v>1</v>
      </c>
      <c r="H2968" s="1">
        <v>1.3310185185185185E-3</v>
      </c>
      <c r="I2968" t="s">
        <v>58</v>
      </c>
      <c r="J2968" t="s">
        <v>20</v>
      </c>
      <c r="K2968" s="2" t="str">
        <f>HYPERLINK("https://www.nba.com/stats/events?CFID=&amp;CFPARAMS=&amp;GameEventID=85&amp;GameID=0041600154&amp;Season=2016-17&amp;flag=1&amp;title=Leonard%2018'%20Jump%20Shot%20(9%20PTS)%20(Ginobili%201%20AST)", "Leonard 18' Jump Shot (9 PTS) (Ginobili 1 AST)")</f>
        <v>Leonard 18' Jump Shot (9 PTS) (Ginobili 1 AST)</v>
      </c>
      <c r="L2968" s="2" t="str">
        <f>HYPERLINK("https://www.nba.com/game/...-vs-...-0041600154/play-by-play?watchFullGame=true", "SAS vs MEM - Q1 01:55.00")</f>
        <v>SAS vs MEM - Q1 01:55.00</v>
      </c>
      <c r="M2968">
        <v>18</v>
      </c>
      <c r="N2968">
        <v>179</v>
      </c>
      <c r="O2968">
        <v>3</v>
      </c>
      <c r="P2968">
        <v>179</v>
      </c>
      <c r="Q2968">
        <v>3</v>
      </c>
      <c r="R2968" t="s">
        <v>21</v>
      </c>
      <c r="S2968" t="s">
        <v>21</v>
      </c>
    </row>
    <row r="2969" spans="1:19" hidden="1" x14ac:dyDescent="0.25">
      <c r="A2969">
        <v>21400921</v>
      </c>
      <c r="B2969" t="s">
        <v>18</v>
      </c>
      <c r="C2969" t="s">
        <v>19</v>
      </c>
      <c r="D2969">
        <v>21</v>
      </c>
      <c r="E2969">
        <v>13</v>
      </c>
      <c r="F2969">
        <v>8</v>
      </c>
      <c r="G2969">
        <v>1</v>
      </c>
      <c r="H2969" s="1">
        <v>4.409722222222222E-3</v>
      </c>
      <c r="I2969">
        <v>2014</v>
      </c>
      <c r="J2969" t="s">
        <v>20</v>
      </c>
      <c r="K2969" s="2" t="str">
        <f>HYPERLINK("https://www.nba.com/stats/events?CFID=&amp;CFPARAMS=&amp;GameEventID=43&amp;GameID=0021400921&amp;Season=2014-15&amp;flag=1&amp;title=Leonard%2016'%20Jump%20Shot%20(5%20PTS)", "Leonard 16' Jump Shot (5 PTS)")</f>
        <v>Leonard 16' Jump Shot (5 PTS)</v>
      </c>
      <c r="L2969" s="2" t="str">
        <f>HYPERLINK("https://www.nba.com/game/...-vs-...-0021400921/play-by-play?watchFullGame=true", "SAS vs DEN - Q1 06:21.00")</f>
        <v>SAS vs DEN - Q1 06:21.00</v>
      </c>
      <c r="M2969">
        <v>16</v>
      </c>
      <c r="N2969">
        <v>159</v>
      </c>
      <c r="O2969">
        <v>4</v>
      </c>
      <c r="P2969">
        <v>159</v>
      </c>
      <c r="Q2969">
        <v>4</v>
      </c>
      <c r="R2969" t="s">
        <v>21</v>
      </c>
      <c r="S2969" t="s">
        <v>21</v>
      </c>
    </row>
    <row r="2970" spans="1:19" hidden="1" x14ac:dyDescent="0.25">
      <c r="A2970">
        <v>21400089</v>
      </c>
      <c r="B2970" t="s">
        <v>18</v>
      </c>
      <c r="C2970" t="s">
        <v>19</v>
      </c>
      <c r="D2970">
        <v>86</v>
      </c>
      <c r="E2970">
        <v>94</v>
      </c>
      <c r="F2970">
        <v>8</v>
      </c>
      <c r="G2970">
        <v>4</v>
      </c>
      <c r="H2970" s="1">
        <v>3.1597222222222222E-3</v>
      </c>
      <c r="I2970">
        <v>2014</v>
      </c>
      <c r="J2970" t="s">
        <v>20</v>
      </c>
      <c r="K2970" s="2" t="str">
        <f>HYPERLINK("https://www.nba.com/stats/events?CFID=&amp;CFPARAMS=&amp;GameEventID=471&amp;GameID=0021400089&amp;Season=2014-15&amp;flag=1&amp;title=Leonard%2016'%20Jump%20Shot%20(10%20PTS)%20(Joseph%201%20AST)", "Leonard 16' Jump Shot (10 PTS) (Joseph 1 AST)")</f>
        <v>Leonard 16' Jump Shot (10 PTS) (Joseph 1 AST)</v>
      </c>
      <c r="L2970" s="2" t="str">
        <f>HYPERLINK("https://www.nba.com/game/...-vs-...-0021400089/play-by-play?watchFullGame=true", "SAS vs NOP - Q4 04:33.00")</f>
        <v>SAS vs NOP - Q4 04:33.00</v>
      </c>
      <c r="M2970">
        <v>16</v>
      </c>
      <c r="N2970">
        <v>160</v>
      </c>
      <c r="O2970">
        <v>4</v>
      </c>
      <c r="P2970">
        <v>160</v>
      </c>
      <c r="Q2970">
        <v>4</v>
      </c>
      <c r="R2970" t="s">
        <v>21</v>
      </c>
      <c r="S2970" t="s">
        <v>21</v>
      </c>
    </row>
    <row r="2971" spans="1:19" hidden="1" x14ac:dyDescent="0.25">
      <c r="A2971">
        <v>21300181</v>
      </c>
      <c r="B2971" t="s">
        <v>18</v>
      </c>
      <c r="C2971" t="s">
        <v>19</v>
      </c>
      <c r="D2971">
        <v>51</v>
      </c>
      <c r="E2971">
        <v>37</v>
      </c>
      <c r="F2971">
        <v>14</v>
      </c>
      <c r="G2971">
        <v>2</v>
      </c>
      <c r="H2971" s="1">
        <v>9.1435185185185188E-5</v>
      </c>
      <c r="I2971">
        <v>2013</v>
      </c>
      <c r="J2971" t="s">
        <v>20</v>
      </c>
      <c r="K2971" s="2" t="str">
        <f>HYPERLINK("https://www.nba.com/stats/events?CFID=&amp;CFPARAMS=&amp;GameEventID=197&amp;GameID=0021300181&amp;Season=2013-14&amp;flag=1&amp;title=Leonard%2016'%20Jump%20Shot%20(8%20PTS)%20(Parker%203%20AST)", "Leonard 16' Jump Shot (8 PTS) (Parker 3 AST)")</f>
        <v>Leonard 16' Jump Shot (8 PTS) (Parker 3 AST)</v>
      </c>
      <c r="L2971" s="2" t="str">
        <f>HYPERLINK("https://www.nba.com/game/...-vs-...-0021300181/play-by-play?watchFullGame=true", "SAS vs MEM - Q2 00:07.90")</f>
        <v>SAS vs MEM - Q2 00:07.90</v>
      </c>
      <c r="M2971">
        <v>16</v>
      </c>
      <c r="N2971">
        <v>163</v>
      </c>
      <c r="O2971">
        <v>4</v>
      </c>
      <c r="P2971">
        <v>163</v>
      </c>
      <c r="Q2971">
        <v>4</v>
      </c>
      <c r="R2971" t="s">
        <v>21</v>
      </c>
      <c r="S2971" t="s">
        <v>21</v>
      </c>
    </row>
    <row r="2972" spans="1:19" hidden="1" x14ac:dyDescent="0.25">
      <c r="A2972">
        <v>41200236</v>
      </c>
      <c r="B2972" t="s">
        <v>18</v>
      </c>
      <c r="C2972" t="s">
        <v>36</v>
      </c>
      <c r="D2972">
        <v>14</v>
      </c>
      <c r="E2972">
        <v>11</v>
      </c>
      <c r="F2972">
        <v>3</v>
      </c>
      <c r="G2972">
        <v>1</v>
      </c>
      <c r="H2972" s="1">
        <v>3.449074074074074E-3</v>
      </c>
      <c r="I2972" t="s">
        <v>53</v>
      </c>
      <c r="J2972" t="s">
        <v>20</v>
      </c>
      <c r="K2972" s="2" t="str">
        <f>HYPERLINK("https://www.nba.com/stats/events?CFID=&amp;CFPARAMS=&amp;GameEventID=54&amp;GameID=0041200236&amp;Season=2012-13&amp;flag=1&amp;title=Leonard%2021'%20Pullup%20Jump%20Shot%20(2%20PTS)%20(Ginobili%202%20AST)", "Leonard 21' Pullup Jump Shot (2 PTS) (Ginobili 2 AST)")</f>
        <v>Leonard 21' Pullup Jump Shot (2 PTS) (Ginobili 2 AST)</v>
      </c>
      <c r="L2972" s="2" t="str">
        <f>HYPERLINK("https://www.nba.com/game/...-vs-...-0041200236/play-by-play?watchFullGame=true", "SAS vs GSW - Q1 04:58.00")</f>
        <v>SAS vs GSW - Q1 04:58.00</v>
      </c>
      <c r="M2972">
        <v>21</v>
      </c>
      <c r="N2972">
        <v>-209</v>
      </c>
      <c r="O2972">
        <v>6</v>
      </c>
      <c r="P2972">
        <v>-209</v>
      </c>
      <c r="Q2972">
        <v>6</v>
      </c>
      <c r="R2972" t="s">
        <v>21</v>
      </c>
      <c r="S2972" t="s">
        <v>21</v>
      </c>
    </row>
    <row r="2973" spans="1:19" hidden="1" x14ac:dyDescent="0.25">
      <c r="A2973">
        <v>21401110</v>
      </c>
      <c r="B2973" t="s">
        <v>18</v>
      </c>
      <c r="C2973" t="s">
        <v>19</v>
      </c>
      <c r="D2973">
        <v>77</v>
      </c>
      <c r="E2973">
        <v>60</v>
      </c>
      <c r="F2973">
        <v>17</v>
      </c>
      <c r="G2973">
        <v>4</v>
      </c>
      <c r="H2973" s="1">
        <v>6.5624999999999998E-3</v>
      </c>
      <c r="I2973">
        <v>2014</v>
      </c>
      <c r="J2973" t="s">
        <v>20</v>
      </c>
      <c r="K2973" s="2" t="str">
        <f>HYPERLINK("https://www.nba.com/stats/events?CFID=&amp;CFPARAMS=&amp;GameEventID=387&amp;GameID=0021401110&amp;Season=2014-15&amp;flag=1&amp;title=Leonard%2018'%20Jump%20Shot%20(18%20PTS)%20(Diaw%202%20AST)", "Leonard 18' Jump Shot (18 PTS) (Diaw 2 AST)")</f>
        <v>Leonard 18' Jump Shot (18 PTS) (Diaw 2 AST)</v>
      </c>
      <c r="L2973" s="2" t="str">
        <f>HYPERLINK("https://www.nba.com/game/...-vs-...-0021401110/play-by-play?watchFullGame=true", "SAS vs MIA - Q4 09:27.00")</f>
        <v>SAS vs MIA - Q4 09:27.00</v>
      </c>
      <c r="M2973">
        <v>18</v>
      </c>
      <c r="N2973">
        <v>-177</v>
      </c>
      <c r="O2973">
        <v>6</v>
      </c>
      <c r="P2973">
        <v>-177</v>
      </c>
      <c r="Q2973">
        <v>6</v>
      </c>
      <c r="R2973" t="s">
        <v>21</v>
      </c>
      <c r="S2973" t="s">
        <v>21</v>
      </c>
    </row>
    <row r="2974" spans="1:19" hidden="1" x14ac:dyDescent="0.25">
      <c r="A2974">
        <v>21600213</v>
      </c>
      <c r="B2974" t="s">
        <v>18</v>
      </c>
      <c r="C2974" t="s">
        <v>38</v>
      </c>
      <c r="D2974">
        <v>108</v>
      </c>
      <c r="E2974">
        <v>102</v>
      </c>
      <c r="F2974">
        <v>6</v>
      </c>
      <c r="G2974">
        <v>4</v>
      </c>
      <c r="H2974" s="1">
        <v>1.3078703703703703E-3</v>
      </c>
      <c r="I2974">
        <v>2016</v>
      </c>
      <c r="J2974" t="s">
        <v>20</v>
      </c>
      <c r="K2974" s="2" t="str">
        <f>HYPERLINK("https://www.nba.com/stats/events?CFID=&amp;CFPARAMS=&amp;GameEventID=463&amp;GameID=0021600213&amp;Season=2016-17&amp;flag=1&amp;title=Leonard%2017'%20Turnaround%20Fadeaway%20(30%20PTS)%20(Aldridge%202%20AST)", "Leonard 17' Turnaround Fadeaway (30 PTS) (Aldridge 2 AST)")</f>
        <v>Leonard 17' Turnaround Fadeaway (30 PTS) (Aldridge 2 AST)</v>
      </c>
      <c r="L2974" s="2" t="str">
        <f>HYPERLINK("https://www.nba.com/game/...-vs-...-0021600213/play-by-play?watchFullGame=true", "SAS vs CHA - Q4 01:53.00")</f>
        <v>SAS vs CHA - Q4 01:53.00</v>
      </c>
      <c r="M2974">
        <v>17</v>
      </c>
      <c r="N2974">
        <v>-173</v>
      </c>
      <c r="O2974">
        <v>7</v>
      </c>
      <c r="P2974">
        <v>-173</v>
      </c>
      <c r="Q2974">
        <v>7</v>
      </c>
      <c r="R2974" t="s">
        <v>21</v>
      </c>
      <c r="S2974" t="s">
        <v>21</v>
      </c>
    </row>
    <row r="2975" spans="1:19" hidden="1" x14ac:dyDescent="0.25">
      <c r="A2975">
        <v>21401028</v>
      </c>
      <c r="B2975" t="s">
        <v>18</v>
      </c>
      <c r="C2975" t="s">
        <v>36</v>
      </c>
      <c r="D2975">
        <v>6</v>
      </c>
      <c r="E2975">
        <v>2</v>
      </c>
      <c r="F2975">
        <v>4</v>
      </c>
      <c r="G2975">
        <v>1</v>
      </c>
      <c r="H2975" s="1">
        <v>7.3611111111111108E-3</v>
      </c>
      <c r="I2975">
        <v>2014</v>
      </c>
      <c r="J2975" t="s">
        <v>20</v>
      </c>
      <c r="K2975" s="2" t="str">
        <f>HYPERLINK("https://www.nba.com/stats/events?CFID=&amp;CFPARAMS=&amp;GameEventID=14&amp;GameID=0021401028&amp;Season=2014-15&amp;flag=1&amp;title=Leonard%2016'%20Pullup%20Jump%20Shot%20(4%20PTS)", "Leonard 16' Pullup Jump Shot (4 PTS)")</f>
        <v>Leonard 16' Pullup Jump Shot (4 PTS)</v>
      </c>
      <c r="L2975" s="2" t="str">
        <f>HYPERLINK("https://www.nba.com/game/...-vs-...-0021401028/play-by-play?watchFullGame=true", "SAS vs BOS - Q1 10:36.00")</f>
        <v>SAS vs BOS - Q1 10:36.00</v>
      </c>
      <c r="M2975">
        <v>16</v>
      </c>
      <c r="N2975">
        <v>-160</v>
      </c>
      <c r="O2975">
        <v>7</v>
      </c>
      <c r="P2975">
        <v>-160</v>
      </c>
      <c r="Q2975">
        <v>7</v>
      </c>
      <c r="R2975" t="s">
        <v>21</v>
      </c>
      <c r="S2975" t="s">
        <v>21</v>
      </c>
    </row>
    <row r="2976" spans="1:19" hidden="1" x14ac:dyDescent="0.25">
      <c r="A2976">
        <v>21600213</v>
      </c>
      <c r="B2976" t="s">
        <v>18</v>
      </c>
      <c r="C2976" t="s">
        <v>39</v>
      </c>
      <c r="D2976">
        <v>59</v>
      </c>
      <c r="E2976">
        <v>58</v>
      </c>
      <c r="F2976">
        <v>1</v>
      </c>
      <c r="G2976">
        <v>2</v>
      </c>
      <c r="H2976" s="1">
        <v>8.9120370370370373E-4</v>
      </c>
      <c r="I2976">
        <v>2016</v>
      </c>
      <c r="J2976" t="s">
        <v>20</v>
      </c>
      <c r="K2976" s="2" t="str">
        <f>HYPERLINK("https://www.nba.com/stats/events?CFID=&amp;CFPARAMS=&amp;GameEventID=223&amp;GameID=0021600213&amp;Season=2016-17&amp;flag=1&amp;title=Leonard%2016'%20Step%20Back%20Jump%20Shot%20(16%20PTS)", "Leonard 16' Step Back Jump Shot (16 PTS)")</f>
        <v>Leonard 16' Step Back Jump Shot (16 PTS)</v>
      </c>
      <c r="L2976" s="2" t="str">
        <f>HYPERLINK("https://www.nba.com/game/...-vs-...-0021600213/play-by-play?watchFullGame=true", "SAS vs CHA - Q2 01:17.00")</f>
        <v>SAS vs CHA - Q2 01:17.00</v>
      </c>
      <c r="M2976">
        <v>16</v>
      </c>
      <c r="N2976">
        <v>155</v>
      </c>
      <c r="O2976">
        <v>7</v>
      </c>
      <c r="P2976">
        <v>155</v>
      </c>
      <c r="Q2976">
        <v>7</v>
      </c>
      <c r="R2976" t="s">
        <v>21</v>
      </c>
      <c r="S2976" t="s">
        <v>21</v>
      </c>
    </row>
    <row r="2977" spans="1:19" hidden="1" x14ac:dyDescent="0.25">
      <c r="A2977">
        <v>21600053</v>
      </c>
      <c r="B2977" t="s">
        <v>18</v>
      </c>
      <c r="C2977" t="s">
        <v>36</v>
      </c>
      <c r="D2977">
        <v>4</v>
      </c>
      <c r="E2977">
        <v>0</v>
      </c>
      <c r="F2977">
        <v>4</v>
      </c>
      <c r="G2977">
        <v>1</v>
      </c>
      <c r="H2977" s="1">
        <v>7.5810185185185182E-3</v>
      </c>
      <c r="I2977">
        <v>2016</v>
      </c>
      <c r="J2977" t="s">
        <v>20</v>
      </c>
      <c r="K2977" s="2" t="str">
        <f>HYPERLINK("https://www.nba.com/stats/events?CFID=&amp;CFPARAMS=&amp;GameEventID=6&amp;GameID=0021600053&amp;Season=2016-17&amp;flag=1&amp;title=Leonard%2017'%20Pullup%20Jump%20Shot%20(2%20PTS)", "Leonard 17' Pullup Jump Shot (2 PTS)")</f>
        <v>Leonard 17' Pullup Jump Shot (2 PTS)</v>
      </c>
      <c r="L2977" s="2" t="str">
        <f>HYPERLINK("https://www.nba.com/game/...-vs-...-0021600053/play-by-play?watchFullGame=true", "SAS vs UTA - Q1 10:55.00")</f>
        <v>SAS vs UTA - Q1 10:55.00</v>
      </c>
      <c r="M2977">
        <v>17</v>
      </c>
      <c r="N2977">
        <v>168</v>
      </c>
      <c r="O2977">
        <v>7</v>
      </c>
      <c r="P2977">
        <v>168</v>
      </c>
      <c r="Q2977">
        <v>7</v>
      </c>
      <c r="R2977" t="s">
        <v>21</v>
      </c>
      <c r="S2977" t="s">
        <v>21</v>
      </c>
    </row>
    <row r="2978" spans="1:19" hidden="1" x14ac:dyDescent="0.25">
      <c r="A2978">
        <v>21400906</v>
      </c>
      <c r="B2978" t="s">
        <v>18</v>
      </c>
      <c r="C2978" t="s">
        <v>19</v>
      </c>
      <c r="D2978">
        <v>15</v>
      </c>
      <c r="E2978">
        <v>11</v>
      </c>
      <c r="F2978">
        <v>4</v>
      </c>
      <c r="G2978">
        <v>1</v>
      </c>
      <c r="H2978" s="1">
        <v>4.3055555555555555E-3</v>
      </c>
      <c r="I2978">
        <v>2014</v>
      </c>
      <c r="J2978" t="s">
        <v>20</v>
      </c>
      <c r="K2978" s="2" t="str">
        <f>HYPERLINK("https://www.nba.com/stats/events?CFID=&amp;CFPARAMS=&amp;GameEventID=47&amp;GameID=0021400906&amp;Season=2014-15&amp;flag=1&amp;title=Leonard%2019'%20Jump%20Shot%20(9%20PTS)", "Leonard 19' Jump Shot (9 PTS)")</f>
        <v>Leonard 19' Jump Shot (9 PTS)</v>
      </c>
      <c r="L2978" s="2" t="str">
        <f>HYPERLINK("https://www.nba.com/game/...-vs-...-0021400906/play-by-play?watchFullGame=true", "SAS vs SAC - Q1 06:12.00")</f>
        <v>SAS vs SAC - Q1 06:12.00</v>
      </c>
      <c r="M2978">
        <v>19</v>
      </c>
      <c r="N2978">
        <v>189</v>
      </c>
      <c r="O2978">
        <v>7</v>
      </c>
      <c r="P2978">
        <v>189</v>
      </c>
      <c r="Q2978">
        <v>7</v>
      </c>
      <c r="R2978" t="s">
        <v>21</v>
      </c>
      <c r="S2978" t="s">
        <v>21</v>
      </c>
    </row>
    <row r="2979" spans="1:19" hidden="1" x14ac:dyDescent="0.25">
      <c r="A2979">
        <v>21800961</v>
      </c>
      <c r="B2979" t="s">
        <v>18</v>
      </c>
      <c r="C2979" t="s">
        <v>39</v>
      </c>
      <c r="D2979">
        <v>4</v>
      </c>
      <c r="E2979">
        <v>6</v>
      </c>
      <c r="F2979">
        <v>2</v>
      </c>
      <c r="G2979">
        <v>1</v>
      </c>
      <c r="H2979" s="1">
        <v>5.9606481481481481E-3</v>
      </c>
      <c r="I2979">
        <v>2018</v>
      </c>
      <c r="J2979" t="s">
        <v>48</v>
      </c>
      <c r="K2979" s="2" t="str">
        <f>HYPERLINK("https://www.nba.com/stats/events?CFID=&amp;CFPARAMS=&amp;GameEventID=44&amp;GameID=0021800961&amp;Season=2018-19&amp;flag=1&amp;title=Leonard%2016'%20Step%20Back%20Jump%20Shot%20(4%20PTS)", "Leonard 16' Step Back Jump Shot (4 PTS)")</f>
        <v>Leonard 16' Step Back Jump Shot (4 PTS)</v>
      </c>
      <c r="L2979" s="2" t="str">
        <f>HYPERLINK("https://www.nba.com/game/...-vs-...-0021800961/play-by-play?watchFullGame=true", "TOR vs HOU - Q1 08:35.00")</f>
        <v>TOR vs HOU - Q1 08:35.00</v>
      </c>
      <c r="M2979">
        <v>16</v>
      </c>
      <c r="N2979">
        <v>-159</v>
      </c>
      <c r="O2979">
        <v>8</v>
      </c>
      <c r="P2979">
        <v>-159</v>
      </c>
      <c r="Q2979">
        <v>8</v>
      </c>
      <c r="R2979" t="s">
        <v>21</v>
      </c>
      <c r="S2979" t="s">
        <v>21</v>
      </c>
    </row>
    <row r="2980" spans="1:19" hidden="1" x14ac:dyDescent="0.25">
      <c r="A2980">
        <v>21600874</v>
      </c>
      <c r="B2980" t="s">
        <v>18</v>
      </c>
      <c r="C2980" t="s">
        <v>19</v>
      </c>
      <c r="D2980">
        <v>4</v>
      </c>
      <c r="E2980">
        <v>2</v>
      </c>
      <c r="F2980">
        <v>2</v>
      </c>
      <c r="G2980">
        <v>1</v>
      </c>
      <c r="H2980" s="1">
        <v>6.875E-3</v>
      </c>
      <c r="I2980">
        <v>2016</v>
      </c>
      <c r="J2980" t="s">
        <v>20</v>
      </c>
      <c r="K2980" s="2" t="str">
        <f>HYPERLINK("https://www.nba.com/stats/events?CFID=&amp;CFPARAMS=&amp;GameEventID=14&amp;GameID=0021600874&amp;Season=2016-17&amp;flag=1&amp;title=Leonard%2020'%20Jump%20Shot%20(2%20PTS)%20(Parker%202%20AST)", "Leonard 20' Jump Shot (2 PTS) (Parker 2 AST)")</f>
        <v>Leonard 20' Jump Shot (2 PTS) (Parker 2 AST)</v>
      </c>
      <c r="L2980" s="2" t="str">
        <f>HYPERLINK("https://www.nba.com/game/...-vs-...-0021600874/play-by-play?watchFullGame=true", "SAS vs LAL - Q1 09:54.00")</f>
        <v>SAS vs LAL - Q1 09:54.00</v>
      </c>
      <c r="M2980">
        <v>20</v>
      </c>
      <c r="N2980">
        <v>-199</v>
      </c>
      <c r="O2980">
        <v>11</v>
      </c>
      <c r="P2980">
        <v>-199</v>
      </c>
      <c r="Q2980">
        <v>11</v>
      </c>
      <c r="R2980" t="s">
        <v>21</v>
      </c>
      <c r="S2980" t="s">
        <v>21</v>
      </c>
    </row>
    <row r="2981" spans="1:19" hidden="1" x14ac:dyDescent="0.25">
      <c r="A2981">
        <v>21601209</v>
      </c>
      <c r="B2981" t="s">
        <v>18</v>
      </c>
      <c r="C2981" t="s">
        <v>19</v>
      </c>
      <c r="D2981">
        <v>6</v>
      </c>
      <c r="E2981">
        <v>8</v>
      </c>
      <c r="F2981">
        <v>2</v>
      </c>
      <c r="G2981">
        <v>1</v>
      </c>
      <c r="H2981" s="1">
        <v>6.6087962962962966E-3</v>
      </c>
      <c r="I2981">
        <v>2016</v>
      </c>
      <c r="J2981" t="s">
        <v>20</v>
      </c>
      <c r="K2981" s="2" t="str">
        <f>HYPERLINK("https://www.nba.com/stats/events?CFID=&amp;CFPARAMS=&amp;GameEventID=10&amp;GameID=0021601209&amp;Season=2016-17&amp;flag=1&amp;title=Leonard%2020'%20Jump%20Shot%20(2%20PTS)", "Leonard 20' Jump Shot (2 PTS)")</f>
        <v>Leonard 20' Jump Shot (2 PTS)</v>
      </c>
      <c r="L2981" s="2" t="str">
        <f>HYPERLINK("https://www.nba.com/game/...-vs-...-0021601209/play-by-play?watchFullGame=true", "SAS vs POR - Q1 09:31.00")</f>
        <v>SAS vs POR - Q1 09:31.00</v>
      </c>
      <c r="M2981">
        <v>20</v>
      </c>
      <c r="N2981">
        <v>-197</v>
      </c>
      <c r="O2981">
        <v>11</v>
      </c>
      <c r="P2981">
        <v>-197</v>
      </c>
      <c r="Q2981">
        <v>11</v>
      </c>
      <c r="R2981" t="s">
        <v>21</v>
      </c>
      <c r="S2981" t="s">
        <v>21</v>
      </c>
    </row>
    <row r="2982" spans="1:19" hidden="1" x14ac:dyDescent="0.25">
      <c r="A2982">
        <v>21600825</v>
      </c>
      <c r="B2982" t="s">
        <v>18</v>
      </c>
      <c r="C2982" t="s">
        <v>19</v>
      </c>
      <c r="D2982">
        <v>98</v>
      </c>
      <c r="E2982">
        <v>97</v>
      </c>
      <c r="F2982">
        <v>1</v>
      </c>
      <c r="G2982">
        <v>4</v>
      </c>
      <c r="H2982" s="1">
        <v>2.5231481481481481E-3</v>
      </c>
      <c r="I2982">
        <v>2016</v>
      </c>
      <c r="J2982" t="s">
        <v>20</v>
      </c>
      <c r="K2982" s="2" t="str">
        <f>HYPERLINK("https://www.nba.com/stats/events?CFID=&amp;CFPARAMS=&amp;GameEventID=478&amp;GameID=0021600825&amp;Season=2016-17&amp;flag=1&amp;title=Leonard%2017'%20Jump%20Shot%20(29%20PTS)%20(Dedmon%201%20AST)", "Leonard 17' Jump Shot (29 PTS) (Dedmon 1 AST)")</f>
        <v>Leonard 17' Jump Shot (29 PTS) (Dedmon 1 AST)</v>
      </c>
      <c r="L2982" s="2" t="str">
        <f>HYPERLINK("https://www.nba.com/game/...-vs-...-0021600825/play-by-play?watchFullGame=true", "SAS vs IND - Q4 03:38.00")</f>
        <v>SAS vs IND - Q4 03:38.00</v>
      </c>
      <c r="M2982">
        <v>17</v>
      </c>
      <c r="N2982">
        <v>-168</v>
      </c>
      <c r="O2982">
        <v>11</v>
      </c>
      <c r="P2982">
        <v>-168</v>
      </c>
      <c r="Q2982">
        <v>11</v>
      </c>
      <c r="R2982" t="s">
        <v>21</v>
      </c>
      <c r="S2982" t="s">
        <v>21</v>
      </c>
    </row>
    <row r="2983" spans="1:19" hidden="1" x14ac:dyDescent="0.25">
      <c r="A2983">
        <v>21400139</v>
      </c>
      <c r="B2983" t="s">
        <v>18</v>
      </c>
      <c r="C2983" t="s">
        <v>37</v>
      </c>
      <c r="D2983">
        <v>36</v>
      </c>
      <c r="E2983">
        <v>33</v>
      </c>
      <c r="F2983">
        <v>3</v>
      </c>
      <c r="G2983">
        <v>2</v>
      </c>
      <c r="H2983" s="1">
        <v>3.8657407407407408E-3</v>
      </c>
      <c r="I2983">
        <v>2014</v>
      </c>
      <c r="J2983" t="s">
        <v>20</v>
      </c>
      <c r="K2983" s="2" t="str">
        <f>HYPERLINK("https://www.nba.com/stats/events?CFID=&amp;CFPARAMS=&amp;GameEventID=173&amp;GameID=0021400139&amp;Season=2014-15&amp;flag=1&amp;title=Leonard%2017'%20Fadeaway%20Jumper%20(6%20PTS)", "Leonard 17' Fadeaway Jumper (6 PTS)")</f>
        <v>Leonard 17' Fadeaway Jumper (6 PTS)</v>
      </c>
      <c r="L2983" s="2" t="str">
        <f>HYPERLINK("https://www.nba.com/game/...-vs-...-0021400139/play-by-play?watchFullGame=true", "SAS vs SAC - Q2 05:34.00")</f>
        <v>SAS vs SAC - Q2 05:34.00</v>
      </c>
      <c r="M2983">
        <v>17</v>
      </c>
      <c r="N2983">
        <v>-166</v>
      </c>
      <c r="O2983">
        <v>11</v>
      </c>
      <c r="P2983">
        <v>-166</v>
      </c>
      <c r="Q2983">
        <v>11</v>
      </c>
      <c r="R2983" t="s">
        <v>21</v>
      </c>
      <c r="S2983" t="s">
        <v>21</v>
      </c>
    </row>
    <row r="2984" spans="1:19" hidden="1" x14ac:dyDescent="0.25">
      <c r="A2984">
        <v>21601135</v>
      </c>
      <c r="B2984" t="s">
        <v>18</v>
      </c>
      <c r="C2984" t="s">
        <v>19</v>
      </c>
      <c r="D2984">
        <v>9</v>
      </c>
      <c r="E2984">
        <v>16</v>
      </c>
      <c r="F2984">
        <v>7</v>
      </c>
      <c r="G2984">
        <v>1</v>
      </c>
      <c r="H2984" s="1">
        <v>2.3495370370370371E-3</v>
      </c>
      <c r="I2984">
        <v>2016</v>
      </c>
      <c r="J2984" t="s">
        <v>20</v>
      </c>
      <c r="K2984" s="2" t="str">
        <f>HYPERLINK("https://www.nba.com/stats/events?CFID=&amp;CFPARAMS=&amp;GameEventID=89&amp;GameID=0021601135&amp;Season=2016-17&amp;flag=1&amp;title=Leonard%2016'%20Jump%20Shot%20(2%20PTS)%20(Mills%201%20AST)", "Leonard 16' Jump Shot (2 PTS) (Mills 1 AST)")</f>
        <v>Leonard 16' Jump Shot (2 PTS) (Mills 1 AST)</v>
      </c>
      <c r="L2984" s="2" t="str">
        <f>HYPERLINK("https://www.nba.com/game/...-vs-...-0021601135/play-by-play?watchFullGame=true", "SAS vs OKC - Q1 03:23.00")</f>
        <v>SAS vs OKC - Q1 03:23.00</v>
      </c>
      <c r="M2984">
        <v>16</v>
      </c>
      <c r="N2984">
        <v>-160</v>
      </c>
      <c r="O2984">
        <v>11</v>
      </c>
      <c r="P2984">
        <v>-160</v>
      </c>
      <c r="Q2984">
        <v>11</v>
      </c>
      <c r="R2984" t="s">
        <v>21</v>
      </c>
      <c r="S2984" t="s">
        <v>21</v>
      </c>
    </row>
    <row r="2985" spans="1:19" hidden="1" x14ac:dyDescent="0.25">
      <c r="A2985">
        <v>21800041</v>
      </c>
      <c r="B2985" t="s">
        <v>18</v>
      </c>
      <c r="C2985" t="s">
        <v>19</v>
      </c>
      <c r="D2985">
        <v>17</v>
      </c>
      <c r="E2985">
        <v>8</v>
      </c>
      <c r="F2985">
        <v>9</v>
      </c>
      <c r="G2985">
        <v>1</v>
      </c>
      <c r="H2985" s="1">
        <v>4.3981481481481484E-3</v>
      </c>
      <c r="I2985">
        <v>2018</v>
      </c>
      <c r="J2985" t="s">
        <v>48</v>
      </c>
      <c r="K2985" s="2" t="str">
        <f>HYPERLINK("https://www.nba.com/stats/events?CFID=&amp;CFPARAMS=&amp;GameEventID=63&amp;GameID=0021800041&amp;Season=2018-19&amp;flag=1&amp;title=Leonard%2016'%20Jump%20Shot%20(7%20PTS)%20(Lowry%203%20AST)", "Leonard 16' Jump Shot (7 PTS) (Lowry 3 AST)")</f>
        <v>Leonard 16' Jump Shot (7 PTS) (Lowry 3 AST)</v>
      </c>
      <c r="L2985" s="2" t="str">
        <f>HYPERLINK("https://www.nba.com/game/...-vs-...-0021800041/play-by-play?watchFullGame=true", "TOR vs CHA - Q1 06:20.00")</f>
        <v>TOR vs CHA - Q1 06:20.00</v>
      </c>
      <c r="M2985">
        <v>16</v>
      </c>
      <c r="N2985">
        <v>-160</v>
      </c>
      <c r="O2985">
        <v>11</v>
      </c>
      <c r="P2985">
        <v>-160</v>
      </c>
      <c r="Q2985">
        <v>11</v>
      </c>
      <c r="R2985" t="s">
        <v>21</v>
      </c>
      <c r="S2985" t="s">
        <v>21</v>
      </c>
    </row>
    <row r="2986" spans="1:19" hidden="1" x14ac:dyDescent="0.25">
      <c r="A2986">
        <v>41500153</v>
      </c>
      <c r="B2986" t="s">
        <v>18</v>
      </c>
      <c r="C2986" t="s">
        <v>39</v>
      </c>
      <c r="D2986">
        <v>2</v>
      </c>
      <c r="E2986">
        <v>0</v>
      </c>
      <c r="F2986">
        <v>2</v>
      </c>
      <c r="G2986">
        <v>1</v>
      </c>
      <c r="H2986" s="1">
        <v>8.0324074074074082E-3</v>
      </c>
      <c r="I2986" t="s">
        <v>57</v>
      </c>
      <c r="J2986" t="s">
        <v>20</v>
      </c>
      <c r="K2986" s="2" t="str">
        <f>HYPERLINK("https://www.nba.com/stats/events?CFID=&amp;CFPARAMS=&amp;GameEventID=4&amp;GameID=0041500153&amp;Season=2015-16&amp;flag=1&amp;title=Leonard%2016'%20Step%20Back%20Jump%20Shot%20(2%20PTS)", "Leonard 16' Step Back Jump Shot (2 PTS)")</f>
        <v>Leonard 16' Step Back Jump Shot (2 PTS)</v>
      </c>
      <c r="L2986" s="2" t="str">
        <f>HYPERLINK("https://www.nba.com/game/...-vs-...-0041500153/play-by-play?watchFullGame=true", "SAS vs MEM - Q1 11:34.00")</f>
        <v>SAS vs MEM - Q1 11:34.00</v>
      </c>
      <c r="M2986">
        <v>16</v>
      </c>
      <c r="N2986">
        <v>-155</v>
      </c>
      <c r="O2986">
        <v>11</v>
      </c>
      <c r="P2986">
        <v>-155</v>
      </c>
      <c r="Q2986">
        <v>11</v>
      </c>
      <c r="R2986" t="s">
        <v>21</v>
      </c>
      <c r="S2986" t="s">
        <v>21</v>
      </c>
    </row>
    <row r="2987" spans="1:19" hidden="1" x14ac:dyDescent="0.25">
      <c r="A2987">
        <v>21400220</v>
      </c>
      <c r="B2987" t="s">
        <v>18</v>
      </c>
      <c r="C2987" t="s">
        <v>19</v>
      </c>
      <c r="D2987">
        <v>2</v>
      </c>
      <c r="E2987">
        <v>0</v>
      </c>
      <c r="F2987">
        <v>2</v>
      </c>
      <c r="G2987">
        <v>1</v>
      </c>
      <c r="H2987" s="1">
        <v>7.9166666666666673E-3</v>
      </c>
      <c r="I2987">
        <v>2014</v>
      </c>
      <c r="J2987" t="s">
        <v>20</v>
      </c>
      <c r="K2987" s="2" t="str">
        <f>HYPERLINK("https://www.nba.com/stats/events?CFID=&amp;CFPARAMS=&amp;GameEventID=5&amp;GameID=0021400220&amp;Season=2014-15&amp;flag=1&amp;title=Leonard%2016'%20Jump%20Shot%20(2%20PTS)", "Leonard 16' Jump Shot (2 PTS)")</f>
        <v>Leonard 16' Jump Shot (2 PTS)</v>
      </c>
      <c r="L2987" s="2" t="str">
        <f>HYPERLINK("https://www.nba.com/game/...-vs-...-0021400220/play-by-play?watchFullGame=true", "SAS vs IND - Q1 11:24.00")</f>
        <v>SAS vs IND - Q1 11:24.00</v>
      </c>
      <c r="M2987">
        <v>16</v>
      </c>
      <c r="N2987">
        <v>160</v>
      </c>
      <c r="O2987">
        <v>12</v>
      </c>
      <c r="P2987">
        <v>160</v>
      </c>
      <c r="Q2987">
        <v>12</v>
      </c>
      <c r="R2987" t="s">
        <v>21</v>
      </c>
      <c r="S2987" t="s">
        <v>21</v>
      </c>
    </row>
    <row r="2988" spans="1:19" hidden="1" x14ac:dyDescent="0.25">
      <c r="A2988">
        <v>21300032</v>
      </c>
      <c r="B2988" t="s">
        <v>18</v>
      </c>
      <c r="C2988" t="s">
        <v>19</v>
      </c>
      <c r="D2988">
        <v>6</v>
      </c>
      <c r="E2988">
        <v>13</v>
      </c>
      <c r="F2988">
        <v>7</v>
      </c>
      <c r="G2988">
        <v>1</v>
      </c>
      <c r="H2988" s="1">
        <v>4.5949074074074078E-3</v>
      </c>
      <c r="I2988">
        <v>2013</v>
      </c>
      <c r="J2988" t="s">
        <v>20</v>
      </c>
      <c r="K2988" s="2" t="str">
        <f>HYPERLINK("https://www.nba.com/stats/events?CFID=&amp;CFPARAMS=&amp;GameEventID=59&amp;GameID=0021300032&amp;Season=2013-14&amp;flag=1&amp;title=Leonard%2019'%20Jump%20Shot%20(2%20PTS)%20(Parker%201%20AST)", "Leonard 19' Jump Shot (2 PTS) (Parker 1 AST)")</f>
        <v>Leonard 19' Jump Shot (2 PTS) (Parker 1 AST)</v>
      </c>
      <c r="L2988" s="2" t="str">
        <f>HYPERLINK("https://www.nba.com/game/...-vs-...-0021300032/play-by-play?watchFullGame=true", "SAS vs LAL - Q1 06:37.00")</f>
        <v>SAS vs LAL - Q1 06:37.00</v>
      </c>
      <c r="M2988">
        <v>19</v>
      </c>
      <c r="N2988">
        <v>-187</v>
      </c>
      <c r="O2988">
        <v>14</v>
      </c>
      <c r="P2988">
        <v>-187</v>
      </c>
      <c r="Q2988">
        <v>14</v>
      </c>
      <c r="R2988" t="s">
        <v>21</v>
      </c>
      <c r="S2988" t="s">
        <v>21</v>
      </c>
    </row>
    <row r="2989" spans="1:19" hidden="1" x14ac:dyDescent="0.25">
      <c r="A2989">
        <v>21800008</v>
      </c>
      <c r="B2989" t="s">
        <v>18</v>
      </c>
      <c r="C2989" t="s">
        <v>19</v>
      </c>
      <c r="D2989">
        <v>84</v>
      </c>
      <c r="E2989">
        <v>65</v>
      </c>
      <c r="F2989">
        <v>19</v>
      </c>
      <c r="G2989">
        <v>3</v>
      </c>
      <c r="H2989" s="1">
        <v>3.3449074074074076E-3</v>
      </c>
      <c r="I2989">
        <v>2018</v>
      </c>
      <c r="J2989" t="s">
        <v>48</v>
      </c>
      <c r="K2989" s="2" t="str">
        <f>HYPERLINK("https://www.nba.com/stats/events?CFID=&amp;CFPARAMS=&amp;GameEventID=449&amp;GameID=0021800008&amp;Season=2018-19&amp;flag=1&amp;title=Leonard%2016'%20Jump%20Shot%20(21%20PTS)", "Leonard 16' Jump Shot (21 PTS)")</f>
        <v>Leonard 16' Jump Shot (21 PTS)</v>
      </c>
      <c r="L2989" s="2" t="str">
        <f>HYPERLINK("https://www.nba.com/game/...-vs-...-0021800008/play-by-play?watchFullGame=true", "TOR vs CLE - Q3 04:49.00")</f>
        <v>TOR vs CLE - Q3 04:49.00</v>
      </c>
      <c r="M2989">
        <v>16</v>
      </c>
      <c r="N2989">
        <v>-163</v>
      </c>
      <c r="O2989">
        <v>14</v>
      </c>
      <c r="P2989">
        <v>-163</v>
      </c>
      <c r="Q2989">
        <v>14</v>
      </c>
      <c r="R2989" t="s">
        <v>21</v>
      </c>
      <c r="S2989" t="s">
        <v>21</v>
      </c>
    </row>
    <row r="2990" spans="1:19" hidden="1" x14ac:dyDescent="0.25">
      <c r="A2990">
        <v>21300554</v>
      </c>
      <c r="B2990" t="s">
        <v>18</v>
      </c>
      <c r="C2990" t="s">
        <v>36</v>
      </c>
      <c r="D2990">
        <v>10</v>
      </c>
      <c r="E2990">
        <v>9</v>
      </c>
      <c r="F2990">
        <v>1</v>
      </c>
      <c r="G2990">
        <v>1</v>
      </c>
      <c r="H2990" s="1">
        <v>4.0856481481481481E-3</v>
      </c>
      <c r="I2990">
        <v>2013</v>
      </c>
      <c r="J2990" t="s">
        <v>20</v>
      </c>
      <c r="K2990" s="2" t="str">
        <f>HYPERLINK("https://www.nba.com/stats/events?CFID=&amp;CFPARAMS=&amp;GameEventID=48&amp;GameID=0021300554&amp;Season=2013-14&amp;flag=1&amp;title=Leonard%2016'%20Pullup%20Jump%20Shot%20(2%20PTS)%20(Diaw%201%20AST)", "Leonard 16' Pullup Jump Shot (2 PTS) (Diaw 1 AST)")</f>
        <v>Leonard 16' Pullup Jump Shot (2 PTS) (Diaw 1 AST)</v>
      </c>
      <c r="L2990" s="2" t="str">
        <f>HYPERLINK("https://www.nba.com/game/...-vs-...-0021300554/play-by-play?watchFullGame=true", "SAS vs MIN - Q1 05:53.00")</f>
        <v>SAS vs MIN - Q1 05:53.00</v>
      </c>
      <c r="M2990">
        <v>16</v>
      </c>
      <c r="N2990">
        <v>160</v>
      </c>
      <c r="O2990">
        <v>14</v>
      </c>
      <c r="P2990">
        <v>160</v>
      </c>
      <c r="Q2990">
        <v>14</v>
      </c>
      <c r="R2990" t="s">
        <v>21</v>
      </c>
      <c r="S2990" t="s">
        <v>21</v>
      </c>
    </row>
    <row r="2991" spans="1:19" hidden="1" x14ac:dyDescent="0.25">
      <c r="A2991">
        <v>21400361</v>
      </c>
      <c r="B2991" t="s">
        <v>18</v>
      </c>
      <c r="C2991" t="s">
        <v>19</v>
      </c>
      <c r="D2991">
        <v>35</v>
      </c>
      <c r="E2991">
        <v>38</v>
      </c>
      <c r="F2991">
        <v>3</v>
      </c>
      <c r="G2991">
        <v>2</v>
      </c>
      <c r="H2991" s="1">
        <v>2.7893518518518519E-3</v>
      </c>
      <c r="I2991">
        <v>2014</v>
      </c>
      <c r="J2991" t="s">
        <v>20</v>
      </c>
      <c r="K2991" s="2" t="str">
        <f>HYPERLINK("https://www.nba.com/stats/events?CFID=&amp;CFPARAMS=&amp;GameEventID=197&amp;GameID=0021400361&amp;Season=2014-15&amp;flag=1&amp;title=Leonard%2018'%20Jump%20Shot%20(7%20PTS)%20(Diaw%204%20AST)", "Leonard 18' Jump Shot (7 PTS) (Diaw 4 AST)")</f>
        <v>Leonard 18' Jump Shot (7 PTS) (Diaw 4 AST)</v>
      </c>
      <c r="L2991" s="2" t="str">
        <f>HYPERLINK("https://www.nba.com/game/...-vs-...-0021400361/play-by-play?watchFullGame=true", "SAS vs POR - Q2 04:01.00")</f>
        <v>SAS vs POR - Q2 04:01.00</v>
      </c>
      <c r="M2991">
        <v>18</v>
      </c>
      <c r="N2991">
        <v>-180</v>
      </c>
      <c r="O2991">
        <v>15</v>
      </c>
      <c r="P2991">
        <v>-180</v>
      </c>
      <c r="Q2991">
        <v>15</v>
      </c>
      <c r="R2991" t="s">
        <v>21</v>
      </c>
      <c r="S2991" t="s">
        <v>21</v>
      </c>
    </row>
    <row r="2992" spans="1:19" hidden="1" x14ac:dyDescent="0.25">
      <c r="A2992">
        <v>21400875</v>
      </c>
      <c r="B2992" t="s">
        <v>18</v>
      </c>
      <c r="C2992" t="s">
        <v>19</v>
      </c>
      <c r="D2992">
        <v>57</v>
      </c>
      <c r="E2992">
        <v>29</v>
      </c>
      <c r="F2992">
        <v>28</v>
      </c>
      <c r="G2992">
        <v>3</v>
      </c>
      <c r="H2992" s="1">
        <v>6.2037037037037035E-3</v>
      </c>
      <c r="I2992">
        <v>2014</v>
      </c>
      <c r="J2992" t="s">
        <v>20</v>
      </c>
      <c r="K2992" s="2" t="str">
        <f>HYPERLINK("https://www.nba.com/stats/events?CFID=&amp;CFPARAMS=&amp;GameEventID=319&amp;GameID=0021400875&amp;Season=2014-15&amp;flag=1&amp;title=Leonard%2017'%20Jump%20Shot%20(15%20PTS)", "Leonard 17' Jump Shot (15 PTS)")</f>
        <v>Leonard 17' Jump Shot (15 PTS)</v>
      </c>
      <c r="L2992" s="2" t="str">
        <f>HYPERLINK("https://www.nba.com/game/...-vs-...-0021400875/play-by-play?watchFullGame=true", "SAS vs PHX - Q3 08:56.00")</f>
        <v>SAS vs PHX - Q3 08:56.00</v>
      </c>
      <c r="M2992">
        <v>17</v>
      </c>
      <c r="N2992">
        <v>168</v>
      </c>
      <c r="O2992">
        <v>15</v>
      </c>
      <c r="P2992">
        <v>168</v>
      </c>
      <c r="Q2992">
        <v>15</v>
      </c>
      <c r="R2992" t="s">
        <v>21</v>
      </c>
      <c r="S2992" t="s">
        <v>21</v>
      </c>
    </row>
    <row r="2993" spans="1:19" hidden="1" x14ac:dyDescent="0.25">
      <c r="A2993">
        <v>21600834</v>
      </c>
      <c r="B2993" t="s">
        <v>18</v>
      </c>
      <c r="C2993" t="s">
        <v>19</v>
      </c>
      <c r="D2993">
        <v>63</v>
      </c>
      <c r="E2993">
        <v>43</v>
      </c>
      <c r="F2993">
        <v>20</v>
      </c>
      <c r="G2993">
        <v>3</v>
      </c>
      <c r="H2993" s="1">
        <v>6.7129629629629631E-3</v>
      </c>
      <c r="I2993">
        <v>2016</v>
      </c>
      <c r="J2993" t="s">
        <v>20</v>
      </c>
      <c r="K2993" s="2" t="str">
        <f>HYPERLINK("https://www.nba.com/stats/events?CFID=&amp;CFPARAMS=&amp;GameEventID=288&amp;GameID=0021600834&amp;Season=2016-17&amp;flag=1&amp;title=Leonard%2016'%20Jump%20Shot%20(22%20PTS)%20(Parker%206%20AST)", "Leonard 16' Jump Shot (22 PTS) (Parker 6 AST)")</f>
        <v>Leonard 16' Jump Shot (22 PTS) (Parker 6 AST)</v>
      </c>
      <c r="L2993" s="2" t="str">
        <f>HYPERLINK("https://www.nba.com/game/...-vs-...-0021600834/play-by-play?watchFullGame=true", "SAS vs ORL - Q3 09:40.00")</f>
        <v>SAS vs ORL - Q3 09:40.00</v>
      </c>
      <c r="M2993">
        <v>16</v>
      </c>
      <c r="N2993">
        <v>158</v>
      </c>
      <c r="O2993">
        <v>16</v>
      </c>
      <c r="P2993">
        <v>158</v>
      </c>
      <c r="Q2993">
        <v>16</v>
      </c>
      <c r="R2993" t="s">
        <v>21</v>
      </c>
      <c r="S2993" t="s">
        <v>21</v>
      </c>
    </row>
    <row r="2994" spans="1:19" hidden="1" x14ac:dyDescent="0.25">
      <c r="A2994">
        <v>21600543</v>
      </c>
      <c r="B2994" t="s">
        <v>18</v>
      </c>
      <c r="C2994" t="s">
        <v>19</v>
      </c>
      <c r="D2994">
        <v>100</v>
      </c>
      <c r="E2994">
        <v>82</v>
      </c>
      <c r="F2994">
        <v>18</v>
      </c>
      <c r="G2994">
        <v>4</v>
      </c>
      <c r="H2994" s="1">
        <v>6.0648148148148145E-3</v>
      </c>
      <c r="I2994">
        <v>2016</v>
      </c>
      <c r="J2994" t="s">
        <v>20</v>
      </c>
      <c r="K2994" s="2" t="str">
        <f>HYPERLINK("https://www.nba.com/stats/events?CFID=&amp;CFPARAMS=&amp;GameEventID=405&amp;GameID=0021600543&amp;Season=2016-17&amp;flag=1&amp;title=Leonard%2018'%20Jump%20Shot%20(20%20PTS)%20(Mills%204%20AST)", "Leonard 18' Jump Shot (20 PTS) (Mills 4 AST)")</f>
        <v>Leonard 18' Jump Shot (20 PTS) (Mills 4 AST)</v>
      </c>
      <c r="L2994" s="2" t="str">
        <f>HYPERLINK("https://www.nba.com/game/...-vs-...-0021600543/play-by-play?watchFullGame=true", "SAS vs DEN - Q4 08:44.00")</f>
        <v>SAS vs DEN - Q4 08:44.00</v>
      </c>
      <c r="M2994">
        <v>18</v>
      </c>
      <c r="N2994">
        <v>181</v>
      </c>
      <c r="O2994">
        <v>16</v>
      </c>
      <c r="P2994">
        <v>181</v>
      </c>
      <c r="Q2994">
        <v>16</v>
      </c>
      <c r="R2994" t="s">
        <v>21</v>
      </c>
      <c r="S2994" t="s">
        <v>21</v>
      </c>
    </row>
    <row r="2995" spans="1:19" hidden="1" x14ac:dyDescent="0.25">
      <c r="A2995">
        <v>21400931</v>
      </c>
      <c r="B2995" t="s">
        <v>18</v>
      </c>
      <c r="C2995" t="s">
        <v>19</v>
      </c>
      <c r="D2995">
        <v>4</v>
      </c>
      <c r="E2995">
        <v>4</v>
      </c>
      <c r="F2995">
        <v>0</v>
      </c>
      <c r="G2995">
        <v>1</v>
      </c>
      <c r="H2995" s="1">
        <v>7.1643518518518514E-3</v>
      </c>
      <c r="I2995">
        <v>2014</v>
      </c>
      <c r="J2995" t="s">
        <v>20</v>
      </c>
      <c r="K2995" s="2" t="str">
        <f>HYPERLINK("https://www.nba.com/stats/events?CFID=&amp;CFPARAMS=&amp;GameEventID=11&amp;GameID=0021400931&amp;Season=2014-15&amp;flag=1&amp;title=Leonard%2016'%20Jump%20Shot%20(2%20PTS)", "Leonard 16' Jump Shot (2 PTS)")</f>
        <v>Leonard 16' Jump Shot (2 PTS)</v>
      </c>
      <c r="L2995" s="2" t="str">
        <f>HYPERLINK("https://www.nba.com/game/...-vs-...-0021400931/play-by-play?watchFullGame=true", "SAS vs CHI - Q1 10:19.00")</f>
        <v>SAS vs CHI - Q1 10:19.00</v>
      </c>
      <c r="M2995">
        <v>16</v>
      </c>
      <c r="N2995">
        <v>155</v>
      </c>
      <c r="O2995">
        <v>17</v>
      </c>
      <c r="P2995">
        <v>155</v>
      </c>
      <c r="Q2995">
        <v>17</v>
      </c>
      <c r="R2995" t="s">
        <v>21</v>
      </c>
      <c r="S2995" t="s">
        <v>21</v>
      </c>
    </row>
    <row r="2996" spans="1:19" hidden="1" x14ac:dyDescent="0.25">
      <c r="A2996">
        <v>21400354</v>
      </c>
      <c r="B2996" t="s">
        <v>18</v>
      </c>
      <c r="C2996" t="s">
        <v>19</v>
      </c>
      <c r="D2996">
        <v>55</v>
      </c>
      <c r="E2996">
        <v>38</v>
      </c>
      <c r="F2996">
        <v>17</v>
      </c>
      <c r="G2996">
        <v>3</v>
      </c>
      <c r="H2996" s="1">
        <v>5.3125000000000004E-3</v>
      </c>
      <c r="I2996">
        <v>2014</v>
      </c>
      <c r="J2996" t="s">
        <v>20</v>
      </c>
      <c r="K2996" s="2" t="str">
        <f>HYPERLINK("https://www.nba.com/stats/events?CFID=&amp;CFPARAMS=&amp;GameEventID=306&amp;GameID=0021400354&amp;Season=2014-15&amp;flag=1&amp;title=Leonard%2017'%20Jump%20Shot%20(10%20PTS)", "Leonard 17' Jump Shot (10 PTS)")</f>
        <v>Leonard 17' Jump Shot (10 PTS)</v>
      </c>
      <c r="L2996" s="2" t="str">
        <f>HYPERLINK("https://www.nba.com/game/...-vs-...-0021400354/play-by-play?watchFullGame=true", "SAS vs DEN - Q3 07:39.00")</f>
        <v>SAS vs DEN - Q3 07:39.00</v>
      </c>
      <c r="M2996">
        <v>17</v>
      </c>
      <c r="N2996">
        <v>173</v>
      </c>
      <c r="O2996">
        <v>17</v>
      </c>
      <c r="P2996">
        <v>173</v>
      </c>
      <c r="Q2996">
        <v>17</v>
      </c>
      <c r="R2996" t="s">
        <v>21</v>
      </c>
      <c r="S2996" t="s">
        <v>21</v>
      </c>
    </row>
    <row r="2997" spans="1:19" hidden="1" x14ac:dyDescent="0.25">
      <c r="A2997">
        <v>21600441</v>
      </c>
      <c r="B2997" t="s">
        <v>18</v>
      </c>
      <c r="C2997" t="s">
        <v>39</v>
      </c>
      <c r="D2997">
        <v>36</v>
      </c>
      <c r="E2997">
        <v>47</v>
      </c>
      <c r="F2997">
        <v>11</v>
      </c>
      <c r="G2997">
        <v>2</v>
      </c>
      <c r="H2997" s="1">
        <v>2.8009259259259259E-3</v>
      </c>
      <c r="I2997">
        <v>2016</v>
      </c>
      <c r="J2997" t="s">
        <v>20</v>
      </c>
      <c r="K2997" s="2" t="str">
        <f>HYPERLINK("https://www.nba.com/stats/events?CFID=&amp;CFPARAMS=&amp;GameEventID=239&amp;GameID=0021600441&amp;Season=2016-17&amp;flag=1&amp;title=Leonard%2016'%20Step%20Back%20Jump%20Shot%20(13%20PTS)%20(Mills%201%20AST)", "Leonard 16' Step Back Jump Shot (13 PTS) (Mills 1 AST)")</f>
        <v>Leonard 16' Step Back Jump Shot (13 PTS) (Mills 1 AST)</v>
      </c>
      <c r="L2997" s="2" t="str">
        <f>HYPERLINK("https://www.nba.com/game/...-vs-...-0021600441/play-by-play?watchFullGame=true", "SAS vs LAC - Q2 04:02.00")</f>
        <v>SAS vs LAC - Q2 04:02.00</v>
      </c>
      <c r="M2997">
        <v>16</v>
      </c>
      <c r="N2997">
        <v>163</v>
      </c>
      <c r="O2997">
        <v>18</v>
      </c>
      <c r="P2997">
        <v>163</v>
      </c>
      <c r="Q2997">
        <v>18</v>
      </c>
      <c r="R2997" t="s">
        <v>21</v>
      </c>
      <c r="S2997" t="s">
        <v>21</v>
      </c>
    </row>
    <row r="2998" spans="1:19" hidden="1" x14ac:dyDescent="0.25">
      <c r="A2998">
        <v>21600383</v>
      </c>
      <c r="B2998" t="s">
        <v>18</v>
      </c>
      <c r="C2998" t="s">
        <v>19</v>
      </c>
      <c r="D2998">
        <v>20</v>
      </c>
      <c r="E2998">
        <v>14</v>
      </c>
      <c r="F2998">
        <v>6</v>
      </c>
      <c r="G2998">
        <v>1</v>
      </c>
      <c r="H2998" s="1">
        <v>3.0208333333333333E-3</v>
      </c>
      <c r="I2998">
        <v>2016</v>
      </c>
      <c r="J2998" t="s">
        <v>20</v>
      </c>
      <c r="K2998" s="2" t="str">
        <f>HYPERLINK("https://www.nba.com/stats/events?CFID=&amp;CFPARAMS=&amp;GameEventID=71&amp;GameID=0021600383&amp;Season=2016-17&amp;flag=1&amp;title=Leonard%2019'%20Jump%20Shot%20(7%20PTS)", "Leonard 19' Jump Shot (7 PTS)")</f>
        <v>Leonard 19' Jump Shot (7 PTS)</v>
      </c>
      <c r="L2998" s="2" t="str">
        <f>HYPERLINK("https://www.nba.com/game/...-vs-...-0021600383/play-by-play?watchFullGame=true", "SAS vs BOS - Q1 04:21.00")</f>
        <v>SAS vs BOS - Q1 04:21.00</v>
      </c>
      <c r="M2998">
        <v>19</v>
      </c>
      <c r="N2998">
        <v>186</v>
      </c>
      <c r="O2998">
        <v>18</v>
      </c>
      <c r="P2998">
        <v>186</v>
      </c>
      <c r="Q2998">
        <v>18</v>
      </c>
      <c r="R2998" t="s">
        <v>21</v>
      </c>
      <c r="S2998" t="s">
        <v>21</v>
      </c>
    </row>
    <row r="2999" spans="1:19" hidden="1" x14ac:dyDescent="0.25">
      <c r="A2999">
        <v>21401057</v>
      </c>
      <c r="B2999" t="s">
        <v>18</v>
      </c>
      <c r="C2999" t="s">
        <v>36</v>
      </c>
      <c r="D2999">
        <v>21</v>
      </c>
      <c r="E2999">
        <v>11</v>
      </c>
      <c r="F2999">
        <v>10</v>
      </c>
      <c r="G2999">
        <v>1</v>
      </c>
      <c r="H2999" s="1">
        <v>2.1759259259259258E-3</v>
      </c>
      <c r="I2999">
        <v>2014</v>
      </c>
      <c r="J2999" t="s">
        <v>20</v>
      </c>
      <c r="K2999" s="2" t="str">
        <f>HYPERLINK("https://www.nba.com/stats/events?CFID=&amp;CFPARAMS=&amp;GameEventID=75&amp;GameID=0021401057&amp;Season=2014-15&amp;flag=1&amp;title=Leonard%2017'%20Pullup%20Jump%20Shot%20(4%20PTS)", "Leonard 17' Pullup Jump Shot (4 PTS)")</f>
        <v>Leonard 17' Pullup Jump Shot (4 PTS)</v>
      </c>
      <c r="L2999" s="2" t="str">
        <f>HYPERLINK("https://www.nba.com/game/...-vs-...-0021401057/play-by-play?watchFullGame=true", "SAS vs DAL - Q1 03:08.00")</f>
        <v>SAS vs DAL - Q1 03:08.00</v>
      </c>
      <c r="M2999">
        <v>17</v>
      </c>
      <c r="N2999">
        <v>-164</v>
      </c>
      <c r="O2999">
        <v>19</v>
      </c>
      <c r="P2999">
        <v>-164</v>
      </c>
      <c r="Q2999">
        <v>19</v>
      </c>
      <c r="R2999" t="s">
        <v>21</v>
      </c>
      <c r="S2999" t="s">
        <v>21</v>
      </c>
    </row>
    <row r="3000" spans="1:19" hidden="1" x14ac:dyDescent="0.25">
      <c r="A3000">
        <v>21600994</v>
      </c>
      <c r="B3000" t="s">
        <v>18</v>
      </c>
      <c r="C3000" t="s">
        <v>19</v>
      </c>
      <c r="D3000">
        <v>6</v>
      </c>
      <c r="E3000">
        <v>8</v>
      </c>
      <c r="F3000">
        <v>2</v>
      </c>
      <c r="G3000">
        <v>1</v>
      </c>
      <c r="H3000" s="1">
        <v>5.138888888888889E-3</v>
      </c>
      <c r="I3000">
        <v>2016</v>
      </c>
      <c r="J3000" t="s">
        <v>20</v>
      </c>
      <c r="K3000" s="2" t="str">
        <f>HYPERLINK("https://www.nba.com/stats/events?CFID=&amp;CFPARAMS=&amp;GameEventID=41&amp;GameID=0021600994&amp;Season=2016-17&amp;flag=1&amp;title=Leonard%2017'%20Jump%20Shot%20(2%20PTS)%20(Mills%202%20AST)", "Leonard 17' Jump Shot (2 PTS) (Mills 2 AST)")</f>
        <v>Leonard 17' Jump Shot (2 PTS) (Mills 2 AST)</v>
      </c>
      <c r="L3000" s="2" t="str">
        <f>HYPERLINK("https://www.nba.com/game/...-vs-...-0021600994/play-by-play?watchFullGame=true", "SAS vs ATL - Q1 07:24.00")</f>
        <v>SAS vs ATL - Q1 07:24.00</v>
      </c>
      <c r="M3000">
        <v>17</v>
      </c>
      <c r="N3000">
        <v>169</v>
      </c>
      <c r="O3000">
        <v>21</v>
      </c>
      <c r="P3000">
        <v>169</v>
      </c>
      <c r="Q3000">
        <v>21</v>
      </c>
      <c r="R3000" t="s">
        <v>21</v>
      </c>
      <c r="S3000" t="s">
        <v>21</v>
      </c>
    </row>
    <row r="3001" spans="1:19" hidden="1" x14ac:dyDescent="0.25">
      <c r="A3001">
        <v>21600289</v>
      </c>
      <c r="B3001" t="s">
        <v>18</v>
      </c>
      <c r="C3001" t="s">
        <v>19</v>
      </c>
      <c r="D3001">
        <v>40</v>
      </c>
      <c r="E3001">
        <v>47</v>
      </c>
      <c r="F3001">
        <v>7</v>
      </c>
      <c r="G3001">
        <v>2</v>
      </c>
      <c r="H3001" s="1">
        <v>3.5300925925925925E-3</v>
      </c>
      <c r="I3001">
        <v>2016</v>
      </c>
      <c r="J3001" t="s">
        <v>20</v>
      </c>
      <c r="K3001" s="2" t="str">
        <f>HYPERLINK("https://www.nba.com/stats/events?CFID=&amp;CFPARAMS=&amp;GameEventID=204&amp;GameID=0021600289&amp;Season=2016-17&amp;flag=1&amp;title=Leonard%2017'%20Jump%20Shot%20(10%20PTS)", "Leonard 17' Jump Shot (10 PTS)")</f>
        <v>Leonard 17' Jump Shot (10 PTS)</v>
      </c>
      <c r="L3001" s="2" t="str">
        <f>HYPERLINK("https://www.nba.com/game/...-vs-...-0021600289/play-by-play?watchFullGame=true", "SAS vs WAS - Q2 05:05.00")</f>
        <v>SAS vs WAS - Q2 05:05.00</v>
      </c>
      <c r="M3001">
        <v>17</v>
      </c>
      <c r="N3001">
        <v>173</v>
      </c>
      <c r="O3001">
        <v>21</v>
      </c>
      <c r="P3001">
        <v>173</v>
      </c>
      <c r="Q3001">
        <v>21</v>
      </c>
      <c r="R3001" t="s">
        <v>21</v>
      </c>
      <c r="S3001" t="s">
        <v>21</v>
      </c>
    </row>
    <row r="3002" spans="1:19" hidden="1" x14ac:dyDescent="0.25">
      <c r="A3002">
        <v>21601011</v>
      </c>
      <c r="B3002" t="s">
        <v>18</v>
      </c>
      <c r="C3002" t="s">
        <v>19</v>
      </c>
      <c r="D3002">
        <v>50</v>
      </c>
      <c r="E3002">
        <v>43</v>
      </c>
      <c r="F3002">
        <v>7</v>
      </c>
      <c r="G3002">
        <v>2</v>
      </c>
      <c r="H3002" s="1">
        <v>1.8055555555555555E-3</v>
      </c>
      <c r="I3002">
        <v>2016</v>
      </c>
      <c r="J3002" t="s">
        <v>20</v>
      </c>
      <c r="K3002" s="2" t="str">
        <f>HYPERLINK("https://www.nba.com/stats/events?CFID=&amp;CFPARAMS=&amp;GameEventID=194&amp;GameID=0021601011&amp;Season=2016-17&amp;flag=1&amp;title=Leonard%2020'%20Jump%20Shot%20(12%20PTS)", "Leonard 20' Jump Shot (12 PTS)")</f>
        <v>Leonard 20' Jump Shot (12 PTS)</v>
      </c>
      <c r="L3002" s="2" t="str">
        <f>HYPERLINK("https://www.nba.com/game/...-vs-...-0021601011/play-by-play?watchFullGame=true", "SAS vs POR - Q2 02:36.00")</f>
        <v>SAS vs POR - Q2 02:36.00</v>
      </c>
      <c r="M3002">
        <v>20</v>
      </c>
      <c r="N3002">
        <v>199</v>
      </c>
      <c r="O3002">
        <v>21</v>
      </c>
      <c r="P3002">
        <v>199</v>
      </c>
      <c r="Q3002">
        <v>21</v>
      </c>
      <c r="R3002" t="s">
        <v>21</v>
      </c>
      <c r="S3002" t="s">
        <v>21</v>
      </c>
    </row>
    <row r="3003" spans="1:19" hidden="1" x14ac:dyDescent="0.25">
      <c r="A3003">
        <v>21400102</v>
      </c>
      <c r="B3003" t="s">
        <v>18</v>
      </c>
      <c r="C3003" t="s">
        <v>19</v>
      </c>
      <c r="D3003">
        <v>43</v>
      </c>
      <c r="E3003">
        <v>46</v>
      </c>
      <c r="F3003">
        <v>3</v>
      </c>
      <c r="G3003">
        <v>3</v>
      </c>
      <c r="H3003" s="1">
        <v>7.3263888888888892E-3</v>
      </c>
      <c r="I3003">
        <v>2014</v>
      </c>
      <c r="J3003" t="s">
        <v>20</v>
      </c>
      <c r="K3003" s="2" t="str">
        <f>HYPERLINK("https://www.nba.com/stats/events?CFID=&amp;CFPARAMS=&amp;GameEventID=259&amp;GameID=0021400102&amp;Season=2014-15&amp;flag=1&amp;title=Leonard%2016'%20Jump%20Shot%20(16%20PTS)", "Leonard 16' Jump Shot (16 PTS)")</f>
        <v>Leonard 16' Jump Shot (16 PTS)</v>
      </c>
      <c r="L3003" s="2" t="str">
        <f>HYPERLINK("https://www.nba.com/game/...-vs-...-0021400102/play-by-play?watchFullGame=true", "SAS vs LAC - Q3 10:33.00")</f>
        <v>SAS vs LAC - Q3 10:33.00</v>
      </c>
      <c r="M3003">
        <v>16</v>
      </c>
      <c r="N3003">
        <v>163</v>
      </c>
      <c r="O3003">
        <v>22</v>
      </c>
      <c r="P3003">
        <v>163</v>
      </c>
      <c r="Q3003">
        <v>22</v>
      </c>
      <c r="R3003" t="s">
        <v>21</v>
      </c>
      <c r="S3003" t="s">
        <v>21</v>
      </c>
    </row>
    <row r="3004" spans="1:19" hidden="1" x14ac:dyDescent="0.25">
      <c r="A3004">
        <v>21400906</v>
      </c>
      <c r="B3004" t="s">
        <v>18</v>
      </c>
      <c r="C3004" t="s">
        <v>36</v>
      </c>
      <c r="D3004">
        <v>2</v>
      </c>
      <c r="E3004">
        <v>0</v>
      </c>
      <c r="F3004">
        <v>2</v>
      </c>
      <c r="G3004">
        <v>1</v>
      </c>
      <c r="H3004" s="1">
        <v>8.1134259259259267E-3</v>
      </c>
      <c r="I3004">
        <v>2014</v>
      </c>
      <c r="J3004" t="s">
        <v>20</v>
      </c>
      <c r="K3004" s="2" t="str">
        <f>HYPERLINK("https://www.nba.com/stats/events?CFID=&amp;CFPARAMS=&amp;GameEventID=2&amp;GameID=0021400906&amp;Season=2014-15&amp;flag=1&amp;title=Leonard%2019'%20Pullup%20Jump%20Shot%20(2%20PTS)", "Leonard 19' Pullup Jump Shot (2 PTS)")</f>
        <v>Leonard 19' Pullup Jump Shot (2 PTS)</v>
      </c>
      <c r="L3004" s="2" t="str">
        <f>HYPERLINK("https://www.nba.com/game/...-vs-...-0021400906/play-by-play?watchFullGame=true", "SAS vs SAC - Q1 11:41.00")</f>
        <v>SAS vs SAC - Q1 11:41.00</v>
      </c>
      <c r="M3004">
        <v>19</v>
      </c>
      <c r="N3004">
        <v>184</v>
      </c>
      <c r="O3004">
        <v>22</v>
      </c>
      <c r="P3004">
        <v>184</v>
      </c>
      <c r="Q3004">
        <v>22</v>
      </c>
      <c r="R3004" t="s">
        <v>21</v>
      </c>
      <c r="S3004" t="s">
        <v>21</v>
      </c>
    </row>
    <row r="3005" spans="1:19" hidden="1" x14ac:dyDescent="0.25">
      <c r="A3005">
        <v>21400921</v>
      </c>
      <c r="B3005" t="s">
        <v>18</v>
      </c>
      <c r="C3005" t="s">
        <v>19</v>
      </c>
      <c r="D3005">
        <v>115</v>
      </c>
      <c r="E3005">
        <v>107</v>
      </c>
      <c r="F3005">
        <v>8</v>
      </c>
      <c r="G3005">
        <v>4</v>
      </c>
      <c r="H3005" s="1">
        <v>6.9444444444444447E-4</v>
      </c>
      <c r="I3005">
        <v>2014</v>
      </c>
      <c r="J3005" t="s">
        <v>20</v>
      </c>
      <c r="K3005" s="2" t="str">
        <f>HYPERLINK("https://www.nba.com/stats/events?CFID=&amp;CFPARAMS=&amp;GameEventID=509&amp;GameID=0021400921&amp;Season=2014-15&amp;flag=1&amp;title=Leonard%2016'%20Jump%20Shot%20(25%20PTS)%20(Ginobili%202%20AST)", "Leonard 16' Jump Shot (25 PTS) (Ginobili 2 AST)")</f>
        <v>Leonard 16' Jump Shot (25 PTS) (Ginobili 2 AST)</v>
      </c>
      <c r="L3005" s="2" t="str">
        <f>HYPERLINK("https://www.nba.com/game/...-vs-...-0021400921/play-by-play?watchFullGame=true", "SAS vs DEN - Q4 01:00.00")</f>
        <v>SAS vs DEN - Q4 01:00.00</v>
      </c>
      <c r="M3005">
        <v>16</v>
      </c>
      <c r="N3005">
        <v>-161</v>
      </c>
      <c r="O3005">
        <v>23</v>
      </c>
      <c r="P3005">
        <v>-161</v>
      </c>
      <c r="Q3005">
        <v>23</v>
      </c>
      <c r="R3005" t="s">
        <v>21</v>
      </c>
      <c r="S3005" t="s">
        <v>21</v>
      </c>
    </row>
    <row r="3006" spans="1:19" hidden="1" x14ac:dyDescent="0.25">
      <c r="A3006">
        <v>21500481</v>
      </c>
      <c r="B3006" t="s">
        <v>18</v>
      </c>
      <c r="C3006" t="s">
        <v>19</v>
      </c>
      <c r="D3006">
        <v>76</v>
      </c>
      <c r="E3006">
        <v>50</v>
      </c>
      <c r="F3006">
        <v>26</v>
      </c>
      <c r="G3006">
        <v>3</v>
      </c>
      <c r="H3006" s="1">
        <v>2.2106481481481482E-3</v>
      </c>
      <c r="I3006">
        <v>2015</v>
      </c>
      <c r="J3006" t="s">
        <v>20</v>
      </c>
      <c r="K3006" s="2" t="str">
        <f>HYPERLINK("https://www.nba.com/stats/events?CFID=&amp;CFPARAMS=&amp;GameEventID=334&amp;GameID=0021500481&amp;Season=2015-16&amp;flag=1&amp;title=Leonard%2016'%20Jump%20Shot%20(17%20PTS)", "Leonard 16' Jump Shot (17 PTS)")</f>
        <v>Leonard 16' Jump Shot (17 PTS)</v>
      </c>
      <c r="L3006" s="2" t="str">
        <f>HYPERLINK("https://www.nba.com/game/...-vs-...-0021500481/play-by-play?watchFullGame=true", "SAS vs PHX - Q3 03:11.00")</f>
        <v>SAS vs PHX - Q3 03:11.00</v>
      </c>
      <c r="M3006">
        <v>16</v>
      </c>
      <c r="N3006">
        <v>-156</v>
      </c>
      <c r="O3006">
        <v>23</v>
      </c>
      <c r="P3006">
        <v>-156</v>
      </c>
      <c r="Q3006">
        <v>23</v>
      </c>
      <c r="R3006" t="s">
        <v>21</v>
      </c>
      <c r="S3006" t="s">
        <v>21</v>
      </c>
    </row>
    <row r="3007" spans="1:19" hidden="1" x14ac:dyDescent="0.25">
      <c r="A3007">
        <v>21500235</v>
      </c>
      <c r="B3007" t="s">
        <v>18</v>
      </c>
      <c r="C3007" t="s">
        <v>36</v>
      </c>
      <c r="D3007">
        <v>65</v>
      </c>
      <c r="E3007">
        <v>56</v>
      </c>
      <c r="F3007">
        <v>9</v>
      </c>
      <c r="G3007">
        <v>3</v>
      </c>
      <c r="H3007" s="1">
        <v>1.9560185185185184E-3</v>
      </c>
      <c r="I3007">
        <v>2015</v>
      </c>
      <c r="J3007" t="s">
        <v>20</v>
      </c>
      <c r="K3007" s="2" t="str">
        <f>HYPERLINK("https://www.nba.com/stats/events?CFID=&amp;CFPARAMS=&amp;GameEventID=331&amp;GameID=0021500235&amp;Season=2015-16&amp;flag=1&amp;title=Leonard%2017'%20Pullup%20Jump%20Shot%20(25%20PTS)", "Leonard 17' Pullup Jump Shot (25 PTS)")</f>
        <v>Leonard 17' Pullup Jump Shot (25 PTS)</v>
      </c>
      <c r="L3007" s="2" t="str">
        <f>HYPERLINK("https://www.nba.com/game/...-vs-...-0021500235/play-by-play?watchFullGame=true", "SAS vs DEN - Q3 02:49.00")</f>
        <v>SAS vs DEN - Q3 02:49.00</v>
      </c>
      <c r="M3007">
        <v>17</v>
      </c>
      <c r="N3007">
        <v>173</v>
      </c>
      <c r="O3007">
        <v>23</v>
      </c>
      <c r="P3007">
        <v>173</v>
      </c>
      <c r="Q3007">
        <v>23</v>
      </c>
      <c r="R3007" t="s">
        <v>21</v>
      </c>
      <c r="S3007" t="s">
        <v>21</v>
      </c>
    </row>
    <row r="3008" spans="1:19" hidden="1" x14ac:dyDescent="0.25">
      <c r="A3008">
        <v>21401028</v>
      </c>
      <c r="B3008" t="s">
        <v>18</v>
      </c>
      <c r="C3008" t="s">
        <v>19</v>
      </c>
      <c r="D3008">
        <v>48</v>
      </c>
      <c r="E3008">
        <v>30</v>
      </c>
      <c r="F3008">
        <v>18</v>
      </c>
      <c r="G3008">
        <v>2</v>
      </c>
      <c r="H3008" s="1">
        <v>3.4953703703703705E-3</v>
      </c>
      <c r="I3008">
        <v>2014</v>
      </c>
      <c r="J3008" t="s">
        <v>20</v>
      </c>
      <c r="K3008" s="2" t="str">
        <f>HYPERLINK("https://www.nba.com/stats/events?CFID=&amp;CFPARAMS=&amp;GameEventID=180&amp;GameID=0021401028&amp;Season=2014-15&amp;flag=1&amp;title=Leonard%2020'%20Jump%20Shot%20(9%20PTS)%20(Duncan%202%20AST)", "Leonard 20' Jump Shot (9 PTS) (Duncan 2 AST)")</f>
        <v>Leonard 20' Jump Shot (9 PTS) (Duncan 2 AST)</v>
      </c>
      <c r="L3008" s="2" t="str">
        <f>HYPERLINK("https://www.nba.com/game/...-vs-...-0021401028/play-by-play?watchFullGame=true", "SAS vs BOS - Q2 05:02.00")</f>
        <v>SAS vs BOS - Q2 05:02.00</v>
      </c>
      <c r="M3008">
        <v>20</v>
      </c>
      <c r="N3008">
        <v>195</v>
      </c>
      <c r="O3008">
        <v>25</v>
      </c>
      <c r="P3008">
        <v>195</v>
      </c>
      <c r="Q3008">
        <v>25</v>
      </c>
      <c r="R3008" t="s">
        <v>21</v>
      </c>
      <c r="S3008" t="s">
        <v>21</v>
      </c>
    </row>
    <row r="3009" spans="1:19" hidden="1" x14ac:dyDescent="0.25">
      <c r="A3009">
        <v>21300229</v>
      </c>
      <c r="B3009" t="s">
        <v>18</v>
      </c>
      <c r="C3009" t="s">
        <v>37</v>
      </c>
      <c r="D3009">
        <v>58</v>
      </c>
      <c r="E3009">
        <v>40</v>
      </c>
      <c r="F3009">
        <v>18</v>
      </c>
      <c r="G3009">
        <v>2</v>
      </c>
      <c r="H3009" s="1">
        <v>1.736111111111111E-3</v>
      </c>
      <c r="I3009">
        <v>2013</v>
      </c>
      <c r="J3009" t="s">
        <v>20</v>
      </c>
      <c r="K3009" s="2" t="str">
        <f>HYPERLINK("https://www.nba.com/stats/events?CFID=&amp;CFPARAMS=&amp;GameEventID=202&amp;GameID=0021300229&amp;Season=2013-14&amp;flag=1&amp;title=Leonard%2016'%20Fadeaway%20Jumper%20(10%20PTS)", "Leonard 16' Fadeaway Jumper (10 PTS)")</f>
        <v>Leonard 16' Fadeaway Jumper (10 PTS)</v>
      </c>
      <c r="L3009" s="2" t="str">
        <f>HYPERLINK("https://www.nba.com/game/...-vs-...-0021300229/play-by-play?watchFullGame=true", "SAS vs ORL - Q2 02:30.00")</f>
        <v>SAS vs ORL - Q2 02:30.00</v>
      </c>
      <c r="M3009">
        <v>16</v>
      </c>
      <c r="N3009">
        <v>155</v>
      </c>
      <c r="O3009">
        <v>26</v>
      </c>
      <c r="P3009">
        <v>155</v>
      </c>
      <c r="Q3009">
        <v>26</v>
      </c>
      <c r="R3009" t="s">
        <v>21</v>
      </c>
      <c r="S3009" t="s">
        <v>21</v>
      </c>
    </row>
    <row r="3010" spans="1:19" hidden="1" x14ac:dyDescent="0.25">
      <c r="A3010">
        <v>21500979</v>
      </c>
      <c r="B3010" t="s">
        <v>18</v>
      </c>
      <c r="C3010" t="s">
        <v>36</v>
      </c>
      <c r="D3010">
        <v>41</v>
      </c>
      <c r="E3010">
        <v>42</v>
      </c>
      <c r="F3010">
        <v>1</v>
      </c>
      <c r="G3010">
        <v>2</v>
      </c>
      <c r="H3010" s="1">
        <v>1.7592592592592592E-3</v>
      </c>
      <c r="I3010">
        <v>2015</v>
      </c>
      <c r="J3010" t="s">
        <v>20</v>
      </c>
      <c r="K3010" s="2" t="str">
        <f>HYPERLINK("https://www.nba.com/stats/events?CFID=&amp;CFPARAMS=&amp;GameEventID=244&amp;GameID=0021500979&amp;Season=2015-16&amp;flag=1&amp;title=Leonard%2016'%20Pullup%20Jump%20Shot%20(9%20PTS)", "Leonard 16' Pullup Jump Shot (9 PTS)")</f>
        <v>Leonard 16' Pullup Jump Shot (9 PTS)</v>
      </c>
      <c r="L3010" s="2" t="str">
        <f>HYPERLINK("https://www.nba.com/game/...-vs-...-0021500979/play-by-play?watchFullGame=true", "SAS vs OKC - Q2 02:32.00")</f>
        <v>SAS vs OKC - Q2 02:32.00</v>
      </c>
      <c r="M3010">
        <v>16</v>
      </c>
      <c r="N3010">
        <v>155</v>
      </c>
      <c r="O3010">
        <v>26</v>
      </c>
      <c r="P3010">
        <v>155</v>
      </c>
      <c r="Q3010">
        <v>26</v>
      </c>
      <c r="R3010" t="s">
        <v>21</v>
      </c>
      <c r="S3010" t="s">
        <v>21</v>
      </c>
    </row>
    <row r="3011" spans="1:19" hidden="1" x14ac:dyDescent="0.25">
      <c r="A3011">
        <v>21500431</v>
      </c>
      <c r="B3011" t="s">
        <v>18</v>
      </c>
      <c r="C3011" t="s">
        <v>19</v>
      </c>
      <c r="D3011">
        <v>87</v>
      </c>
      <c r="E3011">
        <v>67</v>
      </c>
      <c r="F3011">
        <v>20</v>
      </c>
      <c r="G3011">
        <v>4</v>
      </c>
      <c r="H3011" s="1">
        <v>6.1111111111111114E-3</v>
      </c>
      <c r="I3011">
        <v>2015</v>
      </c>
      <c r="J3011" t="s">
        <v>20</v>
      </c>
      <c r="K3011" s="2" t="str">
        <f>HYPERLINK("https://www.nba.com/stats/events?CFID=&amp;CFPARAMS=&amp;GameEventID=392&amp;GameID=0021500431&amp;Season=2015-16&amp;flag=1&amp;title=Leonard%2018'%20Jump%20Shot%20(12%20PTS)", "Leonard 18' Jump Shot (12 PTS)")</f>
        <v>Leonard 18' Jump Shot (12 PTS)</v>
      </c>
      <c r="L3011" s="2" t="str">
        <f>HYPERLINK("https://www.nba.com/game/...-vs-...-0021500431/play-by-play?watchFullGame=true", "SAS vs MIN - Q4 08:48.00")</f>
        <v>SAS vs MIN - Q4 08:48.00</v>
      </c>
      <c r="M3011">
        <v>18</v>
      </c>
      <c r="N3011">
        <v>-178</v>
      </c>
      <c r="O3011">
        <v>28</v>
      </c>
      <c r="P3011">
        <v>-178</v>
      </c>
      <c r="Q3011">
        <v>28</v>
      </c>
      <c r="R3011" t="s">
        <v>21</v>
      </c>
      <c r="S3011" t="s">
        <v>21</v>
      </c>
    </row>
    <row r="3012" spans="1:19" hidden="1" x14ac:dyDescent="0.25">
      <c r="A3012">
        <v>21601011</v>
      </c>
      <c r="B3012" t="s">
        <v>18</v>
      </c>
      <c r="C3012" t="s">
        <v>19</v>
      </c>
      <c r="D3012">
        <v>48</v>
      </c>
      <c r="E3012">
        <v>43</v>
      </c>
      <c r="F3012">
        <v>5</v>
      </c>
      <c r="G3012">
        <v>2</v>
      </c>
      <c r="H3012" s="1">
        <v>2.2337962962962962E-3</v>
      </c>
      <c r="I3012">
        <v>2016</v>
      </c>
      <c r="J3012" t="s">
        <v>20</v>
      </c>
      <c r="K3012" s="2" t="str">
        <f>HYPERLINK("https://www.nba.com/stats/events?CFID=&amp;CFPARAMS=&amp;GameEventID=189&amp;GameID=0021601011&amp;Season=2016-17&amp;flag=1&amp;title=Leonard%2017'%20Jump%20Shot%20(10%20PTS)", "Leonard 17' Jump Shot (10 PTS)")</f>
        <v>Leonard 17' Jump Shot (10 PTS)</v>
      </c>
      <c r="L3012" s="2" t="str">
        <f>HYPERLINK("https://www.nba.com/game/...-vs-...-0021601011/play-by-play?watchFullGame=true", "SAS vs POR - Q2 03:13.00")</f>
        <v>SAS vs POR - Q2 03:13.00</v>
      </c>
      <c r="M3012">
        <v>17</v>
      </c>
      <c r="N3012">
        <v>-169</v>
      </c>
      <c r="O3012">
        <v>28</v>
      </c>
      <c r="P3012">
        <v>-169</v>
      </c>
      <c r="Q3012">
        <v>28</v>
      </c>
      <c r="R3012" t="s">
        <v>21</v>
      </c>
      <c r="S3012" t="s">
        <v>21</v>
      </c>
    </row>
    <row r="3013" spans="1:19" hidden="1" x14ac:dyDescent="0.25">
      <c r="A3013">
        <v>41500234</v>
      </c>
      <c r="B3013" t="s">
        <v>18</v>
      </c>
      <c r="C3013" t="s">
        <v>39</v>
      </c>
      <c r="D3013">
        <v>69</v>
      </c>
      <c r="E3013">
        <v>64</v>
      </c>
      <c r="F3013">
        <v>5</v>
      </c>
      <c r="G3013">
        <v>3</v>
      </c>
      <c r="H3013" s="1">
        <v>3.1134259259259257E-3</v>
      </c>
      <c r="I3013" t="s">
        <v>57</v>
      </c>
      <c r="J3013" t="s">
        <v>20</v>
      </c>
      <c r="K3013" s="2" t="str">
        <f>HYPERLINK("https://www.nba.com/stats/events?CFID=&amp;CFPARAMS=&amp;GameEventID=344&amp;GameID=0041500234&amp;Season=2015-16&amp;flag=1&amp;title=Leonard%2016'%20Step%20Back%20Jump%20Shot%20(21%20PTS)", "Leonard 16' Step Back Jump Shot (21 PTS)")</f>
        <v>Leonard 16' Step Back Jump Shot (21 PTS)</v>
      </c>
      <c r="L3013" s="2" t="str">
        <f>HYPERLINK("https://www.nba.com/game/...-vs-...-0041500234/play-by-play?watchFullGame=true", "SAS vs OKC - Q3 04:29.00")</f>
        <v>SAS vs OKC - Q3 04:29.00</v>
      </c>
      <c r="M3013">
        <v>16</v>
      </c>
      <c r="N3013">
        <v>-155</v>
      </c>
      <c r="O3013">
        <v>28</v>
      </c>
      <c r="P3013">
        <v>-155</v>
      </c>
      <c r="Q3013">
        <v>28</v>
      </c>
      <c r="R3013" t="s">
        <v>21</v>
      </c>
      <c r="S3013" t="s">
        <v>21</v>
      </c>
    </row>
    <row r="3014" spans="1:19" hidden="1" x14ac:dyDescent="0.25">
      <c r="A3014">
        <v>21500612</v>
      </c>
      <c r="B3014" t="s">
        <v>18</v>
      </c>
      <c r="C3014" t="s">
        <v>38</v>
      </c>
      <c r="D3014">
        <v>29</v>
      </c>
      <c r="E3014">
        <v>28</v>
      </c>
      <c r="F3014">
        <v>1</v>
      </c>
      <c r="G3014">
        <v>2</v>
      </c>
      <c r="H3014" s="1">
        <v>3.9583333333333337E-3</v>
      </c>
      <c r="I3014">
        <v>2015</v>
      </c>
      <c r="J3014" t="s">
        <v>20</v>
      </c>
      <c r="K3014" s="2" t="str">
        <f>HYPERLINK("https://www.nba.com/stats/events?CFID=&amp;CFPARAMS=&amp;GameEventID=186&amp;GameID=0021500612&amp;Season=2015-16&amp;flag=1&amp;title=Leonard%2016'%20Turnaround%20Fadeaway%20(4%20PTS)", "Leonard 16' Turnaround Fadeaway (4 PTS)")</f>
        <v>Leonard 16' Turnaround Fadeaway (4 PTS)</v>
      </c>
      <c r="L3014" s="2" t="str">
        <f>HYPERLINK("https://www.nba.com/game/...-vs-...-0021500612/play-by-play?watchFullGame=true", "SAS vs DAL - Q2 05:42.00")</f>
        <v>SAS vs DAL - Q2 05:42.00</v>
      </c>
      <c r="M3014">
        <v>16</v>
      </c>
      <c r="N3014">
        <v>-158</v>
      </c>
      <c r="O3014">
        <v>31</v>
      </c>
      <c r="P3014">
        <v>-158</v>
      </c>
      <c r="Q3014">
        <v>31</v>
      </c>
      <c r="R3014" t="s">
        <v>21</v>
      </c>
      <c r="S3014" t="s">
        <v>21</v>
      </c>
    </row>
    <row r="3015" spans="1:19" hidden="1" x14ac:dyDescent="0.25">
      <c r="A3015">
        <v>21400177</v>
      </c>
      <c r="B3015" t="s">
        <v>18</v>
      </c>
      <c r="C3015" t="s">
        <v>19</v>
      </c>
      <c r="D3015">
        <v>63</v>
      </c>
      <c r="E3015">
        <v>48</v>
      </c>
      <c r="F3015">
        <v>15</v>
      </c>
      <c r="G3015">
        <v>3</v>
      </c>
      <c r="H3015" s="1">
        <v>7.3726851851851852E-3</v>
      </c>
      <c r="I3015">
        <v>2014</v>
      </c>
      <c r="J3015" t="s">
        <v>20</v>
      </c>
      <c r="K3015" s="2" t="str">
        <f>HYPERLINK("https://www.nba.com/stats/events?CFID=&amp;CFPARAMS=&amp;GameEventID=278&amp;GameID=0021400177&amp;Season=2014-15&amp;flag=1&amp;title=Leonard%2016'%20Jump%20Shot%20(8%20PTS)", "Leonard 16' Jump Shot (8 PTS)")</f>
        <v>Leonard 16' Jump Shot (8 PTS)</v>
      </c>
      <c r="L3015" s="2" t="str">
        <f>HYPERLINK("https://www.nba.com/game/...-vs-...-0021400177/play-by-play?watchFullGame=true", "SAS vs MIN - Q3 10:37.00")</f>
        <v>SAS vs MIN - Q3 10:37.00</v>
      </c>
      <c r="M3015">
        <v>16</v>
      </c>
      <c r="N3015">
        <v>162</v>
      </c>
      <c r="O3015">
        <v>31</v>
      </c>
      <c r="P3015">
        <v>162</v>
      </c>
      <c r="Q3015">
        <v>31</v>
      </c>
      <c r="R3015" t="s">
        <v>21</v>
      </c>
      <c r="S3015" t="s">
        <v>21</v>
      </c>
    </row>
    <row r="3016" spans="1:19" hidden="1" x14ac:dyDescent="0.25">
      <c r="A3016">
        <v>21501043</v>
      </c>
      <c r="B3016" t="s">
        <v>18</v>
      </c>
      <c r="C3016" t="s">
        <v>19</v>
      </c>
      <c r="D3016">
        <v>62</v>
      </c>
      <c r="E3016">
        <v>50</v>
      </c>
      <c r="F3016">
        <v>12</v>
      </c>
      <c r="G3016">
        <v>3</v>
      </c>
      <c r="H3016" s="1">
        <v>4.7453703703703703E-3</v>
      </c>
      <c r="I3016">
        <v>2015</v>
      </c>
      <c r="J3016" t="s">
        <v>20</v>
      </c>
      <c r="K3016" s="2" t="str">
        <f>HYPERLINK("https://www.nba.com/stats/events?CFID=&amp;CFPARAMS=&amp;GameEventID=321&amp;GameID=0021501043&amp;Season=2015-16&amp;flag=1&amp;title=Leonard%2017'%20Jump%20Shot%20(9%20PTS)%20(Duncan%202%20AST)", "Leonard 17' Jump Shot (9 PTS) (Duncan 2 AST)")</f>
        <v>Leonard 17' Jump Shot (9 PTS) (Duncan 2 AST)</v>
      </c>
      <c r="L3016" s="2" t="str">
        <f>HYPERLINK("https://www.nba.com/game/...-vs-...-0021501043/play-by-play?watchFullGame=true", "SAS vs CHA - Q3 06:50.00")</f>
        <v>SAS vs CHA - Q3 06:50.00</v>
      </c>
      <c r="M3016">
        <v>17</v>
      </c>
      <c r="N3016">
        <v>166</v>
      </c>
      <c r="O3016">
        <v>31</v>
      </c>
      <c r="P3016">
        <v>166</v>
      </c>
      <c r="Q3016">
        <v>31</v>
      </c>
      <c r="R3016" t="s">
        <v>21</v>
      </c>
      <c r="S3016" t="s">
        <v>21</v>
      </c>
    </row>
    <row r="3017" spans="1:19" hidden="1" x14ac:dyDescent="0.25">
      <c r="A3017">
        <v>21500379</v>
      </c>
      <c r="B3017" t="s">
        <v>18</v>
      </c>
      <c r="C3017" t="s">
        <v>19</v>
      </c>
      <c r="D3017">
        <v>63</v>
      </c>
      <c r="E3017">
        <v>56</v>
      </c>
      <c r="F3017">
        <v>7</v>
      </c>
      <c r="G3017">
        <v>3</v>
      </c>
      <c r="H3017" s="1">
        <v>6.1574074074074074E-3</v>
      </c>
      <c r="I3017">
        <v>2015</v>
      </c>
      <c r="J3017" t="s">
        <v>20</v>
      </c>
      <c r="K3017" s="2" t="str">
        <f>HYPERLINK("https://www.nba.com/stats/events?CFID=&amp;CFPARAMS=&amp;GameEventID=310&amp;GameID=0021500379&amp;Season=2015-16&amp;flag=1&amp;title=Leonard%2017'%20Jump%20Shot%20(17%20PTS)", "Leonard 17' Jump Shot (17 PTS)")</f>
        <v>Leonard 17' Jump Shot (17 PTS)</v>
      </c>
      <c r="L3017" s="2" t="str">
        <f>HYPERLINK("https://www.nba.com/game/...-vs-...-0021500379/play-by-play?watchFullGame=true", "SAS vs WAS - Q3 08:52.00")</f>
        <v>SAS vs WAS - Q3 08:52.00</v>
      </c>
      <c r="M3017">
        <v>17</v>
      </c>
      <c r="N3017">
        <v>-165</v>
      </c>
      <c r="O3017">
        <v>33</v>
      </c>
      <c r="P3017">
        <v>-165</v>
      </c>
      <c r="Q3017">
        <v>33</v>
      </c>
      <c r="R3017" t="s">
        <v>21</v>
      </c>
      <c r="S3017" t="s">
        <v>21</v>
      </c>
    </row>
    <row r="3018" spans="1:19" hidden="1" x14ac:dyDescent="0.25">
      <c r="A3018">
        <v>21300494</v>
      </c>
      <c r="B3018" t="s">
        <v>18</v>
      </c>
      <c r="C3018" t="s">
        <v>19</v>
      </c>
      <c r="D3018">
        <v>35</v>
      </c>
      <c r="E3018">
        <v>17</v>
      </c>
      <c r="F3018">
        <v>18</v>
      </c>
      <c r="G3018">
        <v>1</v>
      </c>
      <c r="H3018" s="1">
        <v>6.8981481481481487E-4</v>
      </c>
      <c r="I3018">
        <v>2013</v>
      </c>
      <c r="J3018" t="s">
        <v>20</v>
      </c>
      <c r="K3018" s="2" t="str">
        <f>HYPERLINK("https://www.nba.com/stats/events?CFID=&amp;CFPARAMS=&amp;GameEventID=92&amp;GameID=0021300494&amp;Season=2013-14&amp;flag=1&amp;title=Leonard%2016'%20Jump%20Shot%20(2%20PTS)%20(Ayres%202%20AST)", "Leonard 16' Jump Shot (2 PTS) (Ayres 2 AST)")</f>
        <v>Leonard 16' Jump Shot (2 PTS) (Ayres 2 AST)</v>
      </c>
      <c r="L3018" s="2" t="str">
        <f>HYPERLINK("https://www.nba.com/game/...-vs-...-0021300494/play-by-play?watchFullGame=true", "SAS vs LAC - Q1 00:59.60")</f>
        <v>SAS vs LAC - Q1 00:59.60</v>
      </c>
      <c r="M3018">
        <v>16</v>
      </c>
      <c r="N3018">
        <v>160</v>
      </c>
      <c r="O3018">
        <v>33</v>
      </c>
      <c r="P3018">
        <v>160</v>
      </c>
      <c r="Q3018">
        <v>33</v>
      </c>
      <c r="R3018" t="s">
        <v>21</v>
      </c>
      <c r="S3018" t="s">
        <v>21</v>
      </c>
    </row>
    <row r="3019" spans="1:19" hidden="1" x14ac:dyDescent="0.25">
      <c r="A3019">
        <v>21800216</v>
      </c>
      <c r="B3019" t="s">
        <v>18</v>
      </c>
      <c r="C3019" t="s">
        <v>36</v>
      </c>
      <c r="D3019">
        <v>50</v>
      </c>
      <c r="E3019">
        <v>51</v>
      </c>
      <c r="F3019">
        <v>1</v>
      </c>
      <c r="G3019">
        <v>2</v>
      </c>
      <c r="H3019" s="1">
        <v>1.8865740740740742E-3</v>
      </c>
      <c r="I3019">
        <v>2018</v>
      </c>
      <c r="J3019" t="s">
        <v>48</v>
      </c>
      <c r="K3019" s="2" t="str">
        <f>HYPERLINK("https://www.nba.com/stats/events?CFID=&amp;CFPARAMS=&amp;GameEventID=291&amp;GameID=0021800216&amp;Season=2018-19&amp;flag=1&amp;title=Leonard%2016'%20Pullup%20Jump%20Shot%20(12%20PTS)", "Leonard 16' Pullup Jump Shot (12 PTS)")</f>
        <v>Leonard 16' Pullup Jump Shot (12 PTS)</v>
      </c>
      <c r="L3019" s="2" t="str">
        <f>HYPERLINK("https://www.nba.com/game/...-vs-...-0021800216/play-by-play?watchFullGame=true", "TOR vs BOS - Q2 02:43.00")</f>
        <v>TOR vs BOS - Q2 02:43.00</v>
      </c>
      <c r="M3019">
        <v>16</v>
      </c>
      <c r="N3019">
        <v>-152</v>
      </c>
      <c r="O3019">
        <v>35</v>
      </c>
      <c r="P3019">
        <v>-152</v>
      </c>
      <c r="Q3019">
        <v>35</v>
      </c>
      <c r="R3019" t="s">
        <v>21</v>
      </c>
      <c r="S3019" t="s">
        <v>21</v>
      </c>
    </row>
    <row r="3020" spans="1:19" hidden="1" x14ac:dyDescent="0.25">
      <c r="A3020">
        <v>21500235</v>
      </c>
      <c r="B3020" t="s">
        <v>18</v>
      </c>
      <c r="C3020" t="s">
        <v>19</v>
      </c>
      <c r="D3020">
        <v>31</v>
      </c>
      <c r="E3020">
        <v>36</v>
      </c>
      <c r="F3020">
        <v>5</v>
      </c>
      <c r="G3020">
        <v>2</v>
      </c>
      <c r="H3020" s="1">
        <v>3.6689814814814814E-3</v>
      </c>
      <c r="I3020">
        <v>2015</v>
      </c>
      <c r="J3020" t="s">
        <v>20</v>
      </c>
      <c r="K3020" s="2" t="str">
        <f>HYPERLINK("https://www.nba.com/stats/events?CFID=&amp;CFPARAMS=&amp;GameEventID=184&amp;GameID=0021500235&amp;Season=2015-16&amp;flag=1&amp;title=Leonard%2017'%20Jump%20Shot%20(6%20PTS)%20(Parker%203%20AST)", "Leonard 17' Jump Shot (6 PTS) (Parker 3 AST)")</f>
        <v>Leonard 17' Jump Shot (6 PTS) (Parker 3 AST)</v>
      </c>
      <c r="L3020" s="2" t="str">
        <f>HYPERLINK("https://www.nba.com/game/...-vs-...-0021500235/play-by-play?watchFullGame=true", "SAS vs DEN - Q2 05:17.00")</f>
        <v>SAS vs DEN - Q2 05:17.00</v>
      </c>
      <c r="M3020">
        <v>17</v>
      </c>
      <c r="N3020">
        <v>-165</v>
      </c>
      <c r="O3020">
        <v>36</v>
      </c>
      <c r="P3020">
        <v>-165</v>
      </c>
      <c r="Q3020">
        <v>36</v>
      </c>
      <c r="R3020" t="s">
        <v>21</v>
      </c>
      <c r="S3020" t="s">
        <v>21</v>
      </c>
    </row>
    <row r="3021" spans="1:19" hidden="1" x14ac:dyDescent="0.25">
      <c r="A3021">
        <v>21400159</v>
      </c>
      <c r="B3021" t="s">
        <v>18</v>
      </c>
      <c r="C3021" t="s">
        <v>37</v>
      </c>
      <c r="D3021">
        <v>51</v>
      </c>
      <c r="E3021">
        <v>53</v>
      </c>
      <c r="F3021">
        <v>2</v>
      </c>
      <c r="G3021">
        <v>3</v>
      </c>
      <c r="H3021" s="1">
        <v>5.5439814814814813E-3</v>
      </c>
      <c r="I3021">
        <v>2014</v>
      </c>
      <c r="J3021" t="s">
        <v>20</v>
      </c>
      <c r="K3021" s="2" t="str">
        <f>HYPERLINK("https://www.nba.com/stats/events?CFID=&amp;CFPARAMS=&amp;GameEventID=285&amp;GameID=0021400159&amp;Season=2014-15&amp;flag=1&amp;title=Leonard%2016'%20Fadeaway%20Jumper%20(9%20PTS)", "Leonard 16' Fadeaway Jumper (9 PTS)")</f>
        <v>Leonard 16' Fadeaway Jumper (9 PTS)</v>
      </c>
      <c r="L3021" s="2" t="str">
        <f>HYPERLINK("https://www.nba.com/game/...-vs-...-0021400159/play-by-play?watchFullGame=true", "SAS vs CLE - Q3 07:59.00")</f>
        <v>SAS vs CLE - Q3 07:59.00</v>
      </c>
      <c r="M3021">
        <v>16</v>
      </c>
      <c r="N3021">
        <v>157</v>
      </c>
      <c r="O3021">
        <v>36</v>
      </c>
      <c r="P3021">
        <v>157</v>
      </c>
      <c r="Q3021">
        <v>36</v>
      </c>
      <c r="R3021" t="s">
        <v>21</v>
      </c>
      <c r="S3021" t="s">
        <v>21</v>
      </c>
    </row>
    <row r="3022" spans="1:19" hidden="1" x14ac:dyDescent="0.25">
      <c r="A3022">
        <v>21600727</v>
      </c>
      <c r="B3022" t="s">
        <v>18</v>
      </c>
      <c r="C3022" t="s">
        <v>36</v>
      </c>
      <c r="D3022">
        <v>48</v>
      </c>
      <c r="E3022">
        <v>37</v>
      </c>
      <c r="F3022">
        <v>11</v>
      </c>
      <c r="G3022">
        <v>2</v>
      </c>
      <c r="H3022" s="1">
        <v>1.3541666666666667E-3</v>
      </c>
      <c r="I3022">
        <v>2016</v>
      </c>
      <c r="J3022" t="s">
        <v>20</v>
      </c>
      <c r="K3022" s="2" t="str">
        <f>HYPERLINK("https://www.nba.com/stats/events?CFID=&amp;CFPARAMS=&amp;GameEventID=325&amp;GameID=0021600727&amp;Season=2016-17&amp;flag=1&amp;title=Leonard%2016'%20Pullup%20Jump%20Shot%20(13%20PTS)", "Leonard 16' Pullup Jump Shot (13 PTS)")</f>
        <v>Leonard 16' Pullup Jump Shot (13 PTS)</v>
      </c>
      <c r="L3022" s="2" t="str">
        <f>HYPERLINK("https://www.nba.com/game/...-vs-...-0021600727/play-by-play?watchFullGame=true", "SAS vs OKC - Q2 01:57.00")</f>
        <v>SAS vs OKC - Q2 01:57.00</v>
      </c>
      <c r="M3022">
        <v>16</v>
      </c>
      <c r="N3022">
        <v>161</v>
      </c>
      <c r="O3022">
        <v>36</v>
      </c>
      <c r="P3022">
        <v>161</v>
      </c>
      <c r="Q3022">
        <v>36</v>
      </c>
      <c r="R3022" t="s">
        <v>21</v>
      </c>
      <c r="S3022" t="s">
        <v>21</v>
      </c>
    </row>
    <row r="3023" spans="1:19" hidden="1" x14ac:dyDescent="0.25">
      <c r="A3023">
        <v>21800347</v>
      </c>
      <c r="B3023" t="s">
        <v>18</v>
      </c>
      <c r="C3023" t="s">
        <v>19</v>
      </c>
      <c r="D3023">
        <v>16</v>
      </c>
      <c r="E3023">
        <v>16</v>
      </c>
      <c r="F3023">
        <v>0</v>
      </c>
      <c r="G3023">
        <v>1</v>
      </c>
      <c r="H3023" s="1">
        <v>3.5532407407407409E-3</v>
      </c>
      <c r="I3023">
        <v>2018</v>
      </c>
      <c r="J3023" t="s">
        <v>48</v>
      </c>
      <c r="K3023" s="2" t="str">
        <f>HYPERLINK("https://www.nba.com/stats/events?CFID=&amp;CFPARAMS=&amp;GameEventID=71&amp;GameID=0021800347&amp;Season=2018-19&amp;flag=1&amp;title=Leonard%2017'%20Jump%20Shot%20(2%20PTS)%20(Lowry%203%20AST)", "Leonard 17' Jump Shot (2 PTS) (Lowry 3 AST)")</f>
        <v>Leonard 17' Jump Shot (2 PTS) (Lowry 3 AST)</v>
      </c>
      <c r="L3023" s="2" t="str">
        <f>HYPERLINK("https://www.nba.com/game/...-vs-...-0021800347/play-by-play?watchFullGame=true", "TOR vs DEN - Q1 05:07.00")</f>
        <v>TOR vs DEN - Q1 05:07.00</v>
      </c>
      <c r="M3023">
        <v>17</v>
      </c>
      <c r="N3023">
        <v>-161</v>
      </c>
      <c r="O3023">
        <v>37</v>
      </c>
      <c r="P3023">
        <v>-161</v>
      </c>
      <c r="Q3023">
        <v>37</v>
      </c>
      <c r="R3023" t="s">
        <v>21</v>
      </c>
      <c r="S3023" t="s">
        <v>21</v>
      </c>
    </row>
    <row r="3024" spans="1:19" hidden="1" x14ac:dyDescent="0.25">
      <c r="A3024">
        <v>21500061</v>
      </c>
      <c r="B3024" t="s">
        <v>18</v>
      </c>
      <c r="C3024" t="s">
        <v>19</v>
      </c>
      <c r="D3024">
        <v>68</v>
      </c>
      <c r="E3024">
        <v>62</v>
      </c>
      <c r="F3024">
        <v>6</v>
      </c>
      <c r="G3024">
        <v>3</v>
      </c>
      <c r="H3024" s="1">
        <v>1.9791666666666668E-3</v>
      </c>
      <c r="I3024">
        <v>2015</v>
      </c>
      <c r="J3024" t="s">
        <v>20</v>
      </c>
      <c r="K3024" s="2" t="str">
        <f>HYPERLINK("https://www.nba.com/stats/events?CFID=&amp;CFPARAMS=&amp;GameEventID=333&amp;GameID=0021500061&amp;Season=2015-16&amp;flag=1&amp;title=Leonard%2018'%20Jump%20Shot%20(21%20PTS)%20(Ginobili%201%20AST)", "Leonard 18' Jump Shot (21 PTS) (Ginobili 1 AST)")</f>
        <v>Leonard 18' Jump Shot (21 PTS) (Ginobili 1 AST)</v>
      </c>
      <c r="L3024" s="2" t="str">
        <f>HYPERLINK("https://www.nba.com/game/...-vs-...-0021500061/play-by-play?watchFullGame=true", "SAS vs WAS - Q3 02:51.00")</f>
        <v>SAS vs WAS - Q3 02:51.00</v>
      </c>
      <c r="M3024">
        <v>18</v>
      </c>
      <c r="N3024">
        <v>179</v>
      </c>
      <c r="O3024">
        <v>41</v>
      </c>
      <c r="P3024">
        <v>179</v>
      </c>
      <c r="Q3024">
        <v>41</v>
      </c>
      <c r="R3024" t="s">
        <v>21</v>
      </c>
      <c r="S3024" t="s">
        <v>21</v>
      </c>
    </row>
    <row r="3025" spans="1:19" hidden="1" x14ac:dyDescent="0.25">
      <c r="A3025">
        <v>21500235</v>
      </c>
      <c r="B3025" t="s">
        <v>18</v>
      </c>
      <c r="C3025" t="s">
        <v>34</v>
      </c>
      <c r="D3025">
        <v>10</v>
      </c>
      <c r="E3025">
        <v>13</v>
      </c>
      <c r="F3025">
        <v>3</v>
      </c>
      <c r="G3025">
        <v>1</v>
      </c>
      <c r="H3025" s="1">
        <v>2.7314814814814814E-3</v>
      </c>
      <c r="I3025">
        <v>2015</v>
      </c>
      <c r="J3025" t="s">
        <v>20</v>
      </c>
      <c r="K3025" s="2" t="str">
        <f>HYPERLINK("https://www.nba.com/stats/events?CFID=&amp;CFPARAMS=&amp;GameEventID=69&amp;GameID=0021500235&amp;Season=2015-16&amp;flag=1&amp;title=Leonard%2017'%20Turnaround%20Jump%20Shot%20(2%20PTS)", "Leonard 17' Turnaround Jump Shot (2 PTS)")</f>
        <v>Leonard 17' Turnaround Jump Shot (2 PTS)</v>
      </c>
      <c r="L3025" s="2" t="str">
        <f>HYPERLINK("https://www.nba.com/game/...-vs-...-0021500235/play-by-play?watchFullGame=true", "SAS vs DEN - Q1 03:56.00")</f>
        <v>SAS vs DEN - Q1 03:56.00</v>
      </c>
      <c r="M3025">
        <v>17</v>
      </c>
      <c r="N3025">
        <v>-165</v>
      </c>
      <c r="O3025">
        <v>46</v>
      </c>
      <c r="P3025">
        <v>-165</v>
      </c>
      <c r="Q3025">
        <v>46</v>
      </c>
      <c r="R3025" t="s">
        <v>21</v>
      </c>
      <c r="S3025" t="s">
        <v>21</v>
      </c>
    </row>
    <row r="3026" spans="1:19" hidden="1" x14ac:dyDescent="0.25">
      <c r="A3026">
        <v>21600625</v>
      </c>
      <c r="B3026" t="s">
        <v>18</v>
      </c>
      <c r="C3026" t="s">
        <v>19</v>
      </c>
      <c r="D3026">
        <v>63</v>
      </c>
      <c r="E3026">
        <v>67</v>
      </c>
      <c r="F3026">
        <v>4</v>
      </c>
      <c r="G3026">
        <v>2</v>
      </c>
      <c r="H3026" s="1">
        <v>6.226851851851851E-4</v>
      </c>
      <c r="I3026">
        <v>2016</v>
      </c>
      <c r="J3026" t="s">
        <v>20</v>
      </c>
      <c r="K3026" s="2" t="str">
        <f>HYPERLINK("https://www.nba.com/stats/events?CFID=&amp;CFPARAMS=&amp;GameEventID=289&amp;GameID=0021600625&amp;Season=2016-17&amp;flag=1&amp;title=Leonard%2016'%20Jump%20Shot%20(15%20PTS)%20(Mills%202%20AST)", "Leonard 16' Jump Shot (15 PTS) (Mills 2 AST)")</f>
        <v>Leonard 16' Jump Shot (15 PTS) (Mills 2 AST)</v>
      </c>
      <c r="L3026" s="2" t="str">
        <f>HYPERLINK("https://www.nba.com/game/...-vs-...-0021600625/play-by-play?watchFullGame=true", "SAS vs MIN - Q2 00:53.80")</f>
        <v>SAS vs MIN - Q2 00:53.80</v>
      </c>
      <c r="M3026">
        <v>16</v>
      </c>
      <c r="N3026">
        <v>158</v>
      </c>
      <c r="O3026">
        <v>46</v>
      </c>
      <c r="P3026">
        <v>158</v>
      </c>
      <c r="Q3026">
        <v>46</v>
      </c>
      <c r="R3026" t="s">
        <v>21</v>
      </c>
      <c r="S3026" t="s">
        <v>21</v>
      </c>
    </row>
    <row r="3027" spans="1:19" hidden="1" x14ac:dyDescent="0.25">
      <c r="A3027">
        <v>21600289</v>
      </c>
      <c r="B3027" t="s">
        <v>18</v>
      </c>
      <c r="C3027" t="s">
        <v>19</v>
      </c>
      <c r="D3027">
        <v>90</v>
      </c>
      <c r="E3027">
        <v>85</v>
      </c>
      <c r="F3027">
        <v>5</v>
      </c>
      <c r="G3027">
        <v>4</v>
      </c>
      <c r="H3027" s="1">
        <v>4.8495370370370368E-3</v>
      </c>
      <c r="I3027">
        <v>2016</v>
      </c>
      <c r="J3027" t="s">
        <v>20</v>
      </c>
      <c r="K3027" s="2" t="str">
        <f>HYPERLINK("https://www.nba.com/stats/events?CFID=&amp;CFPARAMS=&amp;GameEventID=476&amp;GameID=0021600289&amp;Season=2016-17&amp;flag=1&amp;title=Leonard%2018'%20Jump%20Shot%20(15%20PTS)%20(Gasol%202%20AST)", "Leonard 18' Jump Shot (15 PTS) (Gasol 2 AST)")</f>
        <v>Leonard 18' Jump Shot (15 PTS) (Gasol 2 AST)</v>
      </c>
      <c r="L3027" s="2" t="str">
        <f>HYPERLINK("https://www.nba.com/game/...-vs-...-0021600289/play-by-play?watchFullGame=true", "SAS vs WAS - Q4 06:59.00")</f>
        <v>SAS vs WAS - Q4 06:59.00</v>
      </c>
      <c r="M3027">
        <v>18</v>
      </c>
      <c r="N3027">
        <v>179</v>
      </c>
      <c r="O3027">
        <v>46</v>
      </c>
      <c r="P3027">
        <v>179</v>
      </c>
      <c r="Q3027">
        <v>46</v>
      </c>
      <c r="R3027" t="s">
        <v>21</v>
      </c>
      <c r="S3027" t="s">
        <v>21</v>
      </c>
    </row>
    <row r="3028" spans="1:19" hidden="1" x14ac:dyDescent="0.25">
      <c r="A3028">
        <v>41200236</v>
      </c>
      <c r="B3028" t="s">
        <v>18</v>
      </c>
      <c r="C3028" t="s">
        <v>36</v>
      </c>
      <c r="D3028">
        <v>74</v>
      </c>
      <c r="E3028">
        <v>67</v>
      </c>
      <c r="F3028">
        <v>7</v>
      </c>
      <c r="G3028">
        <v>4</v>
      </c>
      <c r="H3028" s="1">
        <v>5.8912037037037041E-3</v>
      </c>
      <c r="I3028" t="s">
        <v>53</v>
      </c>
      <c r="J3028" t="s">
        <v>20</v>
      </c>
      <c r="K3028" s="2" t="str">
        <f>HYPERLINK("https://www.nba.com/stats/events?CFID=&amp;CFPARAMS=&amp;GameEventID=421&amp;GameID=0041200236&amp;Season=2012-13&amp;flag=1&amp;title=Leonard%2017'%20Pullup%20Jump%20Shot%20(11%20PTS)%20(Parker%207%20AST)", "Leonard 17' Pullup Jump Shot (11 PTS) (Parker 7 AST)")</f>
        <v>Leonard 17' Pullup Jump Shot (11 PTS) (Parker 7 AST)</v>
      </c>
      <c r="L3028" s="2" t="str">
        <f>HYPERLINK("https://www.nba.com/game/...-vs-...-0041200236/play-by-play?watchFullGame=true", "SAS vs GSW - Q4 08:29.00")</f>
        <v>SAS vs GSW - Q4 08:29.00</v>
      </c>
      <c r="M3028">
        <v>17</v>
      </c>
      <c r="N3028">
        <v>166</v>
      </c>
      <c r="O3028">
        <v>47</v>
      </c>
      <c r="P3028">
        <v>166</v>
      </c>
      <c r="Q3028">
        <v>47</v>
      </c>
      <c r="R3028" t="s">
        <v>21</v>
      </c>
      <c r="S3028" t="s">
        <v>21</v>
      </c>
    </row>
    <row r="3029" spans="1:19" hidden="1" x14ac:dyDescent="0.25">
      <c r="A3029">
        <v>21500759</v>
      </c>
      <c r="B3029" t="s">
        <v>18</v>
      </c>
      <c r="C3029" t="s">
        <v>19</v>
      </c>
      <c r="D3029">
        <v>2</v>
      </c>
      <c r="E3029">
        <v>2</v>
      </c>
      <c r="F3029">
        <v>0</v>
      </c>
      <c r="G3029">
        <v>1</v>
      </c>
      <c r="H3029" s="1">
        <v>7.6157407407407406E-3</v>
      </c>
      <c r="I3029">
        <v>2015</v>
      </c>
      <c r="J3029" t="s">
        <v>20</v>
      </c>
      <c r="K3029" s="2" t="str">
        <f>HYPERLINK("https://www.nba.com/stats/events?CFID=&amp;CFPARAMS=&amp;GameEventID=8&amp;GameID=0021500759&amp;Season=2015-16&amp;flag=1&amp;title=Leonard%2019'%20Jump%20Shot%20(2%20PTS)%20(Aldridge%201%20AST)", "Leonard 19' Jump Shot (2 PTS) (Aldridge 1 AST)")</f>
        <v>Leonard 19' Jump Shot (2 PTS) (Aldridge 1 AST)</v>
      </c>
      <c r="L3029" s="2" t="str">
        <f>HYPERLINK("https://www.nba.com/game/...-vs-...-0021500759/play-by-play?watchFullGame=true", "SAS vs DAL - Q1 10:58.00")</f>
        <v>SAS vs DAL - Q1 10:58.00</v>
      </c>
      <c r="M3029">
        <v>19</v>
      </c>
      <c r="N3029">
        <v>179</v>
      </c>
      <c r="O3029">
        <v>47</v>
      </c>
      <c r="P3029">
        <v>179</v>
      </c>
      <c r="Q3029">
        <v>47</v>
      </c>
      <c r="R3029" t="s">
        <v>21</v>
      </c>
      <c r="S3029" t="s">
        <v>21</v>
      </c>
    </row>
    <row r="3030" spans="1:19" hidden="1" x14ac:dyDescent="0.25">
      <c r="A3030">
        <v>21401157</v>
      </c>
      <c r="B3030" t="s">
        <v>18</v>
      </c>
      <c r="C3030" t="s">
        <v>36</v>
      </c>
      <c r="D3030">
        <v>43</v>
      </c>
      <c r="E3030">
        <v>26</v>
      </c>
      <c r="F3030">
        <v>17</v>
      </c>
      <c r="G3030">
        <v>2</v>
      </c>
      <c r="H3030" s="1">
        <v>4.5717592592592589E-3</v>
      </c>
      <c r="I3030">
        <v>2014</v>
      </c>
      <c r="J3030" t="s">
        <v>20</v>
      </c>
      <c r="K3030" s="2" t="str">
        <f>HYPERLINK("https://www.nba.com/stats/events?CFID=&amp;CFPARAMS=&amp;GameEventID=195&amp;GameID=0021401157&amp;Season=2014-15&amp;flag=1&amp;title=Leonard%2016'%20Pullup%20Jump%20Shot%20(17%20PTS)", "Leonard 16' Pullup Jump Shot (17 PTS)")</f>
        <v>Leonard 16' Pullup Jump Shot (17 PTS)</v>
      </c>
      <c r="L3030" s="2" t="str">
        <f>HYPERLINK("https://www.nba.com/game/...-vs-...-0021401157/play-by-play?watchFullGame=true", "SAS vs OKC - Q2 06:35.00")</f>
        <v>SAS vs OKC - Q2 06:35.00</v>
      </c>
      <c r="M3030">
        <v>16</v>
      </c>
      <c r="N3030">
        <v>-157</v>
      </c>
      <c r="O3030">
        <v>48</v>
      </c>
      <c r="P3030">
        <v>-157</v>
      </c>
      <c r="Q3030">
        <v>48</v>
      </c>
      <c r="R3030" t="s">
        <v>21</v>
      </c>
      <c r="S3030" t="s">
        <v>21</v>
      </c>
    </row>
    <row r="3031" spans="1:19" hidden="1" x14ac:dyDescent="0.25">
      <c r="A3031">
        <v>21800580</v>
      </c>
      <c r="B3031" t="s">
        <v>18</v>
      </c>
      <c r="C3031" t="s">
        <v>19</v>
      </c>
      <c r="D3031">
        <v>18</v>
      </c>
      <c r="E3031">
        <v>21</v>
      </c>
      <c r="F3031">
        <v>3</v>
      </c>
      <c r="G3031">
        <v>1</v>
      </c>
      <c r="H3031" s="1">
        <v>3.9699074074074072E-3</v>
      </c>
      <c r="I3031">
        <v>2018</v>
      </c>
      <c r="J3031" t="s">
        <v>48</v>
      </c>
      <c r="K3031" s="2" t="str">
        <f>HYPERLINK("https://www.nba.com/stats/events?CFID=&amp;CFPARAMS=&amp;GameEventID=65&amp;GameID=0021800580&amp;Season=2018-19&amp;flag=1&amp;title=Leonard%2016'%20Jump%20Shot%20(4%20PTS)", "Leonard 16' Jump Shot (4 PTS)")</f>
        <v>Leonard 16' Jump Shot (4 PTS)</v>
      </c>
      <c r="L3031" s="2" t="str">
        <f>HYPERLINK("https://www.nba.com/game/...-vs-...-0021800580/play-by-play?watchFullGame=true", "TOR vs MIL - Q1 05:43.00")</f>
        <v>TOR vs MIL - Q1 05:43.00</v>
      </c>
      <c r="M3031">
        <v>16</v>
      </c>
      <c r="N3031">
        <v>-157</v>
      </c>
      <c r="O3031">
        <v>49</v>
      </c>
      <c r="P3031">
        <v>-157</v>
      </c>
      <c r="Q3031">
        <v>49</v>
      </c>
      <c r="R3031" t="s">
        <v>21</v>
      </c>
      <c r="S3031" t="s">
        <v>21</v>
      </c>
    </row>
    <row r="3032" spans="1:19" hidden="1" x14ac:dyDescent="0.25">
      <c r="A3032">
        <v>21800019</v>
      </c>
      <c r="B3032" t="s">
        <v>18</v>
      </c>
      <c r="C3032" t="s">
        <v>19</v>
      </c>
      <c r="D3032">
        <v>55</v>
      </c>
      <c r="E3032">
        <v>58</v>
      </c>
      <c r="F3032">
        <v>3</v>
      </c>
      <c r="G3032">
        <v>3</v>
      </c>
      <c r="H3032" s="1">
        <v>7.3842592592592597E-3</v>
      </c>
      <c r="I3032">
        <v>2018</v>
      </c>
      <c r="J3032" t="s">
        <v>48</v>
      </c>
      <c r="K3032" s="2" t="str">
        <f>HYPERLINK("https://www.nba.com/stats/events?CFID=&amp;CFPARAMS=&amp;GameEventID=347&amp;GameID=0021800019&amp;Season=2018-19&amp;flag=1&amp;title=Leonard%2016'%20Jump%20Shot%20(13%20PTS)", "Leonard 16' Jump Shot (13 PTS)")</f>
        <v>Leonard 16' Jump Shot (13 PTS)</v>
      </c>
      <c r="L3032" s="2" t="str">
        <f>HYPERLINK("https://www.nba.com/game/...-vs-...-0021800019/play-by-play?watchFullGame=true", "TOR vs BOS - Q3 10:38.00")</f>
        <v>TOR vs BOS - Q3 10:38.00</v>
      </c>
      <c r="M3032">
        <v>16</v>
      </c>
      <c r="N3032">
        <v>-150</v>
      </c>
      <c r="O3032">
        <v>50</v>
      </c>
      <c r="P3032">
        <v>-150</v>
      </c>
      <c r="Q3032">
        <v>50</v>
      </c>
      <c r="R3032" t="s">
        <v>21</v>
      </c>
      <c r="S3032" t="s">
        <v>21</v>
      </c>
    </row>
    <row r="3033" spans="1:19" hidden="1" x14ac:dyDescent="0.25">
      <c r="A3033">
        <v>21301127</v>
      </c>
      <c r="B3033" t="s">
        <v>18</v>
      </c>
      <c r="C3033" t="s">
        <v>19</v>
      </c>
      <c r="D3033">
        <v>10</v>
      </c>
      <c r="E3033">
        <v>6</v>
      </c>
      <c r="F3033">
        <v>4</v>
      </c>
      <c r="G3033">
        <v>1</v>
      </c>
      <c r="H3033" s="1">
        <v>5.3935185185185188E-3</v>
      </c>
      <c r="I3033">
        <v>2013</v>
      </c>
      <c r="J3033" t="s">
        <v>20</v>
      </c>
      <c r="K3033" s="2" t="str">
        <f>HYPERLINK("https://www.nba.com/stats/events?CFID=&amp;CFPARAMS=&amp;GameEventID=48&amp;GameID=0021301127&amp;Season=2013-14&amp;flag=1&amp;title=Leonard%2018'%20Jump%20Shot%20(4%20PTS)", "Leonard 18' Jump Shot (4 PTS)")</f>
        <v>Leonard 18' Jump Shot (4 PTS)</v>
      </c>
      <c r="L3033" s="2" t="str">
        <f>HYPERLINK("https://www.nba.com/game/...-vs-...-0021301127/play-by-play?watchFullGame=true", "SAS vs OKC - Q1 07:46.00")</f>
        <v>SAS vs OKC - Q1 07:46.00</v>
      </c>
      <c r="M3033">
        <v>18</v>
      </c>
      <c r="N3033">
        <v>168</v>
      </c>
      <c r="O3033">
        <v>50</v>
      </c>
      <c r="P3033">
        <v>168</v>
      </c>
      <c r="Q3033">
        <v>50</v>
      </c>
      <c r="R3033" t="s">
        <v>21</v>
      </c>
      <c r="S3033" t="s">
        <v>21</v>
      </c>
    </row>
    <row r="3034" spans="1:19" hidden="1" x14ac:dyDescent="0.25">
      <c r="A3034">
        <v>21501118</v>
      </c>
      <c r="B3034" t="s">
        <v>18</v>
      </c>
      <c r="C3034" t="s">
        <v>19</v>
      </c>
      <c r="D3034">
        <v>11</v>
      </c>
      <c r="E3034">
        <v>7</v>
      </c>
      <c r="F3034">
        <v>4</v>
      </c>
      <c r="G3034">
        <v>1</v>
      </c>
      <c r="H3034" s="1">
        <v>6.0069444444444441E-3</v>
      </c>
      <c r="I3034">
        <v>2015</v>
      </c>
      <c r="J3034" t="s">
        <v>20</v>
      </c>
      <c r="K3034" s="2" t="str">
        <f>HYPERLINK("https://www.nba.com/stats/events?CFID=&amp;CFPARAMS=&amp;GameEventID=23&amp;GameID=0021501118&amp;Season=2015-16&amp;flag=1&amp;title=Leonard%2016'%20Jump%20Shot%20(7%20PTS)%20(Parker%203%20AST)", "Leonard 16' Jump Shot (7 PTS) (Parker 3 AST)")</f>
        <v>Leonard 16' Jump Shot (7 PTS) (Parker 3 AST)</v>
      </c>
      <c r="L3034" s="2" t="str">
        <f>HYPERLINK("https://www.nba.com/game/...-vs-...-0021501118/play-by-play?watchFullGame=true", "SAS vs NOP - Q1 08:39.00")</f>
        <v>SAS vs NOP - Q1 08:39.00</v>
      </c>
      <c r="M3034">
        <v>16</v>
      </c>
      <c r="N3034">
        <v>-153</v>
      </c>
      <c r="O3034">
        <v>51</v>
      </c>
      <c r="P3034">
        <v>-153</v>
      </c>
      <c r="Q3034">
        <v>51</v>
      </c>
      <c r="R3034" t="s">
        <v>21</v>
      </c>
      <c r="S3034" t="s">
        <v>21</v>
      </c>
    </row>
    <row r="3035" spans="1:19" hidden="1" x14ac:dyDescent="0.25">
      <c r="A3035">
        <v>21600902</v>
      </c>
      <c r="B3035" t="s">
        <v>18</v>
      </c>
      <c r="C3035" t="s">
        <v>38</v>
      </c>
      <c r="D3035">
        <v>100</v>
      </c>
      <c r="E3035">
        <v>99</v>
      </c>
      <c r="F3035">
        <v>1</v>
      </c>
      <c r="G3035">
        <v>4</v>
      </c>
      <c r="H3035" s="1">
        <v>2.7777777777777776E-5</v>
      </c>
      <c r="I3035">
        <v>2016</v>
      </c>
      <c r="J3035" t="s">
        <v>20</v>
      </c>
      <c r="K3035" s="2" t="str">
        <f>HYPERLINK("https://www.nba.com/stats/events?CFID=&amp;CFPARAMS=&amp;GameEventID=542&amp;GameID=0021600902&amp;Season=2016-17&amp;flag=1&amp;title=Leonard%2016'%20Turnaround%20Fadeaway%20(31%20PTS)", "Leonard 16' Turnaround Fadeaway (31 PTS)")</f>
        <v>Leonard 16' Turnaround Fadeaway (31 PTS)</v>
      </c>
      <c r="L3035" s="2" t="str">
        <f>HYPERLINK("https://www.nba.com/game/...-vs-...-0021600902/play-by-play?watchFullGame=true", "SAS vs IND - Q4 00:02.40")</f>
        <v>SAS vs IND - Q4 00:02.40</v>
      </c>
      <c r="M3035">
        <v>16</v>
      </c>
      <c r="N3035">
        <v>-147</v>
      </c>
      <c r="O3035">
        <v>51</v>
      </c>
      <c r="P3035">
        <v>-147</v>
      </c>
      <c r="Q3035">
        <v>51</v>
      </c>
      <c r="R3035" t="s">
        <v>21</v>
      </c>
      <c r="S3035" t="s">
        <v>21</v>
      </c>
    </row>
    <row r="3036" spans="1:19" hidden="1" x14ac:dyDescent="0.25">
      <c r="A3036">
        <v>41500231</v>
      </c>
      <c r="B3036" t="s">
        <v>18</v>
      </c>
      <c r="C3036" t="s">
        <v>19</v>
      </c>
      <c r="D3036">
        <v>85</v>
      </c>
      <c r="E3036">
        <v>53</v>
      </c>
      <c r="F3036">
        <v>32</v>
      </c>
      <c r="G3036">
        <v>3</v>
      </c>
      <c r="H3036" s="1">
        <v>4.6296296296296294E-3</v>
      </c>
      <c r="I3036" t="s">
        <v>57</v>
      </c>
      <c r="J3036" t="s">
        <v>20</v>
      </c>
      <c r="K3036" s="2" t="str">
        <f>HYPERLINK("https://www.nba.com/stats/events?CFID=&amp;CFPARAMS=&amp;GameEventID=284&amp;GameID=0041500231&amp;Season=2015-16&amp;flag=1&amp;title=Leonard%2016'%20Jump%20Shot%20(25%20PTS)", "Leonard 16' Jump Shot (25 PTS)")</f>
        <v>Leonard 16' Jump Shot (25 PTS)</v>
      </c>
      <c r="L3036" s="2" t="str">
        <f>HYPERLINK("https://www.nba.com/game/...-vs-...-0041500231/play-by-play?watchFullGame=true", "SAS vs OKC - Q3 06:40.00")</f>
        <v>SAS vs OKC - Q3 06:40.00</v>
      </c>
      <c r="M3036">
        <v>16</v>
      </c>
      <c r="N3036">
        <v>155</v>
      </c>
      <c r="O3036">
        <v>51</v>
      </c>
      <c r="P3036">
        <v>155</v>
      </c>
      <c r="Q3036">
        <v>51</v>
      </c>
      <c r="R3036" t="s">
        <v>21</v>
      </c>
      <c r="S3036" t="s">
        <v>21</v>
      </c>
    </row>
    <row r="3037" spans="1:19" hidden="1" x14ac:dyDescent="0.25">
      <c r="A3037">
        <v>21600994</v>
      </c>
      <c r="B3037" t="s">
        <v>18</v>
      </c>
      <c r="C3037" t="s">
        <v>19</v>
      </c>
      <c r="D3037">
        <v>67</v>
      </c>
      <c r="E3037">
        <v>52</v>
      </c>
      <c r="F3037">
        <v>15</v>
      </c>
      <c r="G3037">
        <v>3</v>
      </c>
      <c r="H3037" s="1">
        <v>5.115740740740741E-3</v>
      </c>
      <c r="I3037">
        <v>2016</v>
      </c>
      <c r="J3037" t="s">
        <v>20</v>
      </c>
      <c r="K3037" s="2" t="str">
        <f>HYPERLINK("https://www.nba.com/stats/events?CFID=&amp;CFPARAMS=&amp;GameEventID=313&amp;GameID=0021600994&amp;Season=2016-17&amp;flag=1&amp;title=Leonard%2017'%20Jump%20Shot%20(21%20PTS)%20(Lee%204%20AST)", "Leonard 17' Jump Shot (21 PTS) (Lee 4 AST)")</f>
        <v>Leonard 17' Jump Shot (21 PTS) (Lee 4 AST)</v>
      </c>
      <c r="L3037" s="2" t="str">
        <f>HYPERLINK("https://www.nba.com/game/...-vs-...-0021600994/play-by-play?watchFullGame=true", "SAS vs ATL - Q3 07:22.00")</f>
        <v>SAS vs ATL - Q3 07:22.00</v>
      </c>
      <c r="M3037">
        <v>17</v>
      </c>
      <c r="N3037">
        <v>-160</v>
      </c>
      <c r="O3037">
        <v>52</v>
      </c>
      <c r="P3037">
        <v>-160</v>
      </c>
      <c r="Q3037">
        <v>52</v>
      </c>
      <c r="R3037" t="s">
        <v>21</v>
      </c>
      <c r="S3037" t="s">
        <v>21</v>
      </c>
    </row>
    <row r="3038" spans="1:19" hidden="1" x14ac:dyDescent="0.25">
      <c r="A3038">
        <v>21600801</v>
      </c>
      <c r="B3038" t="s">
        <v>18</v>
      </c>
      <c r="C3038" t="s">
        <v>19</v>
      </c>
      <c r="D3038">
        <v>43</v>
      </c>
      <c r="E3038">
        <v>35</v>
      </c>
      <c r="F3038">
        <v>8</v>
      </c>
      <c r="G3038">
        <v>2</v>
      </c>
      <c r="H3038" s="1">
        <v>3.2638888888888891E-3</v>
      </c>
      <c r="I3038">
        <v>2016</v>
      </c>
      <c r="J3038" t="s">
        <v>20</v>
      </c>
      <c r="K3038" s="2" t="str">
        <f>HYPERLINK("https://www.nba.com/stats/events?CFID=&amp;CFPARAMS=&amp;GameEventID=168&amp;GameID=0021600801&amp;Season=2016-17&amp;flag=1&amp;title=Leonard%2017'%20Jump%20Shot%20(9%20PTS)", "Leonard 17' Jump Shot (9 PTS)")</f>
        <v>Leonard 17' Jump Shot (9 PTS)</v>
      </c>
      <c r="L3038" s="2" t="str">
        <f>HYPERLINK("https://www.nba.com/game/...-vs-...-0021600801/play-by-play?watchFullGame=true", "SAS vs DET - Q2 04:42.00")</f>
        <v>SAS vs DET - Q2 04:42.00</v>
      </c>
      <c r="M3038">
        <v>17</v>
      </c>
      <c r="N3038">
        <v>161</v>
      </c>
      <c r="O3038">
        <v>52</v>
      </c>
      <c r="P3038">
        <v>161</v>
      </c>
      <c r="Q3038">
        <v>52</v>
      </c>
      <c r="R3038" t="s">
        <v>21</v>
      </c>
      <c r="S3038" t="s">
        <v>21</v>
      </c>
    </row>
    <row r="3039" spans="1:19" hidden="1" x14ac:dyDescent="0.25">
      <c r="A3039">
        <v>41300146</v>
      </c>
      <c r="B3039" t="s">
        <v>18</v>
      </c>
      <c r="C3039" t="s">
        <v>19</v>
      </c>
      <c r="D3039">
        <v>6</v>
      </c>
      <c r="E3039">
        <v>6</v>
      </c>
      <c r="F3039">
        <v>0</v>
      </c>
      <c r="G3039">
        <v>1</v>
      </c>
      <c r="H3039" s="1">
        <v>6.7939814814814816E-3</v>
      </c>
      <c r="I3039" t="s">
        <v>55</v>
      </c>
      <c r="J3039" t="s">
        <v>20</v>
      </c>
      <c r="K3039" s="2" t="str">
        <f>HYPERLINK("https://www.nba.com/stats/events?CFID=&amp;CFPARAMS=&amp;GameEventID=12&amp;GameID=0041300146&amp;Season=2013-14&amp;flag=1&amp;title=Leonard%2017'%20Jump%20Shot%20(2%20PTS)%20(Parker%202%20AST)", "Leonard 17' Jump Shot (2 PTS) (Parker 2 AST)")</f>
        <v>Leonard 17' Jump Shot (2 PTS) (Parker 2 AST)</v>
      </c>
      <c r="L3039" s="2" t="str">
        <f>HYPERLINK("https://www.nba.com/game/...-vs-...-0041300146/play-by-play?watchFullGame=true", "SAS vs DAL - Q1 09:47.00")</f>
        <v>SAS vs DAL - Q1 09:47.00</v>
      </c>
      <c r="M3039">
        <v>17</v>
      </c>
      <c r="N3039">
        <v>162</v>
      </c>
      <c r="O3039">
        <v>52</v>
      </c>
      <c r="P3039">
        <v>162</v>
      </c>
      <c r="Q3039">
        <v>52</v>
      </c>
      <c r="R3039" t="s">
        <v>21</v>
      </c>
      <c r="S3039" t="s">
        <v>21</v>
      </c>
    </row>
    <row r="3040" spans="1:19" hidden="1" x14ac:dyDescent="0.25">
      <c r="A3040">
        <v>21500028</v>
      </c>
      <c r="B3040" t="s">
        <v>18</v>
      </c>
      <c r="C3040" t="s">
        <v>39</v>
      </c>
      <c r="D3040">
        <v>63</v>
      </c>
      <c r="E3040">
        <v>58</v>
      </c>
      <c r="F3040">
        <v>5</v>
      </c>
      <c r="G3040">
        <v>3</v>
      </c>
      <c r="H3040" s="1">
        <v>3.8888888888888888E-3</v>
      </c>
      <c r="I3040">
        <v>2015</v>
      </c>
      <c r="J3040" t="s">
        <v>20</v>
      </c>
      <c r="K3040" s="2" t="str">
        <f>HYPERLINK("https://www.nba.com/stats/events?CFID=&amp;CFPARAMS=&amp;GameEventID=285&amp;GameID=0021500028&amp;Season=2015-16&amp;flag=1&amp;title=Leonard%2016'%20Step%20Back%20Jump%20Shot%20(12%20PTS)%20(Parker%204%20AST)", "Leonard 16' Step Back Jump Shot (12 PTS) (Parker 4 AST)")</f>
        <v>Leonard 16' Step Back Jump Shot (12 PTS) (Parker 4 AST)</v>
      </c>
      <c r="L3040" s="2" t="str">
        <f>HYPERLINK("https://www.nba.com/game/...-vs-...-0021500028/play-by-play?watchFullGame=true", "SAS vs BKN - Q3 05:36.00")</f>
        <v>SAS vs BKN - Q3 05:36.00</v>
      </c>
      <c r="M3040">
        <v>16</v>
      </c>
      <c r="N3040">
        <v>153</v>
      </c>
      <c r="O3040">
        <v>57</v>
      </c>
      <c r="P3040">
        <v>153</v>
      </c>
      <c r="Q3040">
        <v>57</v>
      </c>
      <c r="R3040" t="s">
        <v>21</v>
      </c>
      <c r="S3040" t="s">
        <v>21</v>
      </c>
    </row>
    <row r="3041" spans="1:19" hidden="1" x14ac:dyDescent="0.25">
      <c r="A3041">
        <v>21600801</v>
      </c>
      <c r="B3041" t="s">
        <v>18</v>
      </c>
      <c r="C3041" t="s">
        <v>19</v>
      </c>
      <c r="D3041">
        <v>20</v>
      </c>
      <c r="E3041">
        <v>13</v>
      </c>
      <c r="F3041">
        <v>7</v>
      </c>
      <c r="G3041">
        <v>1</v>
      </c>
      <c r="H3041" s="1">
        <v>1.8055555555555555E-3</v>
      </c>
      <c r="I3041">
        <v>2016</v>
      </c>
      <c r="J3041" t="s">
        <v>20</v>
      </c>
      <c r="K3041" s="2" t="str">
        <f>HYPERLINK("https://www.nba.com/stats/events?CFID=&amp;CFPARAMS=&amp;GameEventID=81&amp;GameID=0021600801&amp;Season=2016-17&amp;flag=1&amp;title=Leonard%2017'%20Jump%20Shot%20(4%20PTS)", "Leonard 17' Jump Shot (4 PTS)")</f>
        <v>Leonard 17' Jump Shot (4 PTS)</v>
      </c>
      <c r="L3041" s="2" t="str">
        <f>HYPERLINK("https://www.nba.com/game/...-vs-...-0021600801/play-by-play?watchFullGame=true", "SAS vs DET - Q1 02:36.00")</f>
        <v>SAS vs DET - Q1 02:36.00</v>
      </c>
      <c r="M3041">
        <v>17</v>
      </c>
      <c r="N3041">
        <v>155</v>
      </c>
      <c r="O3041">
        <v>57</v>
      </c>
      <c r="P3041">
        <v>155</v>
      </c>
      <c r="Q3041">
        <v>57</v>
      </c>
      <c r="R3041" t="s">
        <v>21</v>
      </c>
      <c r="S3041" t="s">
        <v>21</v>
      </c>
    </row>
    <row r="3042" spans="1:19" hidden="1" x14ac:dyDescent="0.25">
      <c r="A3042">
        <v>21800174</v>
      </c>
      <c r="B3042" t="s">
        <v>18</v>
      </c>
      <c r="C3042" t="s">
        <v>36</v>
      </c>
      <c r="D3042">
        <v>80</v>
      </c>
      <c r="E3042">
        <v>73</v>
      </c>
      <c r="F3042">
        <v>7</v>
      </c>
      <c r="G3042">
        <v>3</v>
      </c>
      <c r="H3042" s="1">
        <v>4.3287037037037035E-3</v>
      </c>
      <c r="I3042">
        <v>2018</v>
      </c>
      <c r="J3042" t="s">
        <v>48</v>
      </c>
      <c r="K3042" s="2" t="str">
        <f>HYPERLINK("https://www.nba.com/stats/events?CFID=&amp;CFPARAMS=&amp;GameEventID=414&amp;GameID=0021800174&amp;Season=2018-19&amp;flag=1&amp;title=Leonard%2016'%20Pullup%20Jump%20Shot%20(10%20PTS)", "Leonard 16' Pullup Jump Shot (10 PTS)")</f>
        <v>Leonard 16' Pullup Jump Shot (10 PTS)</v>
      </c>
      <c r="L3042" s="2" t="str">
        <f>HYPERLINK("https://www.nba.com/game/...-vs-...-0021800174/play-by-play?watchFullGame=true", "TOR vs NYK - Q3 06:14.00")</f>
        <v>TOR vs NYK - Q3 06:14.00</v>
      </c>
      <c r="M3042">
        <v>16</v>
      </c>
      <c r="N3042">
        <v>-151</v>
      </c>
      <c r="O3042">
        <v>59</v>
      </c>
      <c r="P3042">
        <v>-151</v>
      </c>
      <c r="Q3042">
        <v>59</v>
      </c>
      <c r="R3042" t="s">
        <v>21</v>
      </c>
      <c r="S3042" t="s">
        <v>21</v>
      </c>
    </row>
    <row r="3043" spans="1:19" hidden="1" x14ac:dyDescent="0.25">
      <c r="A3043">
        <v>21300082</v>
      </c>
      <c r="B3043" t="s">
        <v>18</v>
      </c>
      <c r="C3043" t="s">
        <v>19</v>
      </c>
      <c r="D3043">
        <v>40</v>
      </c>
      <c r="E3043">
        <v>31</v>
      </c>
      <c r="F3043">
        <v>9</v>
      </c>
      <c r="G3043">
        <v>2</v>
      </c>
      <c r="H3043" s="1">
        <v>1.9791666666666668E-3</v>
      </c>
      <c r="I3043">
        <v>2013</v>
      </c>
      <c r="J3043" t="s">
        <v>20</v>
      </c>
      <c r="K3043" s="2" t="str">
        <f>HYPERLINK("https://www.nba.com/stats/events?CFID=&amp;CFPARAMS=&amp;GameEventID=202&amp;GameID=0021300082&amp;Season=2013-14&amp;flag=1&amp;title=Leonard%2019'%20Jump%20Shot%20(7%20PTS)%20(Ginobili%201%20AST)", "Leonard 19' Jump Shot (7 PTS) (Ginobili 1 AST)")</f>
        <v>Leonard 19' Jump Shot (7 PTS) (Ginobili 1 AST)</v>
      </c>
      <c r="L3043" s="2" t="str">
        <f>HYPERLINK("https://www.nba.com/game/...-vs-...-0021300082/play-by-play?watchFullGame=true", "SAS vs GSW - Q2 02:51.00")</f>
        <v>SAS vs GSW - Q2 02:51.00</v>
      </c>
      <c r="M3043">
        <v>19</v>
      </c>
      <c r="N3043">
        <v>-179</v>
      </c>
      <c r="O3043">
        <v>61</v>
      </c>
      <c r="P3043">
        <v>-179</v>
      </c>
      <c r="Q3043">
        <v>61</v>
      </c>
      <c r="R3043" t="s">
        <v>21</v>
      </c>
      <c r="S3043" t="s">
        <v>21</v>
      </c>
    </row>
    <row r="3044" spans="1:19" hidden="1" x14ac:dyDescent="0.25">
      <c r="A3044">
        <v>21400931</v>
      </c>
      <c r="B3044" t="s">
        <v>18</v>
      </c>
      <c r="C3044" t="s">
        <v>36</v>
      </c>
      <c r="D3044">
        <v>87</v>
      </c>
      <c r="E3044">
        <v>75</v>
      </c>
      <c r="F3044">
        <v>12</v>
      </c>
      <c r="G3044">
        <v>3</v>
      </c>
      <c r="H3044" s="1">
        <v>4.6874999999999998E-4</v>
      </c>
      <c r="I3044">
        <v>2014</v>
      </c>
      <c r="J3044" t="s">
        <v>20</v>
      </c>
      <c r="K3044" s="2" t="str">
        <f>HYPERLINK("https://www.nba.com/stats/events?CFID=&amp;CFPARAMS=&amp;GameEventID=387&amp;GameID=0021400931&amp;Season=2014-15&amp;flag=1&amp;title=Leonard%2016'%20Pullup%20Jump%20Shot%20(14%20PTS)", "Leonard 16' Pullup Jump Shot (14 PTS)")</f>
        <v>Leonard 16' Pullup Jump Shot (14 PTS)</v>
      </c>
      <c r="L3044" s="2" t="str">
        <f>HYPERLINK("https://www.nba.com/game/...-vs-...-0021400931/play-by-play?watchFullGame=true", "SAS vs CHI - Q3 00:40.50")</f>
        <v>SAS vs CHI - Q3 00:40.50</v>
      </c>
      <c r="M3044">
        <v>16</v>
      </c>
      <c r="N3044">
        <v>144</v>
      </c>
      <c r="O3044">
        <v>61</v>
      </c>
      <c r="P3044">
        <v>144</v>
      </c>
      <c r="Q3044">
        <v>61</v>
      </c>
      <c r="R3044" t="s">
        <v>21</v>
      </c>
      <c r="S3044" t="s">
        <v>21</v>
      </c>
    </row>
    <row r="3045" spans="1:19" hidden="1" x14ac:dyDescent="0.25">
      <c r="A3045">
        <v>21800961</v>
      </c>
      <c r="B3045" t="s">
        <v>18</v>
      </c>
      <c r="C3045" t="s">
        <v>36</v>
      </c>
      <c r="D3045">
        <v>11</v>
      </c>
      <c r="E3045">
        <v>8</v>
      </c>
      <c r="F3045">
        <v>3</v>
      </c>
      <c r="G3045">
        <v>1</v>
      </c>
      <c r="H3045" s="1">
        <v>4.5601851851851853E-3</v>
      </c>
      <c r="I3045">
        <v>2018</v>
      </c>
      <c r="J3045" t="s">
        <v>48</v>
      </c>
      <c r="K3045" s="2" t="str">
        <f>HYPERLINK("https://www.nba.com/stats/events?CFID=&amp;CFPARAMS=&amp;GameEventID=61&amp;GameID=0021800961&amp;Season=2018-19&amp;flag=1&amp;title=Leonard%2017'%20Pullup%20Jump%20Shot%20(8%20PTS)", "Leonard 17' Pullup Jump Shot (8 PTS)")</f>
        <v>Leonard 17' Pullup Jump Shot (8 PTS)</v>
      </c>
      <c r="L3045" s="2" t="str">
        <f>HYPERLINK("https://www.nba.com/game/...-vs-...-0021800961/play-by-play?watchFullGame=true", "TOR vs HOU - Q1 06:34.00")</f>
        <v>TOR vs HOU - Q1 06:34.00</v>
      </c>
      <c r="M3045">
        <v>17</v>
      </c>
      <c r="N3045">
        <v>160</v>
      </c>
      <c r="O3045">
        <v>62</v>
      </c>
      <c r="P3045">
        <v>160</v>
      </c>
      <c r="Q3045">
        <v>62</v>
      </c>
      <c r="R3045" t="s">
        <v>21</v>
      </c>
      <c r="S3045" t="s">
        <v>21</v>
      </c>
    </row>
    <row r="3046" spans="1:19" hidden="1" x14ac:dyDescent="0.25">
      <c r="A3046">
        <v>41300222</v>
      </c>
      <c r="B3046" t="s">
        <v>18</v>
      </c>
      <c r="C3046" t="s">
        <v>36</v>
      </c>
      <c r="D3046">
        <v>27</v>
      </c>
      <c r="E3046">
        <v>24</v>
      </c>
      <c r="F3046">
        <v>3</v>
      </c>
      <c r="G3046">
        <v>1</v>
      </c>
      <c r="H3046" s="1">
        <v>5.7870370370370367E-4</v>
      </c>
      <c r="I3046" t="s">
        <v>55</v>
      </c>
      <c r="J3046" t="s">
        <v>20</v>
      </c>
      <c r="K3046" s="2" t="str">
        <f>HYPERLINK("https://www.nba.com/stats/events?CFID=&amp;CFPARAMS=&amp;GameEventID=115&amp;GameID=0041300222&amp;Season=2013-14&amp;flag=1&amp;title=Leonard%2016'%20Pullup%20Jump%20Shot%20(12%20PTS)", "Leonard 16' Pullup Jump Shot (12 PTS)")</f>
        <v>Leonard 16' Pullup Jump Shot (12 PTS)</v>
      </c>
      <c r="L3046" s="2" t="str">
        <f>HYPERLINK("https://www.nba.com/game/...-vs-...-0041300222/play-by-play?watchFullGame=true", "SAS vs POR - Q1 00:50.00")</f>
        <v>SAS vs POR - Q1 00:50.00</v>
      </c>
      <c r="M3046">
        <v>16</v>
      </c>
      <c r="N3046">
        <v>-142</v>
      </c>
      <c r="O3046">
        <v>63</v>
      </c>
      <c r="P3046">
        <v>-142</v>
      </c>
      <c r="Q3046">
        <v>63</v>
      </c>
      <c r="R3046" t="s">
        <v>21</v>
      </c>
      <c r="S3046" t="s">
        <v>21</v>
      </c>
    </row>
    <row r="3047" spans="1:19" hidden="1" x14ac:dyDescent="0.25">
      <c r="A3047">
        <v>21300965</v>
      </c>
      <c r="B3047" t="s">
        <v>18</v>
      </c>
      <c r="C3047" t="s">
        <v>36</v>
      </c>
      <c r="D3047">
        <v>53</v>
      </c>
      <c r="E3047">
        <v>37</v>
      </c>
      <c r="F3047">
        <v>16</v>
      </c>
      <c r="G3047">
        <v>2</v>
      </c>
      <c r="H3047" s="1">
        <v>1.5277777777777779E-3</v>
      </c>
      <c r="I3047">
        <v>2013</v>
      </c>
      <c r="J3047" t="s">
        <v>20</v>
      </c>
      <c r="K3047" s="2" t="str">
        <f>HYPERLINK("https://www.nba.com/stats/events?CFID=&amp;CFPARAMS=&amp;GameEventID=235&amp;GameID=0021300965&amp;Season=2013-14&amp;flag=1&amp;title=Leonard%2017'%20Pullup%20Jump%20Shot%20(8%20PTS)%20(Ginobili%202%20AST)", "Leonard 17' Pullup Jump Shot (8 PTS) (Ginobili 2 AST)")</f>
        <v>Leonard 17' Pullup Jump Shot (8 PTS) (Ginobili 2 AST)</v>
      </c>
      <c r="L3047" s="2" t="str">
        <f>HYPERLINK("https://www.nba.com/game/...-vs-...-0021300965/play-by-play?watchFullGame=true", "SAS vs POR - Q2 02:12.00")</f>
        <v>SAS vs POR - Q2 02:12.00</v>
      </c>
      <c r="M3047">
        <v>17</v>
      </c>
      <c r="N3047">
        <v>159</v>
      </c>
      <c r="O3047">
        <v>64</v>
      </c>
      <c r="P3047">
        <v>159</v>
      </c>
      <c r="Q3047">
        <v>64</v>
      </c>
      <c r="R3047" t="s">
        <v>21</v>
      </c>
      <c r="S3047" t="s">
        <v>21</v>
      </c>
    </row>
    <row r="3048" spans="1:19" hidden="1" x14ac:dyDescent="0.25">
      <c r="A3048">
        <v>21501161</v>
      </c>
      <c r="B3048" t="s">
        <v>18</v>
      </c>
      <c r="C3048" t="s">
        <v>36</v>
      </c>
      <c r="D3048">
        <v>35</v>
      </c>
      <c r="E3048">
        <v>25</v>
      </c>
      <c r="F3048">
        <v>10</v>
      </c>
      <c r="G3048">
        <v>2</v>
      </c>
      <c r="H3048" s="1">
        <v>4.4212962962962964E-3</v>
      </c>
      <c r="I3048">
        <v>2015</v>
      </c>
      <c r="J3048" t="s">
        <v>20</v>
      </c>
      <c r="K3048" s="2" t="str">
        <f>HYPERLINK("https://www.nba.com/stats/events?CFID=&amp;CFPARAMS=&amp;GameEventID=149&amp;GameID=0021501161&amp;Season=2015-16&amp;flag=1&amp;title=Leonard%2020'%20Pullup%20Jump%20Shot%20(8%20PTS)", "Leonard 20' Pullup Jump Shot (8 PTS)")</f>
        <v>Leonard 20' Pullup Jump Shot (8 PTS)</v>
      </c>
      <c r="L3048" s="2" t="str">
        <f>HYPERLINK("https://www.nba.com/game/...-vs-...-0021501161/play-by-play?watchFullGame=true", "SAS vs UTA - Q2 06:22.00")</f>
        <v>SAS vs UTA - Q2 06:22.00</v>
      </c>
      <c r="M3048">
        <v>20</v>
      </c>
      <c r="N3048">
        <v>-186</v>
      </c>
      <c r="O3048">
        <v>65</v>
      </c>
      <c r="P3048">
        <v>-186</v>
      </c>
      <c r="Q3048">
        <v>65</v>
      </c>
      <c r="R3048" t="s">
        <v>21</v>
      </c>
      <c r="S3048" t="s">
        <v>21</v>
      </c>
    </row>
    <row r="3049" spans="1:19" hidden="1" x14ac:dyDescent="0.25">
      <c r="A3049">
        <v>21500379</v>
      </c>
      <c r="B3049" t="s">
        <v>18</v>
      </c>
      <c r="C3049" t="s">
        <v>36</v>
      </c>
      <c r="D3049">
        <v>55</v>
      </c>
      <c r="E3049">
        <v>48</v>
      </c>
      <c r="F3049">
        <v>7</v>
      </c>
      <c r="G3049">
        <v>2</v>
      </c>
      <c r="H3049" s="1">
        <v>7.1759259259259259E-4</v>
      </c>
      <c r="I3049">
        <v>2015</v>
      </c>
      <c r="J3049" t="s">
        <v>20</v>
      </c>
      <c r="K3049" s="2" t="str">
        <f>HYPERLINK("https://www.nba.com/stats/events?CFID=&amp;CFPARAMS=&amp;GameEventID=266&amp;GameID=0021500379&amp;Season=2015-16&amp;flag=1&amp;title=Leonard%2016'%20Pullup%20Jump%20Shot%20(13%20PTS)%20(Parker%204%20AST)", "Leonard 16' Pullup Jump Shot (13 PTS) (Parker 4 AST)")</f>
        <v>Leonard 16' Pullup Jump Shot (13 PTS) (Parker 4 AST)</v>
      </c>
      <c r="L3049" s="2" t="str">
        <f>HYPERLINK("https://www.nba.com/game/...-vs-...-0021500379/play-by-play?watchFullGame=true", "SAS vs WAS - Q2 01:02.00")</f>
        <v>SAS vs WAS - Q2 01:02.00</v>
      </c>
      <c r="M3049">
        <v>16</v>
      </c>
      <c r="N3049">
        <v>-148</v>
      </c>
      <c r="O3049">
        <v>65</v>
      </c>
      <c r="P3049">
        <v>-148</v>
      </c>
      <c r="Q3049">
        <v>65</v>
      </c>
      <c r="R3049" t="s">
        <v>21</v>
      </c>
      <c r="S3049" t="s">
        <v>21</v>
      </c>
    </row>
    <row r="3050" spans="1:19" hidden="1" x14ac:dyDescent="0.25">
      <c r="A3050">
        <v>21300224</v>
      </c>
      <c r="B3050" t="s">
        <v>18</v>
      </c>
      <c r="C3050" t="s">
        <v>19</v>
      </c>
      <c r="D3050">
        <v>38</v>
      </c>
      <c r="E3050">
        <v>34</v>
      </c>
      <c r="F3050">
        <v>4</v>
      </c>
      <c r="G3050">
        <v>2</v>
      </c>
      <c r="H3050" s="1">
        <v>2.9629629629629628E-3</v>
      </c>
      <c r="I3050">
        <v>2013</v>
      </c>
      <c r="J3050" t="s">
        <v>20</v>
      </c>
      <c r="K3050" s="2" t="str">
        <f>HYPERLINK("https://www.nba.com/stats/events?CFID=&amp;CFPARAMS=&amp;GameEventID=183&amp;GameID=0021300224&amp;Season=2013-14&amp;flag=1&amp;title=Leonard%2017'%20Jump%20Shot%20(11%20PTS)%20(Parker%205%20AST)", "Leonard 17' Jump Shot (11 PTS) (Parker 5 AST)")</f>
        <v>Leonard 17' Jump Shot (11 PTS) (Parker 5 AST)</v>
      </c>
      <c r="L3050" s="2" t="str">
        <f>HYPERLINK("https://www.nba.com/game/...-vs-...-0021300224/play-by-play?watchFullGame=true", "SAS vs OKC - Q2 04:16.00")</f>
        <v>SAS vs OKC - Q2 04:16.00</v>
      </c>
      <c r="M3050">
        <v>17</v>
      </c>
      <c r="N3050">
        <v>159</v>
      </c>
      <c r="O3050">
        <v>66</v>
      </c>
      <c r="P3050">
        <v>159</v>
      </c>
      <c r="Q3050">
        <v>66</v>
      </c>
      <c r="R3050" t="s">
        <v>21</v>
      </c>
      <c r="S3050" t="s">
        <v>21</v>
      </c>
    </row>
    <row r="3051" spans="1:19" hidden="1" x14ac:dyDescent="0.25">
      <c r="A3051">
        <v>41300405</v>
      </c>
      <c r="B3051" t="s">
        <v>18</v>
      </c>
      <c r="C3051" t="s">
        <v>19</v>
      </c>
      <c r="D3051">
        <v>26</v>
      </c>
      <c r="E3051">
        <v>29</v>
      </c>
      <c r="F3051">
        <v>3</v>
      </c>
      <c r="G3051">
        <v>2</v>
      </c>
      <c r="H3051" s="1">
        <v>7.743055555555556E-3</v>
      </c>
      <c r="I3051" t="s">
        <v>55</v>
      </c>
      <c r="J3051" t="s">
        <v>20</v>
      </c>
      <c r="K3051" s="2" t="str">
        <f>HYPERLINK("https://www.nba.com/stats/events?CFID=&amp;CFPARAMS=&amp;GameEventID=140&amp;GameID=0041300405&amp;Season=2013-14&amp;flag=1&amp;title=Leonard%2020'%20Jump%20Shot%20(12%20PTS)", "Leonard 20' Jump Shot (12 PTS)")</f>
        <v>Leonard 20' Jump Shot (12 PTS)</v>
      </c>
      <c r="L3051" s="2" t="str">
        <f>HYPERLINK("https://www.nba.com/game/...-vs-...-0041300405/play-by-play?watchFullGame=true", "SAS vs MIA - Q2 11:09.00")</f>
        <v>SAS vs MIA - Q2 11:09.00</v>
      </c>
      <c r="M3051">
        <v>20</v>
      </c>
      <c r="N3051">
        <v>-185</v>
      </c>
      <c r="O3051">
        <v>69</v>
      </c>
      <c r="P3051">
        <v>-185</v>
      </c>
      <c r="Q3051">
        <v>69</v>
      </c>
      <c r="R3051" t="s">
        <v>21</v>
      </c>
      <c r="S3051" t="s">
        <v>21</v>
      </c>
    </row>
    <row r="3052" spans="1:19" hidden="1" x14ac:dyDescent="0.25">
      <c r="A3052">
        <v>21800459</v>
      </c>
      <c r="B3052" t="s">
        <v>18</v>
      </c>
      <c r="C3052" t="s">
        <v>36</v>
      </c>
      <c r="D3052">
        <v>42</v>
      </c>
      <c r="E3052">
        <v>47</v>
      </c>
      <c r="F3052">
        <v>5</v>
      </c>
      <c r="G3052">
        <v>2</v>
      </c>
      <c r="H3052" s="1">
        <v>2.638888888888889E-3</v>
      </c>
      <c r="I3052">
        <v>2018</v>
      </c>
      <c r="J3052" t="s">
        <v>48</v>
      </c>
      <c r="K3052" s="2" t="str">
        <f>HYPERLINK("https://www.nba.com/stats/events?CFID=&amp;CFPARAMS=&amp;GameEventID=276&amp;GameID=0021800459&amp;Season=2018-19&amp;flag=1&amp;title=Leonard%2017'%20Pullup%20Jump%20Shot%20(9%20PTS)", "Leonard 17' Pullup Jump Shot (9 PTS)")</f>
        <v>Leonard 17' Pullup Jump Shot (9 PTS)</v>
      </c>
      <c r="L3052" s="2" t="str">
        <f>HYPERLINK("https://www.nba.com/game/...-vs-...-0021800459/play-by-play?watchFullGame=true", "TOR vs IND - Q2 03:48.00")</f>
        <v>TOR vs IND - Q2 03:48.00</v>
      </c>
      <c r="M3052">
        <v>17</v>
      </c>
      <c r="N3052">
        <v>160</v>
      </c>
      <c r="O3052">
        <v>70</v>
      </c>
      <c r="P3052">
        <v>160</v>
      </c>
      <c r="Q3052">
        <v>70</v>
      </c>
      <c r="R3052" t="s">
        <v>21</v>
      </c>
      <c r="S3052" t="s">
        <v>21</v>
      </c>
    </row>
    <row r="3053" spans="1:19" hidden="1" x14ac:dyDescent="0.25">
      <c r="A3053">
        <v>21600319</v>
      </c>
      <c r="B3053" t="s">
        <v>18</v>
      </c>
      <c r="C3053" t="s">
        <v>19</v>
      </c>
      <c r="D3053">
        <v>36</v>
      </c>
      <c r="E3053">
        <v>42</v>
      </c>
      <c r="F3053">
        <v>6</v>
      </c>
      <c r="G3053">
        <v>2</v>
      </c>
      <c r="H3053" s="1">
        <v>2.0486111111111113E-3</v>
      </c>
      <c r="I3053">
        <v>2016</v>
      </c>
      <c r="J3053" t="s">
        <v>20</v>
      </c>
      <c r="K3053" s="2" t="str">
        <f>HYPERLINK("https://www.nba.com/stats/events?CFID=&amp;CFPARAMS=&amp;GameEventID=190&amp;GameID=0021600319&amp;Season=2016-17&amp;flag=1&amp;title=Leonard%2018'%20Jump%20Shot%20(10%20PTS)", "Leonard 18' Jump Shot (10 PTS)")</f>
        <v>Leonard 18' Jump Shot (10 PTS)</v>
      </c>
      <c r="L3053" s="2" t="str">
        <f>HYPERLINK("https://www.nba.com/game/...-vs-...-0021600319/play-by-play?watchFullGame=true", "SAS vs MIN - Q2 02:57.00")</f>
        <v>SAS vs MIN - Q2 02:57.00</v>
      </c>
      <c r="M3053">
        <v>18</v>
      </c>
      <c r="N3053">
        <v>161</v>
      </c>
      <c r="O3053">
        <v>70</v>
      </c>
      <c r="P3053">
        <v>161</v>
      </c>
      <c r="Q3053">
        <v>70</v>
      </c>
      <c r="R3053" t="s">
        <v>21</v>
      </c>
      <c r="S3053" t="s">
        <v>21</v>
      </c>
    </row>
    <row r="3054" spans="1:19" hidden="1" x14ac:dyDescent="0.25">
      <c r="A3054">
        <v>21500061</v>
      </c>
      <c r="B3054" t="s">
        <v>18</v>
      </c>
      <c r="C3054" t="s">
        <v>19</v>
      </c>
      <c r="D3054">
        <v>47</v>
      </c>
      <c r="E3054">
        <v>39</v>
      </c>
      <c r="F3054">
        <v>8</v>
      </c>
      <c r="G3054">
        <v>2</v>
      </c>
      <c r="H3054" s="1">
        <v>2.4305555555555556E-3</v>
      </c>
      <c r="I3054">
        <v>2015</v>
      </c>
      <c r="J3054" t="s">
        <v>20</v>
      </c>
      <c r="K3054" s="2" t="str">
        <f>HYPERLINK("https://www.nba.com/stats/events?CFID=&amp;CFPARAMS=&amp;GameEventID=199&amp;GameID=0021500061&amp;Season=2015-16&amp;flag=1&amp;title=Leonard%2018'%20Jump%20Shot%20(16%20PTS)%20(West%201%20AST)", "Leonard 18' Jump Shot (16 PTS) (West 1 AST)")</f>
        <v>Leonard 18' Jump Shot (16 PTS) (West 1 AST)</v>
      </c>
      <c r="L3054" s="2" t="str">
        <f>HYPERLINK("https://www.nba.com/game/...-vs-...-0021500061/play-by-play?watchFullGame=true", "SAS vs WAS - Q2 03:30.00")</f>
        <v>SAS vs WAS - Q2 03:30.00</v>
      </c>
      <c r="M3054">
        <v>18</v>
      </c>
      <c r="N3054">
        <v>163</v>
      </c>
      <c r="O3054">
        <v>70</v>
      </c>
      <c r="P3054">
        <v>163</v>
      </c>
      <c r="Q3054">
        <v>70</v>
      </c>
      <c r="R3054" t="s">
        <v>21</v>
      </c>
      <c r="S3054" t="s">
        <v>21</v>
      </c>
    </row>
    <row r="3055" spans="1:19" hidden="1" x14ac:dyDescent="0.25">
      <c r="A3055">
        <v>21801023</v>
      </c>
      <c r="B3055" t="s">
        <v>18</v>
      </c>
      <c r="C3055" t="s">
        <v>39</v>
      </c>
      <c r="D3055">
        <v>69</v>
      </c>
      <c r="E3055">
        <v>62</v>
      </c>
      <c r="F3055">
        <v>7</v>
      </c>
      <c r="G3055">
        <v>3</v>
      </c>
      <c r="H3055" s="1">
        <v>7.0254629629629634E-3</v>
      </c>
      <c r="I3055">
        <v>2018</v>
      </c>
      <c r="J3055" t="s">
        <v>48</v>
      </c>
      <c r="K3055" s="2" t="str">
        <f>HYPERLINK("https://www.nba.com/stats/events?CFID=&amp;CFPARAMS=&amp;GameEventID=407&amp;GameID=0021801023&amp;Season=2018-19&amp;flag=1&amp;title=Leonard%2021'%20Step%20Back%20Jump%20Shot%20(18%20PTS)", "Leonard 21' Step Back Jump Shot (18 PTS)")</f>
        <v>Leonard 21' Step Back Jump Shot (18 PTS)</v>
      </c>
      <c r="L3055" s="2" t="str">
        <f>HYPERLINK("https://www.nba.com/game/...-vs-...-0021801023/play-by-play?watchFullGame=true", "TOR vs LAL - Q3 10:07.00")</f>
        <v>TOR vs LAL - Q3 10:07.00</v>
      </c>
      <c r="M3055">
        <v>21</v>
      </c>
      <c r="N3055">
        <v>-195</v>
      </c>
      <c r="O3055">
        <v>71</v>
      </c>
      <c r="P3055">
        <v>-195</v>
      </c>
      <c r="Q3055">
        <v>71</v>
      </c>
      <c r="R3055" t="s">
        <v>21</v>
      </c>
      <c r="S3055" t="s">
        <v>21</v>
      </c>
    </row>
    <row r="3056" spans="1:19" hidden="1" x14ac:dyDescent="0.25">
      <c r="A3056">
        <v>21301154</v>
      </c>
      <c r="B3056" t="s">
        <v>18</v>
      </c>
      <c r="C3056" t="s">
        <v>19</v>
      </c>
      <c r="D3056">
        <v>95</v>
      </c>
      <c r="E3056">
        <v>80</v>
      </c>
      <c r="F3056">
        <v>15</v>
      </c>
      <c r="G3056">
        <v>4</v>
      </c>
      <c r="H3056" s="1">
        <v>4.6643518518518518E-3</v>
      </c>
      <c r="I3056">
        <v>2013</v>
      </c>
      <c r="J3056" t="s">
        <v>20</v>
      </c>
      <c r="K3056" s="2" t="str">
        <f>HYPERLINK("https://www.nba.com/stats/events?CFID=&amp;CFPARAMS=&amp;GameEventID=414&amp;GameID=0021301154&amp;Season=2013-14&amp;flag=1&amp;title=Leonard%2016'%20Jump%20Shot%20(23%20PTS)%20(Mills%203%20AST)", "Leonard 16' Jump Shot (23 PTS) (Mills 3 AST)")</f>
        <v>Leonard 16' Jump Shot (23 PTS) (Mills 3 AST)</v>
      </c>
      <c r="L3056" s="2" t="str">
        <f>HYPERLINK("https://www.nba.com/game/...-vs-...-0021301154/play-by-play?watchFullGame=true", "SAS vs MEM - Q4 06:43.00")</f>
        <v>SAS vs MEM - Q4 06:43.00</v>
      </c>
      <c r="M3056">
        <v>16</v>
      </c>
      <c r="N3056">
        <v>-147</v>
      </c>
      <c r="O3056">
        <v>71</v>
      </c>
      <c r="P3056">
        <v>-147</v>
      </c>
      <c r="Q3056">
        <v>71</v>
      </c>
      <c r="R3056" t="s">
        <v>21</v>
      </c>
      <c r="S3056" t="s">
        <v>21</v>
      </c>
    </row>
    <row r="3057" spans="1:21" hidden="1" x14ac:dyDescent="0.25">
      <c r="A3057">
        <v>21401001</v>
      </c>
      <c r="B3057" t="s">
        <v>18</v>
      </c>
      <c r="C3057" t="s">
        <v>19</v>
      </c>
      <c r="D3057">
        <v>89</v>
      </c>
      <c r="E3057">
        <v>90</v>
      </c>
      <c r="F3057">
        <v>1</v>
      </c>
      <c r="G3057">
        <v>4</v>
      </c>
      <c r="H3057" s="1">
        <v>2.7199074074074074E-3</v>
      </c>
      <c r="I3057">
        <v>2014</v>
      </c>
      <c r="J3057" t="s">
        <v>20</v>
      </c>
      <c r="K3057" s="2" t="str">
        <f>HYPERLINK("https://www.nba.com/stats/events?CFID=&amp;CFPARAMS=&amp;GameEventID=479&amp;GameID=0021401001&amp;Season=2014-15&amp;flag=1&amp;title=Leonard%2017'%20Jump%20Shot%20(11%20PTS)%20(Duncan%203%20AST)", "Leonard 17' Jump Shot (11 PTS) (Duncan 3 AST)")</f>
        <v>Leonard 17' Jump Shot (11 PTS) (Duncan 3 AST)</v>
      </c>
      <c r="L3057" s="2" t="str">
        <f>HYPERLINK("https://www.nba.com/game/...-vs-...-0021401001/play-by-play?watchFullGame=true", "SAS vs NYK - Q4 03:55.00")</f>
        <v>SAS vs NYK - Q4 03:55.00</v>
      </c>
      <c r="M3057">
        <v>17</v>
      </c>
      <c r="N3057">
        <v>154</v>
      </c>
      <c r="O3057">
        <v>71</v>
      </c>
      <c r="P3057">
        <v>154</v>
      </c>
      <c r="Q3057">
        <v>71</v>
      </c>
      <c r="R3057" t="s">
        <v>21</v>
      </c>
      <c r="S3057" t="s">
        <v>21</v>
      </c>
    </row>
    <row r="3058" spans="1:21" hidden="1" x14ac:dyDescent="0.25">
      <c r="A3058">
        <v>21601056</v>
      </c>
      <c r="B3058" t="s">
        <v>18</v>
      </c>
      <c r="C3058" t="s">
        <v>19</v>
      </c>
      <c r="D3058">
        <v>70</v>
      </c>
      <c r="E3058">
        <v>62</v>
      </c>
      <c r="F3058">
        <v>8</v>
      </c>
      <c r="G3058">
        <v>3</v>
      </c>
      <c r="H3058" s="1">
        <v>1.0648148148148149E-3</v>
      </c>
      <c r="I3058">
        <v>2016</v>
      </c>
      <c r="J3058" t="s">
        <v>20</v>
      </c>
      <c r="K3058" s="2" t="str">
        <f>HYPERLINK("https://www.nba.com/stats/events?CFID=&amp;CFPARAMS=&amp;GameEventID=349&amp;GameID=0021601056&amp;Season=2016-17&amp;flag=1&amp;title=Leonard%2016'%20Jump%20Shot%20(14%20PTS)%20(Mills%203%20AST)", "Leonard 16' Jump Shot (14 PTS) (Mills 3 AST)")</f>
        <v>Leonard 16' Jump Shot (14 PTS) (Mills 3 AST)</v>
      </c>
      <c r="L3058" s="2" t="str">
        <f>HYPERLINK("https://www.nba.com/game/...-vs-...-0021601056/play-by-play?watchFullGame=true", "SAS vs MIN - Q3 01:32.00")</f>
        <v>SAS vs MIN - Q3 01:32.00</v>
      </c>
      <c r="M3058">
        <v>16</v>
      </c>
      <c r="N3058">
        <v>140</v>
      </c>
      <c r="O3058">
        <v>72</v>
      </c>
      <c r="P3058">
        <v>140</v>
      </c>
      <c r="Q3058">
        <v>72</v>
      </c>
      <c r="R3058" t="s">
        <v>21</v>
      </c>
      <c r="S3058" t="s">
        <v>21</v>
      </c>
    </row>
    <row r="3059" spans="1:21" hidden="1" x14ac:dyDescent="0.25">
      <c r="A3059">
        <v>21501140</v>
      </c>
      <c r="B3059" t="s">
        <v>18</v>
      </c>
      <c r="C3059" t="s">
        <v>19</v>
      </c>
      <c r="D3059">
        <v>36</v>
      </c>
      <c r="E3059">
        <v>26</v>
      </c>
      <c r="F3059">
        <v>10</v>
      </c>
      <c r="G3059">
        <v>2</v>
      </c>
      <c r="H3059" s="1">
        <v>5.9722222222222225E-3</v>
      </c>
      <c r="I3059">
        <v>2015</v>
      </c>
      <c r="J3059" t="s">
        <v>20</v>
      </c>
      <c r="K3059" s="2" t="str">
        <f>HYPERLINK("https://www.nba.com/stats/events?CFID=&amp;CFPARAMS=&amp;GameEventID=137&amp;GameID=0021501140&amp;Season=2015-16&amp;flag=1&amp;title=Leonard%2017'%20Jump%20Shot%20(7%20PTS)%20(West%202%20AST)", "Leonard 17' Jump Shot (7 PTS) (West 2 AST)")</f>
        <v>Leonard 17' Jump Shot (7 PTS) (West 2 AST)</v>
      </c>
      <c r="L3059" s="2" t="str">
        <f>HYPERLINK("https://www.nba.com/game/...-vs-...-0021501140/play-by-play?watchFullGame=true", "SAS vs TOR - Q2 08:36.00")</f>
        <v>SAS vs TOR - Q2 08:36.00</v>
      </c>
      <c r="M3059">
        <v>17</v>
      </c>
      <c r="N3059">
        <v>150</v>
      </c>
      <c r="O3059">
        <v>72</v>
      </c>
      <c r="P3059">
        <v>150</v>
      </c>
      <c r="Q3059">
        <v>72</v>
      </c>
      <c r="R3059" t="s">
        <v>21</v>
      </c>
      <c r="S3059" t="s">
        <v>21</v>
      </c>
    </row>
    <row r="3060" spans="1:21" hidden="1" x14ac:dyDescent="0.25">
      <c r="A3060">
        <v>21801098</v>
      </c>
      <c r="B3060" t="s">
        <v>18</v>
      </c>
      <c r="C3060" t="s">
        <v>39</v>
      </c>
      <c r="D3060">
        <v>61</v>
      </c>
      <c r="E3060">
        <v>61</v>
      </c>
      <c r="F3060">
        <v>0</v>
      </c>
      <c r="G3060">
        <v>3</v>
      </c>
      <c r="H3060" s="1">
        <v>7.1296296296296299E-3</v>
      </c>
      <c r="I3060">
        <v>2018</v>
      </c>
      <c r="J3060" t="s">
        <v>48</v>
      </c>
      <c r="K3060" s="2" t="str">
        <f>HYPERLINK("https://www.nba.com/stats/events?CFID=&amp;CFPARAMS=&amp;GameEventID=354&amp;GameID=0021801098&amp;Season=2018-19&amp;flag=1&amp;title=Leonard%2017'%20Step%20Back%20Jump%20Shot%20(14%20PTS)", "Leonard 17' Step Back Jump Shot (14 PTS)")</f>
        <v>Leonard 17' Step Back Jump Shot (14 PTS)</v>
      </c>
      <c r="L3060" s="2" t="str">
        <f>HYPERLINK("https://www.nba.com/game/...-vs-...-0021801098/play-by-play?watchFullGame=true", "TOR vs CHA - Q3 10:16.00")</f>
        <v>TOR vs CHA - Q3 10:16.00</v>
      </c>
      <c r="M3060">
        <v>17</v>
      </c>
      <c r="N3060">
        <v>154</v>
      </c>
      <c r="O3060">
        <v>72</v>
      </c>
      <c r="P3060">
        <v>154</v>
      </c>
      <c r="Q3060">
        <v>72</v>
      </c>
      <c r="R3060" t="s">
        <v>21</v>
      </c>
      <c r="S3060" t="s">
        <v>21</v>
      </c>
    </row>
    <row r="3061" spans="1:21" hidden="1" x14ac:dyDescent="0.25">
      <c r="A3061">
        <v>21600213</v>
      </c>
      <c r="B3061" t="s">
        <v>18</v>
      </c>
      <c r="C3061" t="s">
        <v>19</v>
      </c>
      <c r="D3061">
        <v>97</v>
      </c>
      <c r="E3061">
        <v>92</v>
      </c>
      <c r="F3061">
        <v>5</v>
      </c>
      <c r="G3061">
        <v>4</v>
      </c>
      <c r="H3061" s="1">
        <v>4.2476851851851851E-3</v>
      </c>
      <c r="I3061">
        <v>2016</v>
      </c>
      <c r="J3061" t="s">
        <v>20</v>
      </c>
      <c r="K3061" s="2" t="str">
        <f>HYPERLINK("https://www.nba.com/stats/events?CFID=&amp;CFPARAMS=&amp;GameEventID=427&amp;GameID=0021600213&amp;Season=2016-17&amp;flag=1&amp;title=Leonard%2018'%20Jump%20Shot%20(28%20PTS)%20(Gasol%204%20AST)", "Leonard 18' Jump Shot (28 PTS) (Gasol 4 AST)")</f>
        <v>Leonard 18' Jump Shot (28 PTS) (Gasol 4 AST)</v>
      </c>
      <c r="L3061" s="2" t="str">
        <f>HYPERLINK("https://www.nba.com/game/...-vs-...-0021600213/play-by-play?watchFullGame=true", "SAS vs CHA - Q4 06:07.00")</f>
        <v>SAS vs CHA - Q4 06:07.00</v>
      </c>
      <c r="M3061">
        <v>18</v>
      </c>
      <c r="N3061">
        <v>163</v>
      </c>
      <c r="O3061">
        <v>75</v>
      </c>
      <c r="P3061">
        <v>163</v>
      </c>
      <c r="Q3061">
        <v>75</v>
      </c>
      <c r="R3061" t="s">
        <v>21</v>
      </c>
      <c r="S3061" t="s">
        <v>21</v>
      </c>
    </row>
    <row r="3062" spans="1:21" hidden="1" x14ac:dyDescent="0.25">
      <c r="A3062">
        <v>21301054</v>
      </c>
      <c r="B3062" t="s">
        <v>18</v>
      </c>
      <c r="C3062" t="s">
        <v>19</v>
      </c>
      <c r="D3062">
        <v>2</v>
      </c>
      <c r="E3062">
        <v>2</v>
      </c>
      <c r="F3062">
        <v>0</v>
      </c>
      <c r="G3062">
        <v>1</v>
      </c>
      <c r="H3062" s="1">
        <v>7.8472222222222224E-3</v>
      </c>
      <c r="I3062">
        <v>2013</v>
      </c>
      <c r="J3062" t="s">
        <v>20</v>
      </c>
      <c r="K3062" s="2" t="str">
        <f>HYPERLINK("https://www.nba.com/stats/events?CFID=&amp;CFPARAMS=&amp;GameEventID=3&amp;GameID=0021301054&amp;Season=2013-14&amp;flag=1&amp;title=Leonard%2018'%20Jump%20Shot%20(2%20PTS)%20(Diaw%201%20AST)", "Leonard 18' Jump Shot (2 PTS) (Diaw 1 AST)")</f>
        <v>Leonard 18' Jump Shot (2 PTS) (Diaw 1 AST)</v>
      </c>
      <c r="L3062" s="2" t="str">
        <f>HYPERLINK("https://www.nba.com/game/...-vs-...-0021301054/play-by-play?watchFullGame=true", "SAS vs PHI - Q1 11:18.00")</f>
        <v>SAS vs PHI - Q1 11:18.00</v>
      </c>
      <c r="M3062">
        <v>18</v>
      </c>
      <c r="N3062">
        <v>165</v>
      </c>
      <c r="O3062">
        <v>75</v>
      </c>
      <c r="P3062">
        <v>165</v>
      </c>
      <c r="Q3062">
        <v>75</v>
      </c>
      <c r="R3062" t="s">
        <v>21</v>
      </c>
      <c r="S3062" t="s">
        <v>21</v>
      </c>
    </row>
    <row r="3063" spans="1:21" hidden="1" x14ac:dyDescent="0.25">
      <c r="A3063">
        <v>21600412</v>
      </c>
      <c r="B3063" t="s">
        <v>18</v>
      </c>
      <c r="C3063" t="s">
        <v>19</v>
      </c>
      <c r="D3063">
        <v>9</v>
      </c>
      <c r="E3063">
        <v>8</v>
      </c>
      <c r="F3063">
        <v>1</v>
      </c>
      <c r="G3063">
        <v>1</v>
      </c>
      <c r="H3063" s="1">
        <v>6.6782407407407407E-3</v>
      </c>
      <c r="I3063">
        <v>2016</v>
      </c>
      <c r="J3063" t="s">
        <v>20</v>
      </c>
      <c r="K3063" s="2" t="str">
        <f>HYPERLINK("https://www.nba.com/stats/events?CFID=&amp;CFPARAMS=&amp;GameEventID=16&amp;GameID=0021600412&amp;Season=2016-17&amp;flag=1&amp;title=Leonard%2018'%20Jump%20Shot%20(5%20PTS)%20(Aldridge%201%20AST)", "Leonard 18' Jump Shot (5 PTS) (Aldridge 1 AST)")</f>
        <v>Leonard 18' Jump Shot (5 PTS) (Aldridge 1 AST)</v>
      </c>
      <c r="L3063" s="2" t="str">
        <f>HYPERLINK("https://www.nba.com/game/...-vs-...-0021600412/play-by-play?watchFullGame=true", "SAS vs NOP - Q1 09:37.00")</f>
        <v>SAS vs NOP - Q1 09:37.00</v>
      </c>
      <c r="M3063">
        <v>18</v>
      </c>
      <c r="N3063">
        <v>168</v>
      </c>
      <c r="O3063">
        <v>75</v>
      </c>
      <c r="P3063">
        <v>168</v>
      </c>
      <c r="Q3063">
        <v>75</v>
      </c>
      <c r="R3063" t="s">
        <v>21</v>
      </c>
      <c r="S3063" t="s">
        <v>21</v>
      </c>
    </row>
    <row r="3064" spans="1:21" hidden="1" x14ac:dyDescent="0.25">
      <c r="A3064" s="3">
        <v>41800303</v>
      </c>
      <c r="B3064" s="3" t="s">
        <v>18</v>
      </c>
      <c r="C3064" s="3" t="s">
        <v>19</v>
      </c>
      <c r="D3064" s="3">
        <v>93</v>
      </c>
      <c r="E3064" s="3">
        <v>91</v>
      </c>
      <c r="F3064" s="3">
        <v>2</v>
      </c>
      <c r="G3064" s="3">
        <v>4</v>
      </c>
      <c r="H3064" s="4">
        <v>1.5856481481481481E-3</v>
      </c>
      <c r="I3064" s="3" t="s">
        <v>60</v>
      </c>
      <c r="J3064" s="3" t="s">
        <v>48</v>
      </c>
      <c r="K3064" s="5" t="str">
        <f>HYPERLINK("https://www.nba.com/stats/events?CFID=&amp;CFPARAMS=&amp;GameEventID=669&amp;GameID=0041800303&amp;Season=2018-19&amp;flag=1&amp;title=Leonard%2016'%20Jump%20Shot%20(24%20PTS)", "Leonard 16' Jump Shot (24 PTS)")</f>
        <v>Leonard 16' Jump Shot (24 PTS)</v>
      </c>
      <c r="L3064" s="5" t="str">
        <f>HYPERLINK("https://www.nba.com/game/...-vs-...-0041800303/play-by-play?watchFullGame=true", "TOR vs MIL - Q4 02:17.00")</f>
        <v>TOR vs MIL - Q4 02:17.00</v>
      </c>
      <c r="M3064" s="3">
        <v>16</v>
      </c>
      <c r="N3064" s="3">
        <v>-142</v>
      </c>
      <c r="O3064" s="3">
        <v>76</v>
      </c>
      <c r="P3064" s="3">
        <v>-142</v>
      </c>
      <c r="Q3064" s="3">
        <v>76</v>
      </c>
      <c r="R3064" s="3" t="s">
        <v>21</v>
      </c>
      <c r="S3064" s="3" t="s">
        <v>21</v>
      </c>
      <c r="T3064" s="3"/>
      <c r="U3064" s="3"/>
    </row>
    <row r="3065" spans="1:21" hidden="1" x14ac:dyDescent="0.25">
      <c r="A3065">
        <v>21400714</v>
      </c>
      <c r="B3065" t="s">
        <v>18</v>
      </c>
      <c r="C3065" t="s">
        <v>19</v>
      </c>
      <c r="D3065">
        <v>6</v>
      </c>
      <c r="E3065">
        <v>11</v>
      </c>
      <c r="F3065">
        <v>5</v>
      </c>
      <c r="G3065">
        <v>1</v>
      </c>
      <c r="H3065" s="1">
        <v>5.5208333333333333E-3</v>
      </c>
      <c r="I3065">
        <v>2014</v>
      </c>
      <c r="J3065" t="s">
        <v>20</v>
      </c>
      <c r="K3065" s="2" t="str">
        <f>HYPERLINK("https://www.nba.com/stats/events?CFID=&amp;CFPARAMS=&amp;GameEventID=37&amp;GameID=0021400714&amp;Season=2014-15&amp;flag=1&amp;title=Leonard%2018'%20Jump%20Shot%20(2%20PTS)", "Leonard 18' Jump Shot (2 PTS)")</f>
        <v>Leonard 18' Jump Shot (2 PTS)</v>
      </c>
      <c r="L3065" s="2" t="str">
        <f>HYPERLINK("https://www.nba.com/game/...-vs-...-0021400714/play-by-play?watchFullGame=true", "SAS vs LAC - Q1 07:57.00")</f>
        <v>SAS vs LAC - Q1 07:57.00</v>
      </c>
      <c r="M3065">
        <v>18</v>
      </c>
      <c r="N3065">
        <v>165</v>
      </c>
      <c r="O3065">
        <v>77</v>
      </c>
      <c r="P3065">
        <v>165</v>
      </c>
      <c r="Q3065">
        <v>77</v>
      </c>
      <c r="R3065" t="s">
        <v>21</v>
      </c>
      <c r="S3065" t="s">
        <v>21</v>
      </c>
    </row>
    <row r="3066" spans="1:21" hidden="1" x14ac:dyDescent="0.25">
      <c r="A3066">
        <v>21800580</v>
      </c>
      <c r="B3066" t="s">
        <v>18</v>
      </c>
      <c r="C3066" t="s">
        <v>19</v>
      </c>
      <c r="D3066">
        <v>114</v>
      </c>
      <c r="E3066">
        <v>105</v>
      </c>
      <c r="F3066">
        <v>9</v>
      </c>
      <c r="G3066">
        <v>4</v>
      </c>
      <c r="H3066" s="1">
        <v>1.3657407407407407E-3</v>
      </c>
      <c r="I3066">
        <v>2018</v>
      </c>
      <c r="J3066" t="s">
        <v>48</v>
      </c>
      <c r="K3066" s="2" t="str">
        <f>HYPERLINK("https://www.nba.com/stats/events?CFID=&amp;CFPARAMS=&amp;GameEventID=598&amp;GameID=0021800580&amp;Season=2018-19&amp;flag=1&amp;title=Leonard%2017'%20Jump%20Shot%20(29%20PTS)", "Leonard 17' Jump Shot (29 PTS)")</f>
        <v>Leonard 17' Jump Shot (29 PTS)</v>
      </c>
      <c r="L3066" s="2" t="str">
        <f>HYPERLINK("https://www.nba.com/game/...-vs-...-0021800580/play-by-play?watchFullGame=true", "TOR vs MIL - Q4 01:58.00")</f>
        <v>TOR vs MIL - Q4 01:58.00</v>
      </c>
      <c r="M3066">
        <v>17</v>
      </c>
      <c r="N3066">
        <v>148</v>
      </c>
      <c r="O3066">
        <v>79</v>
      </c>
      <c r="P3066">
        <v>148</v>
      </c>
      <c r="Q3066">
        <v>79</v>
      </c>
      <c r="R3066" t="s">
        <v>21</v>
      </c>
      <c r="S3066" t="s">
        <v>21</v>
      </c>
    </row>
    <row r="3067" spans="1:21" hidden="1" x14ac:dyDescent="0.25">
      <c r="A3067">
        <v>21300494</v>
      </c>
      <c r="B3067" t="s">
        <v>18</v>
      </c>
      <c r="C3067" t="s">
        <v>19</v>
      </c>
      <c r="D3067">
        <v>90</v>
      </c>
      <c r="E3067">
        <v>74</v>
      </c>
      <c r="F3067">
        <v>16</v>
      </c>
      <c r="G3067">
        <v>4</v>
      </c>
      <c r="H3067" s="1">
        <v>7.5115740740740742E-3</v>
      </c>
      <c r="I3067">
        <v>2013</v>
      </c>
      <c r="J3067" t="s">
        <v>20</v>
      </c>
      <c r="K3067" s="2" t="str">
        <f>HYPERLINK("https://www.nba.com/stats/events?CFID=&amp;CFPARAMS=&amp;GameEventID=395&amp;GameID=0021300494&amp;Season=2013-14&amp;flag=1&amp;title=Leonard%2018'%20Jump%20Shot%20(10%20PTS)", "Leonard 18' Jump Shot (10 PTS)")</f>
        <v>Leonard 18' Jump Shot (10 PTS)</v>
      </c>
      <c r="L3067" s="2" t="str">
        <f>HYPERLINK("https://www.nba.com/game/...-vs-...-0021300494/play-by-play?watchFullGame=true", "SAS vs LAC - Q4 10:49.00")</f>
        <v>SAS vs LAC - Q4 10:49.00</v>
      </c>
      <c r="M3067">
        <v>18</v>
      </c>
      <c r="N3067">
        <v>-158</v>
      </c>
      <c r="O3067">
        <v>80</v>
      </c>
      <c r="P3067">
        <v>-158</v>
      </c>
      <c r="Q3067">
        <v>80</v>
      </c>
      <c r="R3067" t="s">
        <v>21</v>
      </c>
      <c r="S3067" t="s">
        <v>21</v>
      </c>
    </row>
    <row r="3068" spans="1:21" hidden="1" x14ac:dyDescent="0.25">
      <c r="A3068">
        <v>21600942</v>
      </c>
      <c r="B3068" t="s">
        <v>18</v>
      </c>
      <c r="C3068" t="s">
        <v>39</v>
      </c>
      <c r="D3068">
        <v>49</v>
      </c>
      <c r="E3068">
        <v>59</v>
      </c>
      <c r="F3068">
        <v>10</v>
      </c>
      <c r="G3068">
        <v>3</v>
      </c>
      <c r="H3068" s="1">
        <v>7.1759259259259259E-3</v>
      </c>
      <c r="I3068">
        <v>2016</v>
      </c>
      <c r="J3068" t="s">
        <v>20</v>
      </c>
      <c r="K3068" s="2" t="str">
        <f>HYPERLINK("https://www.nba.com/stats/events?CFID=&amp;CFPARAMS=&amp;GameEventID=233&amp;GameID=0021600942&amp;Season=2016-17&amp;flag=1&amp;title=Leonard%2017'%20Step%20Back%20Jump%20Shot%20(16%20PTS)%20(Aldridge%203%20AST)", "Leonard 17' Step Back Jump Shot (16 PTS) (Aldridge 3 AST)")</f>
        <v>Leonard 17' Step Back Jump Shot (16 PTS) (Aldridge 3 AST)</v>
      </c>
      <c r="L3068" s="2" t="str">
        <f>HYPERLINK("https://www.nba.com/game/...-vs-...-0021600942/play-by-play?watchFullGame=true", "SAS vs HOU - Q3 10:20.00")</f>
        <v>SAS vs HOU - Q3 10:20.00</v>
      </c>
      <c r="M3068">
        <v>17</v>
      </c>
      <c r="N3068">
        <v>-153</v>
      </c>
      <c r="O3068">
        <v>80</v>
      </c>
      <c r="P3068">
        <v>-153</v>
      </c>
      <c r="Q3068">
        <v>80</v>
      </c>
      <c r="R3068" t="s">
        <v>21</v>
      </c>
      <c r="S3068" t="s">
        <v>21</v>
      </c>
    </row>
    <row r="3069" spans="1:21" hidden="1" x14ac:dyDescent="0.25">
      <c r="A3069">
        <v>21401134</v>
      </c>
      <c r="B3069" t="s">
        <v>18</v>
      </c>
      <c r="C3069" t="s">
        <v>19</v>
      </c>
      <c r="D3069">
        <v>21</v>
      </c>
      <c r="E3069">
        <v>9</v>
      </c>
      <c r="F3069">
        <v>12</v>
      </c>
      <c r="G3069">
        <v>1</v>
      </c>
      <c r="H3069" s="1">
        <v>5.162037037037037E-3</v>
      </c>
      <c r="I3069">
        <v>2014</v>
      </c>
      <c r="J3069" t="s">
        <v>20</v>
      </c>
      <c r="K3069" s="2" t="str">
        <f>HYPERLINK("https://www.nba.com/stats/events?CFID=&amp;CFPARAMS=&amp;GameEventID=35&amp;GameID=0021401134&amp;Season=2014-15&amp;flag=1&amp;title=Leonard%2019'%20Jump%20Shot%20(10%20PTS)", "Leonard 19' Jump Shot (10 PTS)")</f>
        <v>Leonard 19' Jump Shot (10 PTS)</v>
      </c>
      <c r="L3069" s="2" t="str">
        <f>HYPERLINK("https://www.nba.com/game/...-vs-...-0021401134/play-by-play?watchFullGame=true", "SAS vs DEN - Q1 07:26.00")</f>
        <v>SAS vs DEN - Q1 07:26.00</v>
      </c>
      <c r="M3069">
        <v>19</v>
      </c>
      <c r="N3069">
        <v>176</v>
      </c>
      <c r="O3069">
        <v>80</v>
      </c>
      <c r="P3069">
        <v>176</v>
      </c>
      <c r="Q3069">
        <v>80</v>
      </c>
      <c r="R3069" t="s">
        <v>21</v>
      </c>
      <c r="S3069" t="s">
        <v>21</v>
      </c>
    </row>
    <row r="3070" spans="1:21" hidden="1" x14ac:dyDescent="0.25">
      <c r="A3070">
        <v>21300494</v>
      </c>
      <c r="B3070" t="s">
        <v>18</v>
      </c>
      <c r="C3070" t="s">
        <v>19</v>
      </c>
      <c r="D3070">
        <v>74</v>
      </c>
      <c r="E3070">
        <v>37</v>
      </c>
      <c r="F3070">
        <v>37</v>
      </c>
      <c r="G3070">
        <v>3</v>
      </c>
      <c r="H3070" s="1">
        <v>7.0486111111111114E-3</v>
      </c>
      <c r="I3070">
        <v>2013</v>
      </c>
      <c r="J3070" t="s">
        <v>20</v>
      </c>
      <c r="K3070" s="2" t="str">
        <f>HYPERLINK("https://www.nba.com/stats/events?CFID=&amp;CFPARAMS=&amp;GameEventID=272&amp;GameID=0021300494&amp;Season=2013-14&amp;flag=1&amp;title=Leonard%2016'%20Jump%20Shot%20(6%20PTS)%20(Belinelli%206%20AST)", "Leonard 16' Jump Shot (6 PTS) (Belinelli 6 AST)")</f>
        <v>Leonard 16' Jump Shot (6 PTS) (Belinelli 6 AST)</v>
      </c>
      <c r="L3070" s="2" t="str">
        <f>HYPERLINK("https://www.nba.com/game/...-vs-...-0021300494/play-by-play?watchFullGame=true", "SAS vs LAC - Q3 10:09.00")</f>
        <v>SAS vs LAC - Q3 10:09.00</v>
      </c>
      <c r="M3070">
        <v>16</v>
      </c>
      <c r="N3070">
        <v>-141</v>
      </c>
      <c r="O3070">
        <v>82</v>
      </c>
      <c r="P3070">
        <v>-141</v>
      </c>
      <c r="Q3070">
        <v>82</v>
      </c>
      <c r="R3070" t="s">
        <v>21</v>
      </c>
      <c r="S3070" t="s">
        <v>21</v>
      </c>
    </row>
    <row r="3071" spans="1:21" hidden="1" x14ac:dyDescent="0.25">
      <c r="A3071">
        <v>41400164</v>
      </c>
      <c r="B3071" t="s">
        <v>18</v>
      </c>
      <c r="C3071" t="s">
        <v>19</v>
      </c>
      <c r="D3071">
        <v>10</v>
      </c>
      <c r="E3071">
        <v>11</v>
      </c>
      <c r="F3071">
        <v>1</v>
      </c>
      <c r="G3071">
        <v>1</v>
      </c>
      <c r="H3071" s="1">
        <v>4.7800925925925927E-3</v>
      </c>
      <c r="I3071" t="s">
        <v>56</v>
      </c>
      <c r="J3071" t="s">
        <v>20</v>
      </c>
      <c r="K3071" s="2" t="str">
        <f>HYPERLINK("https://www.nba.com/stats/events?CFID=&amp;CFPARAMS=&amp;GameEventID=42&amp;GameID=0041400164&amp;Season=2014-15&amp;flag=1&amp;title=Leonard%2019'%20Jump%20Shot%20(8%20PTS)", "Leonard 19' Jump Shot (8 PTS)")</f>
        <v>Leonard 19' Jump Shot (8 PTS)</v>
      </c>
      <c r="L3071" s="2" t="str">
        <f>HYPERLINK("https://www.nba.com/game/...-vs-...-0041400164/play-by-play?watchFullGame=true", "SAS vs LAC - Q1 06:53.00")</f>
        <v>SAS vs LAC - Q1 06:53.00</v>
      </c>
      <c r="M3071">
        <v>19</v>
      </c>
      <c r="N3071">
        <v>174</v>
      </c>
      <c r="O3071">
        <v>82</v>
      </c>
      <c r="P3071">
        <v>174</v>
      </c>
      <c r="Q3071">
        <v>82</v>
      </c>
      <c r="R3071" t="s">
        <v>21</v>
      </c>
      <c r="S3071" t="s">
        <v>21</v>
      </c>
    </row>
    <row r="3072" spans="1:21" hidden="1" x14ac:dyDescent="0.25">
      <c r="A3072">
        <v>41300141</v>
      </c>
      <c r="B3072" t="s">
        <v>18</v>
      </c>
      <c r="C3072" t="s">
        <v>19</v>
      </c>
      <c r="D3072">
        <v>52</v>
      </c>
      <c r="E3072">
        <v>51</v>
      </c>
      <c r="F3072">
        <v>1</v>
      </c>
      <c r="G3072">
        <v>3</v>
      </c>
      <c r="H3072" s="1">
        <v>5.2893518518518515E-3</v>
      </c>
      <c r="I3072" t="s">
        <v>55</v>
      </c>
      <c r="J3072" t="s">
        <v>20</v>
      </c>
      <c r="K3072" s="2" t="str">
        <f>HYPERLINK("https://www.nba.com/stats/events?CFID=&amp;CFPARAMS=&amp;GameEventID=261&amp;GameID=0041300141&amp;Season=2013-14&amp;flag=1&amp;title=Leonard%2019'%20Jump%20Shot%20(9%20PTS)%20(Parker%203%20AST)", "Leonard 19' Jump Shot (9 PTS) (Parker 3 AST)")</f>
        <v>Leonard 19' Jump Shot (9 PTS) (Parker 3 AST)</v>
      </c>
      <c r="L3072" s="2" t="str">
        <f>HYPERLINK("https://www.nba.com/game/...-vs-...-0041300141/play-by-play?watchFullGame=true", "SAS vs DAL - Q3 07:37.00")</f>
        <v>SAS vs DAL - Q3 07:37.00</v>
      </c>
      <c r="M3072">
        <v>19</v>
      </c>
      <c r="N3072">
        <v>-166</v>
      </c>
      <c r="O3072">
        <v>83</v>
      </c>
      <c r="P3072">
        <v>-166</v>
      </c>
      <c r="Q3072">
        <v>83</v>
      </c>
      <c r="R3072" t="s">
        <v>21</v>
      </c>
      <c r="S3072" t="s">
        <v>21</v>
      </c>
    </row>
    <row r="3073" spans="1:21" hidden="1" x14ac:dyDescent="0.25">
      <c r="A3073" s="3">
        <v>21800876</v>
      </c>
      <c r="B3073" s="3" t="s">
        <v>18</v>
      </c>
      <c r="C3073" s="3" t="s">
        <v>38</v>
      </c>
      <c r="D3073" s="3">
        <v>113</v>
      </c>
      <c r="E3073" s="3">
        <v>110</v>
      </c>
      <c r="F3073" s="3">
        <v>3</v>
      </c>
      <c r="G3073" s="3">
        <v>4</v>
      </c>
      <c r="H3073" s="4">
        <v>1.9097222222222222E-3</v>
      </c>
      <c r="I3073" s="3">
        <v>2018</v>
      </c>
      <c r="J3073" s="3" t="s">
        <v>48</v>
      </c>
      <c r="K3073" s="5" t="str">
        <f>HYPERLINK("https://www.nba.com/stats/events?CFID=&amp;CFPARAMS=&amp;GameEventID=623&amp;GameID=0021800876&amp;Season=2018-19&amp;flag=1&amp;title=Leonard%2016'%20Turnaround%20Fadeaway%20(21%20PTS)", "Leonard 16' Turnaround Fadeaway (21 PTS)")</f>
        <v>Leonard 16' Turnaround Fadeaway (21 PTS)</v>
      </c>
      <c r="L3073" s="5" t="str">
        <f>HYPERLINK("https://www.nba.com/game/...-vs-...-0021800876/play-by-play?watchFullGame=true", "TOR vs SAS - Q4 02:45.00")</f>
        <v>TOR vs SAS - Q4 02:45.00</v>
      </c>
      <c r="M3073" s="3">
        <v>16</v>
      </c>
      <c r="N3073" s="3">
        <v>-137</v>
      </c>
      <c r="O3073" s="3">
        <v>83</v>
      </c>
      <c r="P3073" s="3">
        <v>-137</v>
      </c>
      <c r="Q3073" s="3">
        <v>83</v>
      </c>
      <c r="R3073" s="3" t="s">
        <v>21</v>
      </c>
      <c r="S3073" s="3" t="s">
        <v>21</v>
      </c>
      <c r="T3073" s="3"/>
      <c r="U3073" s="3"/>
    </row>
    <row r="3074" spans="1:21" hidden="1" x14ac:dyDescent="0.25">
      <c r="A3074">
        <v>21400139</v>
      </c>
      <c r="B3074" t="s">
        <v>18</v>
      </c>
      <c r="C3074" t="s">
        <v>19</v>
      </c>
      <c r="D3074">
        <v>2</v>
      </c>
      <c r="E3074">
        <v>2</v>
      </c>
      <c r="F3074">
        <v>0</v>
      </c>
      <c r="G3074">
        <v>1</v>
      </c>
      <c r="H3074" s="1">
        <v>6.9212962962962961E-3</v>
      </c>
      <c r="I3074">
        <v>2014</v>
      </c>
      <c r="J3074" t="s">
        <v>20</v>
      </c>
      <c r="K3074" s="2" t="str">
        <f>HYPERLINK("https://www.nba.com/stats/events?CFID=&amp;CFPARAMS=&amp;GameEventID=18&amp;GameID=0021400139&amp;Season=2014-15&amp;flag=1&amp;title=Leonard%2019'%20Jump%20Shot%20(2%20PTS)%20(Baynes%201%20AST)", "Leonard 19' Jump Shot (2 PTS) (Baynes 1 AST)")</f>
        <v>Leonard 19' Jump Shot (2 PTS) (Baynes 1 AST)</v>
      </c>
      <c r="L3074" s="2" t="str">
        <f>HYPERLINK("https://www.nba.com/game/...-vs-...-0021400139/play-by-play?watchFullGame=true", "SAS vs SAC - Q1 09:58.00")</f>
        <v>SAS vs SAC - Q1 09:58.00</v>
      </c>
      <c r="M3074">
        <v>19</v>
      </c>
      <c r="N3074">
        <v>170</v>
      </c>
      <c r="O3074">
        <v>83</v>
      </c>
      <c r="P3074">
        <v>170</v>
      </c>
      <c r="Q3074">
        <v>83</v>
      </c>
      <c r="R3074" t="s">
        <v>21</v>
      </c>
      <c r="S3074" t="s">
        <v>21</v>
      </c>
    </row>
    <row r="3075" spans="1:21" hidden="1" x14ac:dyDescent="0.25">
      <c r="A3075">
        <v>21600077</v>
      </c>
      <c r="B3075" t="s">
        <v>18</v>
      </c>
      <c r="C3075" t="s">
        <v>19</v>
      </c>
      <c r="D3075">
        <v>62</v>
      </c>
      <c r="E3075">
        <v>50</v>
      </c>
      <c r="F3075">
        <v>12</v>
      </c>
      <c r="G3075">
        <v>3</v>
      </c>
      <c r="H3075" s="1">
        <v>6.2615740740740739E-3</v>
      </c>
      <c r="I3075">
        <v>2016</v>
      </c>
      <c r="J3075" t="s">
        <v>20</v>
      </c>
      <c r="K3075" s="2" t="str">
        <f>HYPERLINK("https://www.nba.com/stats/events?CFID=&amp;CFPARAMS=&amp;GameEventID=297&amp;GameID=0021600077&amp;Season=2016-17&amp;flag=1&amp;title=Leonard%2021'%20Jump%20Shot%20(19%20PTS)", "Leonard 21' Jump Shot (19 PTS)")</f>
        <v>Leonard 21' Jump Shot (19 PTS)</v>
      </c>
      <c r="L3075" s="2" t="str">
        <f>HYPERLINK("https://www.nba.com/game/...-vs-...-0021600077/play-by-play?watchFullGame=true", "SAS vs UTA - Q3 09:01.00")</f>
        <v>SAS vs UTA - Q3 09:01.00</v>
      </c>
      <c r="M3075">
        <v>21</v>
      </c>
      <c r="N3075">
        <v>-196</v>
      </c>
      <c r="O3075">
        <v>85</v>
      </c>
      <c r="P3075">
        <v>-196</v>
      </c>
      <c r="Q3075">
        <v>85</v>
      </c>
      <c r="R3075" t="s">
        <v>21</v>
      </c>
      <c r="S3075" t="s">
        <v>21</v>
      </c>
    </row>
    <row r="3076" spans="1:21" hidden="1" x14ac:dyDescent="0.25">
      <c r="A3076">
        <v>21501043</v>
      </c>
      <c r="B3076" t="s">
        <v>18</v>
      </c>
      <c r="C3076" t="s">
        <v>36</v>
      </c>
      <c r="D3076">
        <v>55</v>
      </c>
      <c r="E3076">
        <v>43</v>
      </c>
      <c r="F3076">
        <v>12</v>
      </c>
      <c r="G3076">
        <v>3</v>
      </c>
      <c r="H3076" s="1">
        <v>6.8171296296296296E-3</v>
      </c>
      <c r="I3076">
        <v>2015</v>
      </c>
      <c r="J3076" t="s">
        <v>20</v>
      </c>
      <c r="K3076" s="2" t="str">
        <f>HYPERLINK("https://www.nba.com/stats/events?CFID=&amp;CFPARAMS=&amp;GameEventID=288&amp;GameID=0021501043&amp;Season=2015-16&amp;flag=1&amp;title=Leonard%2018'%20Pullup%20Jump%20Shot%20(7%20PTS)%20(Aldridge%203%20AST)", "Leonard 18' Pullup Jump Shot (7 PTS) (Aldridge 3 AST)")</f>
        <v>Leonard 18' Pullup Jump Shot (7 PTS) (Aldridge 3 AST)</v>
      </c>
      <c r="L3076" s="2" t="str">
        <f>HYPERLINK("https://www.nba.com/game/...-vs-...-0021501043/play-by-play?watchFullGame=true", "SAS vs CHA - Q3 09:49.00")</f>
        <v>SAS vs CHA - Q3 09:49.00</v>
      </c>
      <c r="M3076">
        <v>18</v>
      </c>
      <c r="N3076">
        <v>-163</v>
      </c>
      <c r="O3076">
        <v>85</v>
      </c>
      <c r="P3076">
        <v>-163</v>
      </c>
      <c r="Q3076">
        <v>85</v>
      </c>
      <c r="R3076" t="s">
        <v>21</v>
      </c>
      <c r="S3076" t="s">
        <v>21</v>
      </c>
    </row>
    <row r="3077" spans="1:21" hidden="1" x14ac:dyDescent="0.25">
      <c r="A3077">
        <v>21600077</v>
      </c>
      <c r="B3077" t="s">
        <v>18</v>
      </c>
      <c r="C3077" t="s">
        <v>36</v>
      </c>
      <c r="D3077">
        <v>69</v>
      </c>
      <c r="E3077">
        <v>55</v>
      </c>
      <c r="F3077">
        <v>14</v>
      </c>
      <c r="G3077">
        <v>3</v>
      </c>
      <c r="H3077" s="1">
        <v>4.6180555555555558E-3</v>
      </c>
      <c r="I3077">
        <v>2016</v>
      </c>
      <c r="J3077" t="s">
        <v>20</v>
      </c>
      <c r="K3077" s="2" t="str">
        <f>HYPERLINK("https://www.nba.com/stats/events?CFID=&amp;CFPARAMS=&amp;GameEventID=310&amp;GameID=0021600077&amp;Season=2016-17&amp;flag=1&amp;title=Leonard%2018'%20Pullup%20Jump%20Shot%20(21%20PTS)", "Leonard 18' Pullup Jump Shot (21 PTS)")</f>
        <v>Leonard 18' Pullup Jump Shot (21 PTS)</v>
      </c>
      <c r="L3077" s="2" t="str">
        <f>HYPERLINK("https://www.nba.com/game/...-vs-...-0021600077/play-by-play?watchFullGame=true", "SAS vs UTA - Q3 06:39.00")</f>
        <v>SAS vs UTA - Q3 06:39.00</v>
      </c>
      <c r="M3077">
        <v>18</v>
      </c>
      <c r="N3077">
        <v>-161</v>
      </c>
      <c r="O3077">
        <v>85</v>
      </c>
      <c r="P3077">
        <v>-161</v>
      </c>
      <c r="Q3077">
        <v>85</v>
      </c>
      <c r="R3077" t="s">
        <v>21</v>
      </c>
      <c r="S3077" t="s">
        <v>21</v>
      </c>
    </row>
    <row r="3078" spans="1:21" hidden="1" x14ac:dyDescent="0.25">
      <c r="A3078">
        <v>21800055</v>
      </c>
      <c r="B3078" t="s">
        <v>18</v>
      </c>
      <c r="C3078" t="s">
        <v>39</v>
      </c>
      <c r="D3078">
        <v>98</v>
      </c>
      <c r="E3078">
        <v>83</v>
      </c>
      <c r="F3078">
        <v>15</v>
      </c>
      <c r="G3078">
        <v>4</v>
      </c>
      <c r="H3078" s="1">
        <v>3.8888888888888888E-3</v>
      </c>
      <c r="I3078">
        <v>2018</v>
      </c>
      <c r="J3078" t="s">
        <v>48</v>
      </c>
      <c r="K3078" s="2" t="str">
        <f>HYPERLINK("https://www.nba.com/stats/events?CFID=&amp;CFPARAMS=&amp;GameEventID=569&amp;GameID=0021800055&amp;Season=2018-19&amp;flag=1&amp;title=Leonard%2016'%20Step%20Back%20Jump%20Shot%20(27%20PTS)", "Leonard 16' Step Back Jump Shot (27 PTS)")</f>
        <v>Leonard 16' Step Back Jump Shot (27 PTS)</v>
      </c>
      <c r="L3078" s="2" t="str">
        <f>HYPERLINK("https://www.nba.com/game/...-vs-...-0021800055/play-by-play?watchFullGame=true", "TOR vs MIN - Q4 05:36.00")</f>
        <v>TOR vs MIN - Q4 05:36.00</v>
      </c>
      <c r="M3078">
        <v>16</v>
      </c>
      <c r="N3078">
        <v>-135</v>
      </c>
      <c r="O3078">
        <v>85</v>
      </c>
      <c r="P3078">
        <v>-135</v>
      </c>
      <c r="Q3078">
        <v>85</v>
      </c>
      <c r="R3078" t="s">
        <v>21</v>
      </c>
      <c r="S3078" t="s">
        <v>21</v>
      </c>
    </row>
    <row r="3079" spans="1:21" hidden="1" x14ac:dyDescent="0.25">
      <c r="A3079">
        <v>21500393</v>
      </c>
      <c r="B3079" t="s">
        <v>18</v>
      </c>
      <c r="C3079" t="s">
        <v>38</v>
      </c>
      <c r="D3079">
        <v>46</v>
      </c>
      <c r="E3079">
        <v>48</v>
      </c>
      <c r="F3079">
        <v>2</v>
      </c>
      <c r="G3079">
        <v>2</v>
      </c>
      <c r="H3079" s="1">
        <v>2.662037037037037E-3</v>
      </c>
      <c r="I3079">
        <v>2015</v>
      </c>
      <c r="J3079" t="s">
        <v>20</v>
      </c>
      <c r="K3079" s="2" t="str">
        <f>HYPERLINK("https://www.nba.com/stats/events?CFID=&amp;CFPARAMS=&amp;GameEventID=184&amp;GameID=0021500393&amp;Season=2015-16&amp;flag=1&amp;title=Leonard%2016'%20Turnaround%20Fadeaway%20(8%20PTS)", "Leonard 16' Turnaround Fadeaway (8 PTS)")</f>
        <v>Leonard 16' Turnaround Fadeaway (8 PTS)</v>
      </c>
      <c r="L3079" s="2" t="str">
        <f>HYPERLINK("https://www.nba.com/game/...-vs-...-0021500393/play-by-play?watchFullGame=true", "SAS vs LAC - Q2 03:50.00")</f>
        <v>SAS vs LAC - Q2 03:50.00</v>
      </c>
      <c r="M3079">
        <v>16</v>
      </c>
      <c r="N3079">
        <v>133</v>
      </c>
      <c r="O3079">
        <v>85</v>
      </c>
      <c r="P3079">
        <v>133</v>
      </c>
      <c r="Q3079">
        <v>85</v>
      </c>
      <c r="R3079" t="s">
        <v>21</v>
      </c>
      <c r="S3079" t="s">
        <v>21</v>
      </c>
    </row>
    <row r="3080" spans="1:21" hidden="1" x14ac:dyDescent="0.25">
      <c r="A3080">
        <v>21300338</v>
      </c>
      <c r="B3080" t="s">
        <v>18</v>
      </c>
      <c r="C3080" t="s">
        <v>19</v>
      </c>
      <c r="D3080">
        <v>42</v>
      </c>
      <c r="E3080">
        <v>36</v>
      </c>
      <c r="F3080">
        <v>6</v>
      </c>
      <c r="G3080">
        <v>2</v>
      </c>
      <c r="H3080" s="1">
        <v>3.8194444444444443E-3</v>
      </c>
      <c r="I3080">
        <v>2013</v>
      </c>
      <c r="J3080" t="s">
        <v>20</v>
      </c>
      <c r="K3080" s="2" t="str">
        <f>HYPERLINK("https://www.nba.com/stats/events?CFID=&amp;CFPARAMS=&amp;GameEventID=188&amp;GameID=0021300338&amp;Season=2013-14&amp;flag=1&amp;title=Leonard%2017'%20Jump%20Shot%20(8%20PTS)%20(Parker%202%20AST)", "Leonard 17' Jump Shot (8 PTS) (Parker 2 AST)")</f>
        <v>Leonard 17' Jump Shot (8 PTS) (Parker 2 AST)</v>
      </c>
      <c r="L3080" s="2" t="str">
        <f>HYPERLINK("https://www.nba.com/game/...-vs-...-0021300338/play-by-play?watchFullGame=true", "SAS vs MIN - Q2 05:30.00")</f>
        <v>SAS vs MIN - Q2 05:30.00</v>
      </c>
      <c r="M3080">
        <v>17</v>
      </c>
      <c r="N3080">
        <v>144</v>
      </c>
      <c r="O3080">
        <v>85</v>
      </c>
      <c r="P3080">
        <v>144</v>
      </c>
      <c r="Q3080">
        <v>85</v>
      </c>
      <c r="R3080" t="s">
        <v>21</v>
      </c>
      <c r="S3080" t="s">
        <v>21</v>
      </c>
    </row>
    <row r="3081" spans="1:21" hidden="1" x14ac:dyDescent="0.25">
      <c r="A3081">
        <v>21600744</v>
      </c>
      <c r="B3081" t="s">
        <v>18</v>
      </c>
      <c r="C3081" t="s">
        <v>36</v>
      </c>
      <c r="D3081">
        <v>33</v>
      </c>
      <c r="E3081">
        <v>30</v>
      </c>
      <c r="F3081">
        <v>3</v>
      </c>
      <c r="G3081">
        <v>2</v>
      </c>
      <c r="H3081" s="1">
        <v>5.4282407407407404E-3</v>
      </c>
      <c r="I3081">
        <v>2016</v>
      </c>
      <c r="J3081" t="s">
        <v>20</v>
      </c>
      <c r="K3081" s="2" t="str">
        <f>HYPERLINK("https://www.nba.com/stats/events?CFID=&amp;CFPARAMS=&amp;GameEventID=196&amp;GameID=0021600744&amp;Season=2016-17&amp;flag=1&amp;title=Leonard%2017'%20Pullup%20Jump%20Shot%20(6%20PTS)", "Leonard 17' Pullup Jump Shot (6 PTS)")</f>
        <v>Leonard 17' Pullup Jump Shot (6 PTS)</v>
      </c>
      <c r="L3081" s="2" t="str">
        <f>HYPERLINK("https://www.nba.com/game/...-vs-...-0021600744/play-by-play?watchFullGame=true", "SAS vs PHI - Q2 07:49.00")</f>
        <v>SAS vs PHI - Q2 07:49.00</v>
      </c>
      <c r="M3081">
        <v>17</v>
      </c>
      <c r="N3081">
        <v>151</v>
      </c>
      <c r="O3081">
        <v>85</v>
      </c>
      <c r="P3081">
        <v>151</v>
      </c>
      <c r="Q3081">
        <v>85</v>
      </c>
      <c r="R3081" t="s">
        <v>21</v>
      </c>
      <c r="S3081" t="s">
        <v>21</v>
      </c>
    </row>
    <row r="3082" spans="1:21" hidden="1" x14ac:dyDescent="0.25">
      <c r="A3082">
        <v>21800549</v>
      </c>
      <c r="B3082" t="s">
        <v>18</v>
      </c>
      <c r="C3082" t="s">
        <v>36</v>
      </c>
      <c r="D3082">
        <v>90</v>
      </c>
      <c r="E3082">
        <v>81</v>
      </c>
      <c r="F3082">
        <v>9</v>
      </c>
      <c r="G3082">
        <v>3</v>
      </c>
      <c r="H3082" s="1">
        <v>1.0300925925925926E-3</v>
      </c>
      <c r="I3082">
        <v>2018</v>
      </c>
      <c r="J3082" t="s">
        <v>48</v>
      </c>
      <c r="K3082" s="2" t="str">
        <f>HYPERLINK("https://www.nba.com/stats/events?CFID=&amp;CFPARAMS=&amp;GameEventID=445&amp;GameID=0021800549&amp;Season=2018-19&amp;flag=1&amp;title=Leonard%2016'%20Pullup%20Jump%20Shot%20(34%20PTS)", "Leonard 16' Pullup Jump Shot (34 PTS)")</f>
        <v>Leonard 16' Pullup Jump Shot (34 PTS)</v>
      </c>
      <c r="L3082" s="2" t="str">
        <f>HYPERLINK("https://www.nba.com/game/...-vs-...-0021800549/play-by-play?watchFullGame=true", "TOR vs UTA - Q3 01:29.00")</f>
        <v>TOR vs UTA - Q3 01:29.00</v>
      </c>
      <c r="M3082">
        <v>16</v>
      </c>
      <c r="N3082">
        <v>-131</v>
      </c>
      <c r="O3082">
        <v>86</v>
      </c>
      <c r="P3082">
        <v>-131</v>
      </c>
      <c r="Q3082">
        <v>86</v>
      </c>
      <c r="R3082" t="s">
        <v>21</v>
      </c>
      <c r="S3082" t="s">
        <v>21</v>
      </c>
    </row>
    <row r="3083" spans="1:21" hidden="1" x14ac:dyDescent="0.25">
      <c r="A3083">
        <v>21800069</v>
      </c>
      <c r="B3083" t="s">
        <v>18</v>
      </c>
      <c r="C3083" t="s">
        <v>19</v>
      </c>
      <c r="D3083">
        <v>44</v>
      </c>
      <c r="E3083">
        <v>30</v>
      </c>
      <c r="F3083">
        <v>14</v>
      </c>
      <c r="G3083">
        <v>2</v>
      </c>
      <c r="H3083" s="1">
        <v>7.1180555555555554E-3</v>
      </c>
      <c r="I3083">
        <v>2018</v>
      </c>
      <c r="J3083" t="s">
        <v>48</v>
      </c>
      <c r="K3083" s="2" t="str">
        <f>HYPERLINK("https://www.nba.com/stats/events?CFID=&amp;CFPARAMS=&amp;GameEventID=201&amp;GameID=0021800069&amp;Season=2018-19&amp;flag=1&amp;title=Leonard%2018'%20Jump%20Shot%20(6%20PTS)", "Leonard 18' Jump Shot (6 PTS)")</f>
        <v>Leonard 18' Jump Shot (6 PTS)</v>
      </c>
      <c r="L3083" s="2" t="str">
        <f>HYPERLINK("https://www.nba.com/game/...-vs-...-0021800069/play-by-play?watchFullGame=true", "TOR vs DAL - Q2 10:15.00")</f>
        <v>TOR vs DAL - Q2 10:15.00</v>
      </c>
      <c r="M3083">
        <v>18</v>
      </c>
      <c r="N3083">
        <v>-159</v>
      </c>
      <c r="O3083">
        <v>89</v>
      </c>
      <c r="P3083">
        <v>-159</v>
      </c>
      <c r="Q3083">
        <v>89</v>
      </c>
      <c r="R3083" t="s">
        <v>21</v>
      </c>
      <c r="S3083" t="s">
        <v>21</v>
      </c>
    </row>
    <row r="3084" spans="1:21" hidden="1" x14ac:dyDescent="0.25">
      <c r="A3084">
        <v>21800347</v>
      </c>
      <c r="B3084" t="s">
        <v>18</v>
      </c>
      <c r="C3084" t="s">
        <v>36</v>
      </c>
      <c r="D3084">
        <v>101</v>
      </c>
      <c r="E3084">
        <v>100</v>
      </c>
      <c r="F3084">
        <v>1</v>
      </c>
      <c r="G3084">
        <v>4</v>
      </c>
      <c r="H3084" s="1">
        <v>6.3773148148148153E-4</v>
      </c>
      <c r="I3084">
        <v>2018</v>
      </c>
      <c r="J3084" t="s">
        <v>48</v>
      </c>
      <c r="K3084" s="2" t="str">
        <f>HYPERLINK("https://www.nba.com/stats/events?CFID=&amp;CFPARAMS=&amp;GameEventID=628&amp;GameID=0021800347&amp;Season=2018-19&amp;flag=1&amp;title=Leonard%2017'%20Pullup%20Jump%20Shot%20(25%20PTS)%20(Siakam%207%20AST)", "Leonard 17' Pullup Jump Shot (25 PTS) (Siakam 7 AST)")</f>
        <v>Leonard 17' Pullup Jump Shot (25 PTS) (Siakam 7 AST)</v>
      </c>
      <c r="L3084" s="2" t="str">
        <f>HYPERLINK("https://www.nba.com/game/...-vs-...-0021800347/play-by-play?watchFullGame=true", "TOR vs DEN - Q4 00:55.10")</f>
        <v>TOR vs DEN - Q4 00:55.10</v>
      </c>
      <c r="M3084">
        <v>17</v>
      </c>
      <c r="N3084">
        <v>142</v>
      </c>
      <c r="O3084">
        <v>89</v>
      </c>
      <c r="P3084">
        <v>142</v>
      </c>
      <c r="Q3084">
        <v>89</v>
      </c>
      <c r="R3084" t="s">
        <v>21</v>
      </c>
      <c r="S3084" t="s">
        <v>21</v>
      </c>
    </row>
    <row r="3085" spans="1:21" hidden="1" x14ac:dyDescent="0.25">
      <c r="A3085">
        <v>41600156</v>
      </c>
      <c r="B3085" t="s">
        <v>18</v>
      </c>
      <c r="C3085" t="s">
        <v>36</v>
      </c>
      <c r="D3085">
        <v>32</v>
      </c>
      <c r="E3085">
        <v>32</v>
      </c>
      <c r="F3085">
        <v>0</v>
      </c>
      <c r="G3085">
        <v>2</v>
      </c>
      <c r="H3085" s="1">
        <v>4.4791666666666669E-3</v>
      </c>
      <c r="I3085" t="s">
        <v>58</v>
      </c>
      <c r="J3085" t="s">
        <v>20</v>
      </c>
      <c r="K3085" s="2" t="str">
        <f>HYPERLINK("https://www.nba.com/stats/events?CFID=&amp;CFPARAMS=&amp;GameEventID=148&amp;GameID=0041600156&amp;Season=2016-17&amp;flag=1&amp;title=Leonard%2020'%20Pullup%20Jump%20Shot%20(8%20PTS)", "Leonard 20' Pullup Jump Shot (8 PTS)")</f>
        <v>Leonard 20' Pullup Jump Shot (8 PTS)</v>
      </c>
      <c r="L3085" s="2" t="str">
        <f>HYPERLINK("https://www.nba.com/game/...-vs-...-0041600156/play-by-play?watchFullGame=true", "SAS vs MEM - Q2 06:27.00")</f>
        <v>SAS vs MEM - Q2 06:27.00</v>
      </c>
      <c r="M3085">
        <v>20</v>
      </c>
      <c r="N3085">
        <v>-183</v>
      </c>
      <c r="O3085">
        <v>90</v>
      </c>
      <c r="P3085">
        <v>-183</v>
      </c>
      <c r="Q3085">
        <v>90</v>
      </c>
      <c r="R3085" t="s">
        <v>21</v>
      </c>
      <c r="S3085" t="s">
        <v>21</v>
      </c>
    </row>
    <row r="3086" spans="1:21" hidden="1" x14ac:dyDescent="0.25">
      <c r="A3086">
        <v>21800332</v>
      </c>
      <c r="B3086" t="s">
        <v>18</v>
      </c>
      <c r="C3086" t="s">
        <v>39</v>
      </c>
      <c r="D3086">
        <v>89</v>
      </c>
      <c r="E3086">
        <v>78</v>
      </c>
      <c r="F3086">
        <v>11</v>
      </c>
      <c r="G3086">
        <v>4</v>
      </c>
      <c r="H3086" s="1">
        <v>4.8958333333333336E-3</v>
      </c>
      <c r="I3086">
        <v>2018</v>
      </c>
      <c r="J3086" t="s">
        <v>48</v>
      </c>
      <c r="K3086" s="2" t="str">
        <f>HYPERLINK("https://www.nba.com/stats/events?CFID=&amp;CFPARAMS=&amp;GameEventID=526&amp;GameID=0021800332&amp;Season=2018-19&amp;flag=1&amp;title=Leonard%2016'%20Step%20Back%20Jump%20Shot%20(30%20PTS)", "Leonard 16' Step Back Jump Shot (30 PTS)")</f>
        <v>Leonard 16' Step Back Jump Shot (30 PTS)</v>
      </c>
      <c r="L3086" s="2" t="str">
        <f>HYPERLINK("https://www.nba.com/game/...-vs-...-0021800332/play-by-play?watchFullGame=true", "TOR vs CLE - Q4 07:03.00")</f>
        <v>TOR vs CLE - Q4 07:03.00</v>
      </c>
      <c r="M3086">
        <v>16</v>
      </c>
      <c r="N3086">
        <v>-137</v>
      </c>
      <c r="O3086">
        <v>90</v>
      </c>
      <c r="P3086">
        <v>-137</v>
      </c>
      <c r="Q3086">
        <v>90</v>
      </c>
      <c r="R3086" t="s">
        <v>21</v>
      </c>
      <c r="S3086" t="s">
        <v>21</v>
      </c>
    </row>
    <row r="3087" spans="1:21" hidden="1" x14ac:dyDescent="0.25">
      <c r="A3087">
        <v>21501215</v>
      </c>
      <c r="B3087" t="s">
        <v>18</v>
      </c>
      <c r="C3087" t="s">
        <v>19</v>
      </c>
      <c r="D3087">
        <v>13</v>
      </c>
      <c r="E3087">
        <v>15</v>
      </c>
      <c r="F3087">
        <v>2</v>
      </c>
      <c r="G3087">
        <v>1</v>
      </c>
      <c r="H3087" s="1">
        <v>4.2245370370370371E-3</v>
      </c>
      <c r="I3087">
        <v>2015</v>
      </c>
      <c r="J3087" t="s">
        <v>20</v>
      </c>
      <c r="K3087" s="2" t="str">
        <f>HYPERLINK("https://www.nba.com/stats/events?CFID=&amp;CFPARAMS=&amp;GameEventID=58&amp;GameID=0021501215&amp;Season=2015-16&amp;flag=1&amp;title=Leonard%2016'%20Jump%20Shot%20(2%20PTS)%20(Parker%201%20AST)", "Leonard 16' Jump Shot (2 PTS) (Parker 1 AST)")</f>
        <v>Leonard 16' Jump Shot (2 PTS) (Parker 1 AST)</v>
      </c>
      <c r="L3087" s="2" t="str">
        <f>HYPERLINK("https://www.nba.com/game/...-vs-...-0021501215/play-by-play?watchFullGame=true", "SAS vs OKC - Q1 06:05.00")</f>
        <v>SAS vs OKC - Q1 06:05.00</v>
      </c>
      <c r="M3087">
        <v>16</v>
      </c>
      <c r="N3087">
        <v>130</v>
      </c>
      <c r="O3087">
        <v>90</v>
      </c>
      <c r="P3087">
        <v>130</v>
      </c>
      <c r="Q3087">
        <v>90</v>
      </c>
      <c r="R3087" t="s">
        <v>21</v>
      </c>
      <c r="S3087" t="s">
        <v>21</v>
      </c>
    </row>
    <row r="3088" spans="1:21" hidden="1" x14ac:dyDescent="0.25">
      <c r="A3088">
        <v>21600134</v>
      </c>
      <c r="B3088" t="s">
        <v>18</v>
      </c>
      <c r="C3088" t="s">
        <v>19</v>
      </c>
      <c r="D3088">
        <v>6</v>
      </c>
      <c r="E3088">
        <v>6</v>
      </c>
      <c r="F3088">
        <v>0</v>
      </c>
      <c r="G3088">
        <v>1</v>
      </c>
      <c r="H3088" s="1">
        <v>5.324074074074074E-3</v>
      </c>
      <c r="I3088">
        <v>2016</v>
      </c>
      <c r="J3088" t="s">
        <v>20</v>
      </c>
      <c r="K3088" s="2" t="str">
        <f>HYPERLINK("https://www.nba.com/stats/events?CFID=&amp;CFPARAMS=&amp;GameEventID=48&amp;GameID=0021600134&amp;Season=2016-17&amp;flag=1&amp;title=Leonard%2017'%20Jump%20Shot%20(2%20PTS)%20(Gasol%201%20AST)", "Leonard 17' Jump Shot (2 PTS) (Gasol 1 AST)")</f>
        <v>Leonard 17' Jump Shot (2 PTS) (Gasol 1 AST)</v>
      </c>
      <c r="L3088" s="2" t="str">
        <f>HYPERLINK("https://www.nba.com/game/...-vs-...-0021600134/play-by-play?watchFullGame=true", "SAS vs HOU - Q1 07:40.00")</f>
        <v>SAS vs HOU - Q1 07:40.00</v>
      </c>
      <c r="M3088">
        <v>17</v>
      </c>
      <c r="N3088">
        <v>146</v>
      </c>
      <c r="O3088">
        <v>90</v>
      </c>
      <c r="P3088">
        <v>146</v>
      </c>
      <c r="Q3088">
        <v>90</v>
      </c>
      <c r="R3088" t="s">
        <v>21</v>
      </c>
      <c r="S3088" t="s">
        <v>21</v>
      </c>
    </row>
    <row r="3089" spans="1:19" hidden="1" x14ac:dyDescent="0.25">
      <c r="A3089">
        <v>21600508</v>
      </c>
      <c r="B3089" t="s">
        <v>18</v>
      </c>
      <c r="C3089" t="s">
        <v>36</v>
      </c>
      <c r="D3089">
        <v>77</v>
      </c>
      <c r="E3089">
        <v>75</v>
      </c>
      <c r="F3089">
        <v>2</v>
      </c>
      <c r="G3089">
        <v>4</v>
      </c>
      <c r="H3089" s="1">
        <v>7.1990740740740739E-3</v>
      </c>
      <c r="I3089">
        <v>2016</v>
      </c>
      <c r="J3089" t="s">
        <v>20</v>
      </c>
      <c r="K3089" s="2" t="str">
        <f>HYPERLINK("https://www.nba.com/stats/events?CFID=&amp;CFPARAMS=&amp;GameEventID=437&amp;GameID=0021600508&amp;Season=2016-17&amp;flag=1&amp;title=Leonard%2021'%20Pullup%20Jump%20Shot%20(8%20PTS)%20(Gasol%202%20AST)", "Leonard 21' Pullup Jump Shot (8 PTS) (Gasol 2 AST)")</f>
        <v>Leonard 21' Pullup Jump Shot (8 PTS) (Gasol 2 AST)</v>
      </c>
      <c r="L3089" s="2" t="str">
        <f>HYPERLINK("https://www.nba.com/game/...-vs-...-0021600508/play-by-play?watchFullGame=true", "SAS vs ATL - Q4 10:22.00")</f>
        <v>SAS vs ATL - Q4 10:22.00</v>
      </c>
      <c r="M3089">
        <v>21</v>
      </c>
      <c r="N3089">
        <v>187</v>
      </c>
      <c r="O3089">
        <v>90</v>
      </c>
      <c r="P3089">
        <v>187</v>
      </c>
      <c r="Q3089">
        <v>90</v>
      </c>
      <c r="R3089" t="s">
        <v>21</v>
      </c>
      <c r="S3089" t="s">
        <v>21</v>
      </c>
    </row>
    <row r="3090" spans="1:19" hidden="1" x14ac:dyDescent="0.25">
      <c r="A3090">
        <v>21600077</v>
      </c>
      <c r="B3090" t="s">
        <v>18</v>
      </c>
      <c r="C3090" t="s">
        <v>36</v>
      </c>
      <c r="D3090">
        <v>44</v>
      </c>
      <c r="E3090">
        <v>31</v>
      </c>
      <c r="F3090">
        <v>13</v>
      </c>
      <c r="G3090">
        <v>2</v>
      </c>
      <c r="H3090" s="1">
        <v>4.2013888888888891E-3</v>
      </c>
      <c r="I3090">
        <v>2016</v>
      </c>
      <c r="J3090" t="s">
        <v>20</v>
      </c>
      <c r="K3090" s="2" t="str">
        <f>HYPERLINK("https://www.nba.com/stats/events?CFID=&amp;CFPARAMS=&amp;GameEventID=181&amp;GameID=0021600077&amp;Season=2016-17&amp;flag=1&amp;title=Leonard%2023'%20Pullup%20Jump%20Shot%20(14%20PTS)", "Leonard 23' Pullup Jump Shot (14 PTS)")</f>
        <v>Leonard 23' Pullup Jump Shot (14 PTS)</v>
      </c>
      <c r="L3090" s="2" t="str">
        <f>HYPERLINK("https://www.nba.com/game/...-vs-...-0021600077/play-by-play?watchFullGame=true", "SAS vs UTA - Q2 06:03.00")</f>
        <v>SAS vs UTA - Q2 06:03.00</v>
      </c>
      <c r="M3090">
        <v>23</v>
      </c>
      <c r="N3090">
        <v>210</v>
      </c>
      <c r="O3090">
        <v>90</v>
      </c>
      <c r="P3090">
        <v>210</v>
      </c>
      <c r="Q3090">
        <v>90</v>
      </c>
      <c r="R3090" t="s">
        <v>21</v>
      </c>
      <c r="S3090" t="s">
        <v>21</v>
      </c>
    </row>
    <row r="3091" spans="1:19" hidden="1" x14ac:dyDescent="0.25">
      <c r="A3091">
        <v>21400102</v>
      </c>
      <c r="B3091" t="s">
        <v>18</v>
      </c>
      <c r="C3091" t="s">
        <v>39</v>
      </c>
      <c r="D3091">
        <v>25</v>
      </c>
      <c r="E3091">
        <v>30</v>
      </c>
      <c r="F3091">
        <v>5</v>
      </c>
      <c r="G3091">
        <v>2</v>
      </c>
      <c r="H3091" s="1">
        <v>4.4444444444444444E-3</v>
      </c>
      <c r="I3091">
        <v>2014</v>
      </c>
      <c r="J3091" t="s">
        <v>20</v>
      </c>
      <c r="K3091" s="2" t="str">
        <f>HYPERLINK("https://www.nba.com/stats/events?CFID=&amp;CFPARAMS=&amp;GameEventID=171&amp;GameID=0021400102&amp;Season=2014-15&amp;flag=1&amp;title=Leonard%2018'%20Step%20Back%20Jump%20Shot%20(10%20PTS)", "Leonard 18' Step Back Jump Shot (10 PTS)")</f>
        <v>Leonard 18' Step Back Jump Shot (10 PTS)</v>
      </c>
      <c r="L3091" s="2" t="str">
        <f>HYPERLINK("https://www.nba.com/game/...-vs-...-0021400102/play-by-play?watchFullGame=true", "SAS vs LAC - Q2 06:24.00")</f>
        <v>SAS vs LAC - Q2 06:24.00</v>
      </c>
      <c r="M3091">
        <v>18</v>
      </c>
      <c r="N3091">
        <v>152</v>
      </c>
      <c r="O3091">
        <v>91</v>
      </c>
      <c r="P3091">
        <v>152</v>
      </c>
      <c r="Q3091">
        <v>91</v>
      </c>
      <c r="R3091" t="s">
        <v>21</v>
      </c>
      <c r="S3091" t="s">
        <v>21</v>
      </c>
    </row>
    <row r="3092" spans="1:19" hidden="1" x14ac:dyDescent="0.25">
      <c r="A3092">
        <v>21800216</v>
      </c>
      <c r="B3092" t="s">
        <v>18</v>
      </c>
      <c r="C3092" t="s">
        <v>19</v>
      </c>
      <c r="D3092">
        <v>104</v>
      </c>
      <c r="E3092">
        <v>101</v>
      </c>
      <c r="F3092">
        <v>3</v>
      </c>
      <c r="G3092">
        <v>4</v>
      </c>
      <c r="H3092" s="1">
        <v>1.6782407407407408E-3</v>
      </c>
      <c r="I3092">
        <v>2018</v>
      </c>
      <c r="J3092" t="s">
        <v>48</v>
      </c>
      <c r="K3092" s="2" t="str">
        <f>HYPERLINK("https://www.nba.com/stats/events?CFID=&amp;CFPARAMS=&amp;GameEventID=653&amp;GameID=0021800216&amp;Season=2018-19&amp;flag=1&amp;title=Leonard%2021'%20Jump%20Shot%20(28%20PTS)", "Leonard 21' Jump Shot (28 PTS)")</f>
        <v>Leonard 21' Jump Shot (28 PTS)</v>
      </c>
      <c r="L3092" s="2" t="str">
        <f>HYPERLINK("https://www.nba.com/game/...-vs-...-0021800216/play-by-play?watchFullGame=true", "TOR vs BOS - Q4 02:25.00")</f>
        <v>TOR vs BOS - Q4 02:25.00</v>
      </c>
      <c r="M3092">
        <v>21</v>
      </c>
      <c r="N3092">
        <v>194</v>
      </c>
      <c r="O3092">
        <v>91</v>
      </c>
      <c r="P3092">
        <v>194</v>
      </c>
      <c r="Q3092">
        <v>91</v>
      </c>
      <c r="R3092" t="s">
        <v>21</v>
      </c>
      <c r="S3092" t="s">
        <v>21</v>
      </c>
    </row>
    <row r="3093" spans="1:19" hidden="1" x14ac:dyDescent="0.25">
      <c r="A3093">
        <v>21500235</v>
      </c>
      <c r="B3093" t="s">
        <v>18</v>
      </c>
      <c r="C3093" t="s">
        <v>19</v>
      </c>
      <c r="D3093">
        <v>54</v>
      </c>
      <c r="E3093">
        <v>51</v>
      </c>
      <c r="F3093">
        <v>3</v>
      </c>
      <c r="G3093">
        <v>3</v>
      </c>
      <c r="H3093" s="1">
        <v>4.7106481481481478E-3</v>
      </c>
      <c r="I3093">
        <v>2015</v>
      </c>
      <c r="J3093" t="s">
        <v>20</v>
      </c>
      <c r="K3093" s="2" t="str">
        <f>HYPERLINK("https://www.nba.com/stats/events?CFID=&amp;CFPARAMS=&amp;GameEventID=302&amp;GameID=0021500235&amp;Season=2015-16&amp;flag=1&amp;title=Leonard%2017'%20Jump%20Shot%20(18%20PTS)%20(McCallum%201%20AST)", "Leonard 17' Jump Shot (18 PTS) (McCallum 1 AST)")</f>
        <v>Leonard 17' Jump Shot (18 PTS) (McCallum 1 AST)</v>
      </c>
      <c r="L3093" s="2" t="str">
        <f>HYPERLINK("https://www.nba.com/game/...-vs-...-0021500235/play-by-play?watchFullGame=true", "SAS vs DEN - Q3 06:47.00")</f>
        <v>SAS vs DEN - Q3 06:47.00</v>
      </c>
      <c r="M3093">
        <v>17</v>
      </c>
      <c r="N3093">
        <v>-145</v>
      </c>
      <c r="O3093">
        <v>92</v>
      </c>
      <c r="P3093">
        <v>-145</v>
      </c>
      <c r="Q3093">
        <v>92</v>
      </c>
      <c r="R3093" t="s">
        <v>21</v>
      </c>
      <c r="S3093" t="s">
        <v>21</v>
      </c>
    </row>
    <row r="3094" spans="1:19" hidden="1" x14ac:dyDescent="0.25">
      <c r="A3094">
        <v>21600817</v>
      </c>
      <c r="B3094" t="s">
        <v>18</v>
      </c>
      <c r="C3094" t="s">
        <v>19</v>
      </c>
      <c r="D3094">
        <v>46</v>
      </c>
      <c r="E3094">
        <v>34</v>
      </c>
      <c r="F3094">
        <v>12</v>
      </c>
      <c r="G3094">
        <v>2</v>
      </c>
      <c r="H3094" s="1">
        <v>2.2337962962962962E-3</v>
      </c>
      <c r="I3094">
        <v>2016</v>
      </c>
      <c r="J3094" t="s">
        <v>20</v>
      </c>
      <c r="K3094" s="2" t="str">
        <f>HYPERLINK("https://www.nba.com/stats/events?CFID=&amp;CFPARAMS=&amp;GameEventID=198&amp;GameID=0021600817&amp;Season=2016-17&amp;flag=1&amp;title=Leonard%2017'%20Jump%20Shot%20(14%20PTS)", "Leonard 17' Jump Shot (14 PTS)")</f>
        <v>Leonard 17' Jump Shot (14 PTS)</v>
      </c>
      <c r="L3094" s="2" t="str">
        <f>HYPERLINK("https://www.nba.com/game/...-vs-...-0021600817/play-by-play?watchFullGame=true", "SAS vs NYK - Q2 03:13.00")</f>
        <v>SAS vs NYK - Q2 03:13.00</v>
      </c>
      <c r="M3094">
        <v>17</v>
      </c>
      <c r="N3094">
        <v>138</v>
      </c>
      <c r="O3094">
        <v>92</v>
      </c>
      <c r="P3094">
        <v>138</v>
      </c>
      <c r="Q3094">
        <v>92</v>
      </c>
      <c r="R3094" t="s">
        <v>21</v>
      </c>
      <c r="S3094" t="s">
        <v>21</v>
      </c>
    </row>
    <row r="3095" spans="1:19" hidden="1" x14ac:dyDescent="0.25">
      <c r="A3095">
        <v>21601151</v>
      </c>
      <c r="B3095" t="s">
        <v>18</v>
      </c>
      <c r="C3095" t="s">
        <v>39</v>
      </c>
      <c r="D3095">
        <v>4</v>
      </c>
      <c r="E3095">
        <v>4</v>
      </c>
      <c r="F3095">
        <v>0</v>
      </c>
      <c r="G3095">
        <v>1</v>
      </c>
      <c r="H3095" s="1">
        <v>7.5578703703703702E-3</v>
      </c>
      <c r="I3095">
        <v>2016</v>
      </c>
      <c r="J3095" t="s">
        <v>20</v>
      </c>
      <c r="K3095" s="2" t="str">
        <f>HYPERLINK("https://www.nba.com/stats/events?CFID=&amp;CFPARAMS=&amp;GameEventID=5&amp;GameID=0021601151&amp;Season=2016-17&amp;flag=1&amp;title=Leonard%2017'%20Step%20Back%20Jump%20Shot%20(2%20PTS)", "Leonard 17' Step Back Jump Shot (2 PTS)")</f>
        <v>Leonard 17' Step Back Jump Shot (2 PTS)</v>
      </c>
      <c r="L3095" s="2" t="str">
        <f>HYPERLINK("https://www.nba.com/game/...-vs-...-0021601151/play-by-play?watchFullGame=true", "SAS vs UTA - Q1 10:53.00")</f>
        <v>SAS vs UTA - Q1 10:53.00</v>
      </c>
      <c r="M3095">
        <v>17</v>
      </c>
      <c r="N3095">
        <v>-143</v>
      </c>
      <c r="O3095">
        <v>95</v>
      </c>
      <c r="P3095">
        <v>-143</v>
      </c>
      <c r="Q3095">
        <v>95</v>
      </c>
      <c r="R3095" t="s">
        <v>21</v>
      </c>
      <c r="S3095" t="s">
        <v>21</v>
      </c>
    </row>
    <row r="3096" spans="1:19" hidden="1" x14ac:dyDescent="0.25">
      <c r="A3096">
        <v>21800316</v>
      </c>
      <c r="B3096" t="s">
        <v>18</v>
      </c>
      <c r="C3096" t="s">
        <v>39</v>
      </c>
      <c r="D3096">
        <v>30</v>
      </c>
      <c r="E3096">
        <v>14</v>
      </c>
      <c r="F3096">
        <v>16</v>
      </c>
      <c r="G3096">
        <v>1</v>
      </c>
      <c r="H3096" s="1">
        <v>2.7546296296296294E-3</v>
      </c>
      <c r="I3096">
        <v>2018</v>
      </c>
      <c r="J3096" t="s">
        <v>48</v>
      </c>
      <c r="K3096" s="2" t="str">
        <f>HYPERLINK("https://www.nba.com/stats/events?CFID=&amp;CFPARAMS=&amp;GameEventID=78&amp;GameID=0021800316&amp;Season=2018-19&amp;flag=1&amp;title=Leonard%2017'%20Step%20Back%20Jump%20Shot%20(13%20PTS)", "Leonard 17' Step Back Jump Shot (13 PTS)")</f>
        <v>Leonard 17' Step Back Jump Shot (13 PTS)</v>
      </c>
      <c r="L3096" s="2" t="str">
        <f>HYPERLINK("https://www.nba.com/game/...-vs-...-0021800316/play-by-play?watchFullGame=true", "TOR vs GSW - Q1 03:58.00")</f>
        <v>TOR vs GSW - Q1 03:58.00</v>
      </c>
      <c r="M3096">
        <v>17</v>
      </c>
      <c r="N3096">
        <v>-137</v>
      </c>
      <c r="O3096">
        <v>95</v>
      </c>
      <c r="P3096">
        <v>-137</v>
      </c>
      <c r="Q3096">
        <v>95</v>
      </c>
      <c r="R3096" t="s">
        <v>21</v>
      </c>
      <c r="S3096" t="s">
        <v>21</v>
      </c>
    </row>
    <row r="3097" spans="1:19" hidden="1" x14ac:dyDescent="0.25">
      <c r="A3097">
        <v>21400249</v>
      </c>
      <c r="B3097" t="s">
        <v>18</v>
      </c>
      <c r="C3097" t="s">
        <v>38</v>
      </c>
      <c r="D3097">
        <v>51</v>
      </c>
      <c r="E3097">
        <v>33</v>
      </c>
      <c r="F3097">
        <v>18</v>
      </c>
      <c r="G3097">
        <v>2</v>
      </c>
      <c r="H3097" s="1">
        <v>3.3680555555555556E-3</v>
      </c>
      <c r="I3097">
        <v>2014</v>
      </c>
      <c r="J3097" t="s">
        <v>20</v>
      </c>
      <c r="K3097" s="2" t="str">
        <f>HYPERLINK("https://www.nba.com/stats/events?CFID=&amp;CFPARAMS=&amp;GameEventID=213&amp;GameID=0021400249&amp;Season=2014-15&amp;flag=1&amp;title=Leonard%2016'%20Turnaround%20Fadeaway%20(13%20PTS)", "Leonard 16' Turnaround Fadeaway (13 PTS)")</f>
        <v>Leonard 16' Turnaround Fadeaway (13 PTS)</v>
      </c>
      <c r="L3097" s="2" t="str">
        <f>HYPERLINK("https://www.nba.com/game/...-vs-...-0021400249/play-by-play?watchFullGame=true", "SAS vs PHI - Q2 04:51.00")</f>
        <v>SAS vs PHI - Q2 04:51.00</v>
      </c>
      <c r="M3097">
        <v>16</v>
      </c>
      <c r="N3097">
        <v>124</v>
      </c>
      <c r="O3097">
        <v>96</v>
      </c>
      <c r="P3097">
        <v>124</v>
      </c>
      <c r="Q3097">
        <v>96</v>
      </c>
      <c r="R3097" t="s">
        <v>21</v>
      </c>
      <c r="S3097" t="s">
        <v>21</v>
      </c>
    </row>
    <row r="3098" spans="1:19" hidden="1" x14ac:dyDescent="0.25">
      <c r="A3098">
        <v>21400648</v>
      </c>
      <c r="B3098" t="s">
        <v>18</v>
      </c>
      <c r="C3098" t="s">
        <v>19</v>
      </c>
      <c r="D3098">
        <v>53</v>
      </c>
      <c r="E3098">
        <v>32</v>
      </c>
      <c r="F3098">
        <v>21</v>
      </c>
      <c r="G3098">
        <v>2</v>
      </c>
      <c r="H3098" s="1">
        <v>1.3078703703703703E-3</v>
      </c>
      <c r="I3098">
        <v>2014</v>
      </c>
      <c r="J3098" t="s">
        <v>20</v>
      </c>
      <c r="K3098" s="2" t="str">
        <f>HYPERLINK("https://www.nba.com/stats/events?CFID=&amp;CFPARAMS=&amp;GameEventID=231&amp;GameID=0021400648&amp;Season=2014-15&amp;flag=1&amp;title=Leonard%2016'%20Jump%20Shot%20(9%20PTS)", "Leonard 16' Jump Shot (9 PTS)")</f>
        <v>Leonard 16' Jump Shot (9 PTS)</v>
      </c>
      <c r="L3098" s="2" t="str">
        <f>HYPERLINK("https://www.nba.com/game/...-vs-...-0021400648/play-by-play?watchFullGame=true", "SAS vs LAL - Q2 01:53.00")</f>
        <v>SAS vs LAL - Q2 01:53.00</v>
      </c>
      <c r="M3098">
        <v>16</v>
      </c>
      <c r="N3098">
        <v>132</v>
      </c>
      <c r="O3098">
        <v>96</v>
      </c>
      <c r="P3098">
        <v>132</v>
      </c>
      <c r="Q3098">
        <v>96</v>
      </c>
      <c r="R3098" t="s">
        <v>21</v>
      </c>
      <c r="S3098" t="s">
        <v>21</v>
      </c>
    </row>
    <row r="3099" spans="1:19" hidden="1" x14ac:dyDescent="0.25">
      <c r="A3099">
        <v>21401057</v>
      </c>
      <c r="B3099" t="s">
        <v>18</v>
      </c>
      <c r="C3099" t="s">
        <v>19</v>
      </c>
      <c r="D3099">
        <v>51</v>
      </c>
      <c r="E3099">
        <v>51</v>
      </c>
      <c r="F3099">
        <v>0</v>
      </c>
      <c r="G3099">
        <v>3</v>
      </c>
      <c r="H3099" s="1">
        <v>5.3587962962962964E-3</v>
      </c>
      <c r="I3099">
        <v>2014</v>
      </c>
      <c r="J3099" t="s">
        <v>20</v>
      </c>
      <c r="K3099" s="2" t="str">
        <f>HYPERLINK("https://www.nba.com/stats/events?CFID=&amp;CFPARAMS=&amp;GameEventID=292&amp;GameID=0021401057&amp;Season=2014-15&amp;flag=1&amp;title=Leonard%2018'%20Jump%20Shot%20(13%20PTS)", "Leonard 18' Jump Shot (13 PTS)")</f>
        <v>Leonard 18' Jump Shot (13 PTS)</v>
      </c>
      <c r="L3099" s="2" t="str">
        <f>HYPERLINK("https://www.nba.com/game/...-vs-...-0021401057/play-by-play?watchFullGame=true", "SAS vs DAL - Q3 07:43.00")</f>
        <v>SAS vs DAL - Q3 07:43.00</v>
      </c>
      <c r="M3099">
        <v>18</v>
      </c>
      <c r="N3099">
        <v>152</v>
      </c>
      <c r="O3099">
        <v>96</v>
      </c>
      <c r="P3099">
        <v>152</v>
      </c>
      <c r="Q3099">
        <v>96</v>
      </c>
      <c r="R3099" t="s">
        <v>21</v>
      </c>
      <c r="S3099" t="s">
        <v>21</v>
      </c>
    </row>
    <row r="3100" spans="1:19" hidden="1" x14ac:dyDescent="0.25">
      <c r="A3100">
        <v>21400089</v>
      </c>
      <c r="B3100" t="s">
        <v>18</v>
      </c>
      <c r="C3100" t="s">
        <v>19</v>
      </c>
      <c r="D3100">
        <v>64</v>
      </c>
      <c r="E3100">
        <v>64</v>
      </c>
      <c r="F3100">
        <v>0</v>
      </c>
      <c r="G3100">
        <v>3</v>
      </c>
      <c r="H3100" s="1">
        <v>4.4907407407407405E-3</v>
      </c>
      <c r="I3100">
        <v>2014</v>
      </c>
      <c r="J3100" t="s">
        <v>20</v>
      </c>
      <c r="K3100" s="2" t="str">
        <f>HYPERLINK("https://www.nba.com/stats/events?CFID=&amp;CFPARAMS=&amp;GameEventID=300&amp;GameID=0021400089&amp;Season=2014-15&amp;flag=1&amp;title=Leonard%2022'%20Jump%20Shot%20(5%20PTS)%20(Green%201%20AST)", "Leonard 22' Jump Shot (5 PTS) (Green 1 AST)")</f>
        <v>Leonard 22' Jump Shot (5 PTS) (Green 1 AST)</v>
      </c>
      <c r="L3100" s="2" t="str">
        <f>HYPERLINK("https://www.nba.com/game/...-vs-...-0021400089/play-by-play?watchFullGame=true", "SAS vs NOP - Q3 06:28.00")</f>
        <v>SAS vs NOP - Q3 06:28.00</v>
      </c>
      <c r="M3100">
        <v>22</v>
      </c>
      <c r="N3100">
        <v>201</v>
      </c>
      <c r="O3100">
        <v>96</v>
      </c>
      <c r="P3100">
        <v>201</v>
      </c>
      <c r="Q3100">
        <v>96</v>
      </c>
      <c r="R3100" t="s">
        <v>21</v>
      </c>
      <c r="S3100" t="s">
        <v>21</v>
      </c>
    </row>
    <row r="3101" spans="1:19" hidden="1" x14ac:dyDescent="0.25">
      <c r="A3101">
        <v>21500416</v>
      </c>
      <c r="B3101" t="s">
        <v>18</v>
      </c>
      <c r="C3101" t="s">
        <v>36</v>
      </c>
      <c r="D3101">
        <v>59</v>
      </c>
      <c r="E3101">
        <v>59</v>
      </c>
      <c r="F3101">
        <v>0</v>
      </c>
      <c r="G3101">
        <v>3</v>
      </c>
      <c r="H3101" s="1">
        <v>4.8842592592592592E-3</v>
      </c>
      <c r="I3101">
        <v>2015</v>
      </c>
      <c r="J3101" t="s">
        <v>20</v>
      </c>
      <c r="K3101" s="2" t="str">
        <f>HYPERLINK("https://www.nba.com/stats/events?CFID=&amp;CFPARAMS=&amp;GameEventID=275&amp;GameID=0021500416&amp;Season=2015-16&amp;flag=1&amp;title=Leonard%2016'%20Pullup%20Jump%20Shot%20(16%20PTS)%20(Parker%203%20AST)", "Leonard 16' Pullup Jump Shot (16 PTS) (Parker 3 AST)")</f>
        <v>Leonard 16' Pullup Jump Shot (16 PTS) (Parker 3 AST)</v>
      </c>
      <c r="L3101" s="2" t="str">
        <f>HYPERLINK("https://www.nba.com/game/...-vs-...-0021500416/play-by-play?watchFullGame=true", "SAS vs IND - Q3 07:02.00")</f>
        <v>SAS vs IND - Q3 07:02.00</v>
      </c>
      <c r="M3101">
        <v>16</v>
      </c>
      <c r="N3101">
        <v>-129</v>
      </c>
      <c r="O3101">
        <v>97</v>
      </c>
      <c r="P3101">
        <v>-129</v>
      </c>
      <c r="Q3101">
        <v>97</v>
      </c>
      <c r="R3101" t="s">
        <v>21</v>
      </c>
      <c r="S3101" t="s">
        <v>21</v>
      </c>
    </row>
    <row r="3102" spans="1:19" hidden="1" x14ac:dyDescent="0.25">
      <c r="A3102">
        <v>21500612</v>
      </c>
      <c r="B3102" t="s">
        <v>18</v>
      </c>
      <c r="C3102" t="s">
        <v>37</v>
      </c>
      <c r="D3102">
        <v>38</v>
      </c>
      <c r="E3102">
        <v>31</v>
      </c>
      <c r="F3102">
        <v>7</v>
      </c>
      <c r="G3102">
        <v>2</v>
      </c>
      <c r="H3102" s="1">
        <v>1.8518518518518519E-3</v>
      </c>
      <c r="I3102">
        <v>2015</v>
      </c>
      <c r="J3102" t="s">
        <v>20</v>
      </c>
      <c r="K3102" s="2" t="str">
        <f>HYPERLINK("https://www.nba.com/stats/events?CFID=&amp;CFPARAMS=&amp;GameEventID=229&amp;GameID=0021500612&amp;Season=2015-16&amp;flag=1&amp;title=Leonard%2017'%20Fadeaway%20Jumper%20(9%20PTS)", "Leonard 17' Fadeaway Jumper (9 PTS)")</f>
        <v>Leonard 17' Fadeaway Jumper (9 PTS)</v>
      </c>
      <c r="L3102" s="2" t="str">
        <f>HYPERLINK("https://www.nba.com/game/...-vs-...-0021500612/play-by-play?watchFullGame=true", "SAS vs DAL - Q2 02:40.00")</f>
        <v>SAS vs DAL - Q2 02:40.00</v>
      </c>
      <c r="M3102">
        <v>17</v>
      </c>
      <c r="N3102">
        <v>135</v>
      </c>
      <c r="O3102">
        <v>97</v>
      </c>
      <c r="P3102">
        <v>135</v>
      </c>
      <c r="Q3102">
        <v>97</v>
      </c>
      <c r="R3102" t="s">
        <v>21</v>
      </c>
      <c r="S3102" t="s">
        <v>21</v>
      </c>
    </row>
    <row r="3103" spans="1:19" hidden="1" x14ac:dyDescent="0.25">
      <c r="A3103">
        <v>21500235</v>
      </c>
      <c r="B3103" t="s">
        <v>18</v>
      </c>
      <c r="C3103" t="s">
        <v>19</v>
      </c>
      <c r="D3103">
        <v>56</v>
      </c>
      <c r="E3103">
        <v>54</v>
      </c>
      <c r="F3103">
        <v>2</v>
      </c>
      <c r="G3103">
        <v>3</v>
      </c>
      <c r="H3103" s="1">
        <v>3.7847222222222223E-3</v>
      </c>
      <c r="I3103">
        <v>2015</v>
      </c>
      <c r="J3103" t="s">
        <v>20</v>
      </c>
      <c r="K3103" s="2" t="str">
        <f>HYPERLINK("https://www.nba.com/stats/events?CFID=&amp;CFPARAMS=&amp;GameEventID=311&amp;GameID=0021500235&amp;Season=2015-16&amp;flag=1&amp;title=Leonard%2017'%20Jump%20Shot%20(20%20PTS)%20(Anderson%202%20AST)", "Leonard 17' Jump Shot (20 PTS) (Anderson 2 AST)")</f>
        <v>Leonard 17' Jump Shot (20 PTS) (Anderson 2 AST)</v>
      </c>
      <c r="L3103" s="2" t="str">
        <f>HYPERLINK("https://www.nba.com/game/...-vs-...-0021500235/play-by-play?watchFullGame=true", "SAS vs DEN - Q3 05:27.00")</f>
        <v>SAS vs DEN - Q3 05:27.00</v>
      </c>
      <c r="M3103">
        <v>17</v>
      </c>
      <c r="N3103">
        <v>141</v>
      </c>
      <c r="O3103">
        <v>97</v>
      </c>
      <c r="P3103">
        <v>141</v>
      </c>
      <c r="Q3103">
        <v>97</v>
      </c>
      <c r="R3103" t="s">
        <v>21</v>
      </c>
      <c r="S3103" t="s">
        <v>21</v>
      </c>
    </row>
    <row r="3104" spans="1:19" hidden="1" x14ac:dyDescent="0.25">
      <c r="A3104">
        <v>21800192</v>
      </c>
      <c r="B3104" t="s">
        <v>18</v>
      </c>
      <c r="C3104" t="s">
        <v>36</v>
      </c>
      <c r="D3104">
        <v>46</v>
      </c>
      <c r="E3104">
        <v>48</v>
      </c>
      <c r="F3104">
        <v>2</v>
      </c>
      <c r="G3104">
        <v>2</v>
      </c>
      <c r="H3104" s="1">
        <v>3.6226851851851854E-3</v>
      </c>
      <c r="I3104">
        <v>2018</v>
      </c>
      <c r="J3104" t="s">
        <v>48</v>
      </c>
      <c r="K3104" s="2" t="str">
        <f>HYPERLINK("https://www.nba.com/stats/events?CFID=&amp;CFPARAMS=&amp;GameEventID=271&amp;GameID=0021800192&amp;Season=2018-19&amp;flag=1&amp;title=Leonard%2019'%20Pullup%20Jump%20Shot%20(10%20PTS)%20(Lowry%205%20AST)", "Leonard 19' Pullup Jump Shot (10 PTS) (Lowry 5 AST)")</f>
        <v>Leonard 19' Pullup Jump Shot (10 PTS) (Lowry 5 AST)</v>
      </c>
      <c r="L3104" s="2" t="str">
        <f>HYPERLINK("https://www.nba.com/game/...-vs-...-0021800192/play-by-play?watchFullGame=true", "TOR vs NOP - Q2 05:13.00")</f>
        <v>TOR vs NOP - Q2 05:13.00</v>
      </c>
      <c r="M3104">
        <v>19</v>
      </c>
      <c r="N3104">
        <v>165</v>
      </c>
      <c r="O3104">
        <v>97</v>
      </c>
      <c r="P3104">
        <v>165</v>
      </c>
      <c r="Q3104">
        <v>97</v>
      </c>
      <c r="R3104" t="s">
        <v>21</v>
      </c>
      <c r="S3104" t="s">
        <v>21</v>
      </c>
    </row>
    <row r="3105" spans="1:19" hidden="1" x14ac:dyDescent="0.25">
      <c r="A3105">
        <v>21601193</v>
      </c>
      <c r="B3105" t="s">
        <v>18</v>
      </c>
      <c r="C3105" t="s">
        <v>39</v>
      </c>
      <c r="D3105">
        <v>30</v>
      </c>
      <c r="E3105">
        <v>31</v>
      </c>
      <c r="F3105">
        <v>1</v>
      </c>
      <c r="G3105">
        <v>2</v>
      </c>
      <c r="H3105" s="1">
        <v>5.7870370370370367E-3</v>
      </c>
      <c r="I3105">
        <v>2016</v>
      </c>
      <c r="J3105" t="s">
        <v>20</v>
      </c>
      <c r="K3105" s="2" t="str">
        <f>HYPERLINK("https://www.nba.com/stats/events?CFID=&amp;CFPARAMS=&amp;GameEventID=148&amp;GameID=0021601193&amp;Season=2016-17&amp;flag=1&amp;title=Leonard%2017'%20Step%20Back%20Jump%20Shot%20(7%20PTS)", "Leonard 17' Step Back Jump Shot (7 PTS)")</f>
        <v>Leonard 17' Step Back Jump Shot (7 PTS)</v>
      </c>
      <c r="L3105" s="2" t="str">
        <f>HYPERLINK("https://www.nba.com/game/...-vs-...-0021601193/play-by-play?watchFullGame=true", "SAS vs LAC - Q2 08:20.00")</f>
        <v>SAS vs LAC - Q2 08:20.00</v>
      </c>
      <c r="M3105">
        <v>17</v>
      </c>
      <c r="N3105">
        <v>-143</v>
      </c>
      <c r="O3105">
        <v>100</v>
      </c>
      <c r="P3105">
        <v>-143</v>
      </c>
      <c r="Q3105">
        <v>100</v>
      </c>
      <c r="R3105" t="s">
        <v>21</v>
      </c>
      <c r="S3105" t="s">
        <v>21</v>
      </c>
    </row>
    <row r="3106" spans="1:19" hidden="1" x14ac:dyDescent="0.25">
      <c r="A3106">
        <v>21600225</v>
      </c>
      <c r="B3106" t="s">
        <v>18</v>
      </c>
      <c r="C3106" t="s">
        <v>36</v>
      </c>
      <c r="D3106">
        <v>61</v>
      </c>
      <c r="E3106">
        <v>56</v>
      </c>
      <c r="F3106">
        <v>5</v>
      </c>
      <c r="G3106">
        <v>3</v>
      </c>
      <c r="H3106" s="1">
        <v>4.3287037037037035E-3</v>
      </c>
      <c r="I3106">
        <v>2016</v>
      </c>
      <c r="J3106" t="s">
        <v>20</v>
      </c>
      <c r="K3106" s="2" t="str">
        <f>HYPERLINK("https://www.nba.com/stats/events?CFID=&amp;CFPARAMS=&amp;GameEventID=293&amp;GameID=0021600225&amp;Season=2016-17&amp;flag=1&amp;title=Leonard%2016'%20Pullup%20Jump%20Shot%20(16%20PTS)", "Leonard 16' Pullup Jump Shot (16 PTS)")</f>
        <v>Leonard 16' Pullup Jump Shot (16 PTS)</v>
      </c>
      <c r="L3106" s="2" t="str">
        <f>HYPERLINK("https://www.nba.com/game/...-vs-...-0021600225/play-by-play?watchFullGame=true", "SAS vs BOS - Q3 06:14.00")</f>
        <v>SAS vs BOS - Q3 06:14.00</v>
      </c>
      <c r="M3106">
        <v>16</v>
      </c>
      <c r="N3106">
        <v>-125</v>
      </c>
      <c r="O3106">
        <v>100</v>
      </c>
      <c r="P3106">
        <v>-125</v>
      </c>
      <c r="Q3106">
        <v>100</v>
      </c>
      <c r="R3106" t="s">
        <v>21</v>
      </c>
      <c r="S3106" t="s">
        <v>21</v>
      </c>
    </row>
    <row r="3107" spans="1:19" hidden="1" x14ac:dyDescent="0.25">
      <c r="A3107">
        <v>21301127</v>
      </c>
      <c r="B3107" t="s">
        <v>18</v>
      </c>
      <c r="C3107" t="s">
        <v>19</v>
      </c>
      <c r="D3107">
        <v>24</v>
      </c>
      <c r="E3107">
        <v>15</v>
      </c>
      <c r="F3107">
        <v>9</v>
      </c>
      <c r="G3107">
        <v>1</v>
      </c>
      <c r="H3107" s="1">
        <v>1.3541666666666667E-3</v>
      </c>
      <c r="I3107">
        <v>2013</v>
      </c>
      <c r="J3107" t="s">
        <v>20</v>
      </c>
      <c r="K3107" s="2" t="str">
        <f>HYPERLINK("https://www.nba.com/stats/events?CFID=&amp;CFPARAMS=&amp;GameEventID=109&amp;GameID=0021301127&amp;Season=2013-14&amp;flag=1&amp;title=Leonard%2019'%20Jump%20Shot%20(6%20PTS)", "Leonard 19' Jump Shot (6 PTS)")</f>
        <v>Leonard 19' Jump Shot (6 PTS)</v>
      </c>
      <c r="L3107" s="2" t="str">
        <f>HYPERLINK("https://www.nba.com/game/...-vs-...-0021301127/play-by-play?watchFullGame=true", "SAS vs OKC - Q1 01:57.00")</f>
        <v>SAS vs OKC - Q1 01:57.00</v>
      </c>
      <c r="M3107">
        <v>19</v>
      </c>
      <c r="N3107">
        <v>-161</v>
      </c>
      <c r="O3107">
        <v>101</v>
      </c>
      <c r="P3107">
        <v>-161</v>
      </c>
      <c r="Q3107">
        <v>101</v>
      </c>
      <c r="R3107" t="s">
        <v>21</v>
      </c>
      <c r="S3107" t="s">
        <v>21</v>
      </c>
    </row>
    <row r="3108" spans="1:19" hidden="1" x14ac:dyDescent="0.25">
      <c r="A3108">
        <v>21800639</v>
      </c>
      <c r="B3108" t="s">
        <v>18</v>
      </c>
      <c r="C3108" t="s">
        <v>36</v>
      </c>
      <c r="D3108">
        <v>124</v>
      </c>
      <c r="E3108">
        <v>119</v>
      </c>
      <c r="F3108">
        <v>5</v>
      </c>
      <c r="G3108">
        <v>4</v>
      </c>
      <c r="H3108" s="1">
        <v>8.564814814814815E-4</v>
      </c>
      <c r="I3108">
        <v>2018</v>
      </c>
      <c r="J3108" t="s">
        <v>48</v>
      </c>
      <c r="K3108" s="2" t="str">
        <f>HYPERLINK("https://www.nba.com/stats/events?CFID=&amp;CFPARAMS=&amp;GameEventID=652&amp;GameID=0021800639&amp;Season=2018-19&amp;flag=1&amp;title=Leonard%2017'%20Pullup%20Jump%20Shot%20(31%20PTS)", "Leonard 17' Pullup Jump Shot (31 PTS)")</f>
        <v>Leonard 17' Pullup Jump Shot (31 PTS)</v>
      </c>
      <c r="L3108" s="2" t="str">
        <f>HYPERLINK("https://www.nba.com/game/...-vs-...-0021800639/play-by-play?watchFullGame=true", "TOR vs WAS - Q4 01:14.00")</f>
        <v>TOR vs WAS - Q4 01:14.00</v>
      </c>
      <c r="M3108">
        <v>17</v>
      </c>
      <c r="N3108">
        <v>133</v>
      </c>
      <c r="O3108">
        <v>101</v>
      </c>
      <c r="P3108">
        <v>133</v>
      </c>
      <c r="Q3108">
        <v>101</v>
      </c>
      <c r="R3108" t="s">
        <v>21</v>
      </c>
      <c r="S3108" t="s">
        <v>21</v>
      </c>
    </row>
    <row r="3109" spans="1:19" hidden="1" x14ac:dyDescent="0.25">
      <c r="A3109">
        <v>21300100</v>
      </c>
      <c r="B3109" t="s">
        <v>18</v>
      </c>
      <c r="C3109" t="s">
        <v>36</v>
      </c>
      <c r="D3109">
        <v>73</v>
      </c>
      <c r="E3109">
        <v>46</v>
      </c>
      <c r="F3109">
        <v>27</v>
      </c>
      <c r="G3109">
        <v>3</v>
      </c>
      <c r="H3109" s="1">
        <v>4.43287037037037E-3</v>
      </c>
      <c r="I3109">
        <v>2013</v>
      </c>
      <c r="J3109" t="s">
        <v>20</v>
      </c>
      <c r="K3109" s="2" t="str">
        <f>HYPERLINK("https://www.nba.com/stats/events?CFID=&amp;CFPARAMS=&amp;GameEventID=262&amp;GameID=0021300100&amp;Season=2013-14&amp;flag=1&amp;title=Leonard%2017'%20Pullup%20Jump%20Shot%20(13%20PTS)%20(Parker%209%20AST)", "Leonard 17' Pullup Jump Shot (13 PTS) (Parker 9 AST)")</f>
        <v>Leonard 17' Pullup Jump Shot (13 PTS) (Parker 9 AST)</v>
      </c>
      <c r="L3109" s="2" t="str">
        <f>HYPERLINK("https://www.nba.com/game/...-vs-...-0021300100/play-by-play?watchFullGame=true", "SAS vs PHI - Q3 06:23.00")</f>
        <v>SAS vs PHI - Q3 06:23.00</v>
      </c>
      <c r="M3109">
        <v>17</v>
      </c>
      <c r="N3109">
        <v>138</v>
      </c>
      <c r="O3109">
        <v>101</v>
      </c>
      <c r="P3109">
        <v>138</v>
      </c>
      <c r="Q3109">
        <v>101</v>
      </c>
      <c r="R3109" t="s">
        <v>21</v>
      </c>
      <c r="S3109" t="s">
        <v>21</v>
      </c>
    </row>
    <row r="3110" spans="1:19" hidden="1" x14ac:dyDescent="0.25">
      <c r="A3110">
        <v>21301154</v>
      </c>
      <c r="B3110" t="s">
        <v>18</v>
      </c>
      <c r="C3110" t="s">
        <v>36</v>
      </c>
      <c r="D3110">
        <v>37</v>
      </c>
      <c r="E3110">
        <v>22</v>
      </c>
      <c r="F3110">
        <v>15</v>
      </c>
      <c r="G3110">
        <v>2</v>
      </c>
      <c r="H3110" s="1">
        <v>5.3125000000000004E-3</v>
      </c>
      <c r="I3110">
        <v>2013</v>
      </c>
      <c r="J3110" t="s">
        <v>20</v>
      </c>
      <c r="K3110" s="2" t="str">
        <f>HYPERLINK("https://www.nba.com/stats/events?CFID=&amp;CFPARAMS=&amp;GameEventID=164&amp;GameID=0021301154&amp;Season=2013-14&amp;flag=1&amp;title=Leonard%2019'%20Pullup%20Jump%20Shot%20(10%20PTS)%20(Splitter%201%20AST)", "Leonard 19' Pullup Jump Shot (10 PTS) (Splitter 1 AST)")</f>
        <v>Leonard 19' Pullup Jump Shot (10 PTS) (Splitter 1 AST)</v>
      </c>
      <c r="L3110" s="2" t="str">
        <f>HYPERLINK("https://www.nba.com/game/...-vs-...-0021301154/play-by-play?watchFullGame=true", "SAS vs MEM - Q2 07:39.00")</f>
        <v>SAS vs MEM - Q2 07:39.00</v>
      </c>
      <c r="M3110">
        <v>19</v>
      </c>
      <c r="N3110">
        <v>163</v>
      </c>
      <c r="O3110">
        <v>102</v>
      </c>
      <c r="P3110">
        <v>163</v>
      </c>
      <c r="Q3110">
        <v>102</v>
      </c>
      <c r="R3110" t="s">
        <v>21</v>
      </c>
      <c r="S3110" t="s">
        <v>21</v>
      </c>
    </row>
    <row r="3111" spans="1:19" hidden="1" x14ac:dyDescent="0.25">
      <c r="A3111">
        <v>21601056</v>
      </c>
      <c r="B3111" t="s">
        <v>18</v>
      </c>
      <c r="C3111" t="s">
        <v>19</v>
      </c>
      <c r="D3111">
        <v>94</v>
      </c>
      <c r="E3111">
        <v>93</v>
      </c>
      <c r="F3111">
        <v>1</v>
      </c>
      <c r="G3111">
        <v>4</v>
      </c>
      <c r="H3111" s="1">
        <v>6.2500000000000001E-4</v>
      </c>
      <c r="I3111">
        <v>2016</v>
      </c>
      <c r="J3111" t="s">
        <v>20</v>
      </c>
      <c r="K3111" s="2" t="str">
        <f>HYPERLINK("https://www.nba.com/stats/events?CFID=&amp;CFPARAMS=&amp;GameEventID=474&amp;GameID=0021601056&amp;Season=2016-17&amp;flag=1&amp;title=Leonard%2019'%20Jump%20Shot%20(20%20PTS)", "Leonard 19' Jump Shot (20 PTS)")</f>
        <v>Leonard 19' Jump Shot (20 PTS)</v>
      </c>
      <c r="L3111" s="2" t="str">
        <f>HYPERLINK("https://www.nba.com/game/...-vs-...-0021601056/play-by-play?watchFullGame=true", "SAS vs MIN - Q4 00:54.00")</f>
        <v>SAS vs MIN - Q4 00:54.00</v>
      </c>
      <c r="M3111">
        <v>19</v>
      </c>
      <c r="N3111">
        <v>-156</v>
      </c>
      <c r="O3111">
        <v>105</v>
      </c>
      <c r="P3111">
        <v>-156</v>
      </c>
      <c r="Q3111">
        <v>105</v>
      </c>
      <c r="R3111" t="s">
        <v>21</v>
      </c>
      <c r="S3111" t="s">
        <v>21</v>
      </c>
    </row>
    <row r="3112" spans="1:19" hidden="1" x14ac:dyDescent="0.25">
      <c r="A3112">
        <v>21500979</v>
      </c>
      <c r="B3112" t="s">
        <v>18</v>
      </c>
      <c r="C3112" t="s">
        <v>36</v>
      </c>
      <c r="D3112">
        <v>43</v>
      </c>
      <c r="E3112">
        <v>46</v>
      </c>
      <c r="F3112">
        <v>3</v>
      </c>
      <c r="G3112">
        <v>2</v>
      </c>
      <c r="H3112" s="1">
        <v>7.7546296296296293E-4</v>
      </c>
      <c r="I3112">
        <v>2015</v>
      </c>
      <c r="J3112" t="s">
        <v>20</v>
      </c>
      <c r="K3112" s="2" t="str">
        <f>HYPERLINK("https://www.nba.com/stats/events?CFID=&amp;CFPARAMS=&amp;GameEventID=254&amp;GameID=0021500979&amp;Season=2015-16&amp;flag=1&amp;title=Leonard%2017'%20Pullup%20Jump%20Shot%20(11%20PTS)%20(Parker%204%20AST)", "Leonard 17' Pullup Jump Shot (11 PTS) (Parker 4 AST)")</f>
        <v>Leonard 17' Pullup Jump Shot (11 PTS) (Parker 4 AST)</v>
      </c>
      <c r="L3112" s="2" t="str">
        <f>HYPERLINK("https://www.nba.com/game/...-vs-...-0021500979/play-by-play?watchFullGame=true", "SAS vs OKC - Q2 01:07.00")</f>
        <v>SAS vs OKC - Q2 01:07.00</v>
      </c>
      <c r="M3112">
        <v>17</v>
      </c>
      <c r="N3112">
        <v>-135</v>
      </c>
      <c r="O3112">
        <v>105</v>
      </c>
      <c r="P3112">
        <v>-135</v>
      </c>
      <c r="Q3112">
        <v>105</v>
      </c>
      <c r="R3112" t="s">
        <v>21</v>
      </c>
      <c r="S3112" t="s">
        <v>21</v>
      </c>
    </row>
    <row r="3113" spans="1:19" hidden="1" x14ac:dyDescent="0.25">
      <c r="A3113">
        <v>21600037</v>
      </c>
      <c r="B3113" t="s">
        <v>18</v>
      </c>
      <c r="C3113" t="s">
        <v>38</v>
      </c>
      <c r="D3113">
        <v>101</v>
      </c>
      <c r="E3113">
        <v>97</v>
      </c>
      <c r="F3113">
        <v>4</v>
      </c>
      <c r="G3113">
        <v>4</v>
      </c>
      <c r="H3113" s="1">
        <v>1.1689814814814816E-3</v>
      </c>
      <c r="I3113">
        <v>2016</v>
      </c>
      <c r="J3113" t="s">
        <v>20</v>
      </c>
      <c r="K3113" s="2" t="str">
        <f>HYPERLINK("https://www.nba.com/stats/events?CFID=&amp;CFPARAMS=&amp;GameEventID=540&amp;GameID=0021600037&amp;Season=2016-17&amp;flag=1&amp;title=Leonard%2017'%20Turnaround%20Fadeaway%20(22%20PTS)", "Leonard 17' Turnaround Fadeaway (22 PTS)")</f>
        <v>Leonard 17' Turnaround Fadeaway (22 PTS)</v>
      </c>
      <c r="L3113" s="2" t="str">
        <f>HYPERLINK("https://www.nba.com/game/...-vs-...-0021600037/play-by-play?watchFullGame=true", "SAS vs MIA - Q4 01:41.00")</f>
        <v>SAS vs MIA - Q4 01:41.00</v>
      </c>
      <c r="M3113">
        <v>17</v>
      </c>
      <c r="N3113">
        <v>-129</v>
      </c>
      <c r="O3113">
        <v>105</v>
      </c>
      <c r="P3113">
        <v>-129</v>
      </c>
      <c r="Q3113">
        <v>105</v>
      </c>
      <c r="R3113" t="s">
        <v>21</v>
      </c>
      <c r="S3113" t="s">
        <v>21</v>
      </c>
    </row>
    <row r="3114" spans="1:19" hidden="1" x14ac:dyDescent="0.25">
      <c r="A3114">
        <v>21800248</v>
      </c>
      <c r="B3114" t="s">
        <v>18</v>
      </c>
      <c r="C3114" t="s">
        <v>36</v>
      </c>
      <c r="D3114">
        <v>55</v>
      </c>
      <c r="E3114">
        <v>51</v>
      </c>
      <c r="F3114">
        <v>4</v>
      </c>
      <c r="G3114">
        <v>3</v>
      </c>
      <c r="H3114" s="1">
        <v>5.5902777777777773E-3</v>
      </c>
      <c r="I3114">
        <v>2018</v>
      </c>
      <c r="J3114" t="s">
        <v>48</v>
      </c>
      <c r="K3114" s="2" t="str">
        <f>HYPERLINK("https://www.nba.com/stats/events?CFID=&amp;CFPARAMS=&amp;GameEventID=347&amp;GameID=0021800248&amp;Season=2018-19&amp;flag=1&amp;title=Leonard%2016'%20Pullup%20Jump%20Shot%20(12%20PTS)", "Leonard 16' Pullup Jump Shot (12 PTS)")</f>
        <v>Leonard 16' Pullup Jump Shot (12 PTS)</v>
      </c>
      <c r="L3114" s="2" t="str">
        <f>HYPERLINK("https://www.nba.com/game/...-vs-...-0021800248/play-by-play?watchFullGame=true", "TOR vs ORL - Q3 08:03.00")</f>
        <v>TOR vs ORL - Q3 08:03.00</v>
      </c>
      <c r="M3114">
        <v>16</v>
      </c>
      <c r="N3114">
        <v>119</v>
      </c>
      <c r="O3114">
        <v>105</v>
      </c>
      <c r="P3114">
        <v>119</v>
      </c>
      <c r="Q3114">
        <v>105</v>
      </c>
      <c r="R3114" t="s">
        <v>21</v>
      </c>
      <c r="S3114" t="s">
        <v>21</v>
      </c>
    </row>
    <row r="3115" spans="1:19" hidden="1" x14ac:dyDescent="0.25">
      <c r="A3115">
        <v>21500960</v>
      </c>
      <c r="B3115" t="s">
        <v>18</v>
      </c>
      <c r="C3115" t="s">
        <v>19</v>
      </c>
      <c r="D3115">
        <v>13</v>
      </c>
      <c r="E3115">
        <v>11</v>
      </c>
      <c r="F3115">
        <v>2</v>
      </c>
      <c r="G3115">
        <v>1</v>
      </c>
      <c r="H3115" s="1">
        <v>5.2777777777777779E-3</v>
      </c>
      <c r="I3115">
        <v>2015</v>
      </c>
      <c r="J3115" t="s">
        <v>20</v>
      </c>
      <c r="K3115" s="2" t="str">
        <f>HYPERLINK("https://www.nba.com/stats/events?CFID=&amp;CFPARAMS=&amp;GameEventID=40&amp;GameID=0021500960&amp;Season=2015-16&amp;flag=1&amp;title=Leonard%2017'%20Jump%20Shot%20(7%20PTS)%20(Parker%203%20AST)", "Leonard 17' Jump Shot (7 PTS) (Parker 3 AST)")</f>
        <v>Leonard 17' Jump Shot (7 PTS) (Parker 3 AST)</v>
      </c>
      <c r="L3115" s="2" t="str">
        <f>HYPERLINK("https://www.nba.com/game/...-vs-...-0021500960/play-by-play?watchFullGame=true", "SAS vs CHI - Q1 07:36.00")</f>
        <v>SAS vs CHI - Q1 07:36.00</v>
      </c>
      <c r="M3115">
        <v>17</v>
      </c>
      <c r="N3115">
        <v>128</v>
      </c>
      <c r="O3115">
        <v>105</v>
      </c>
      <c r="P3115">
        <v>128</v>
      </c>
      <c r="Q3115">
        <v>105</v>
      </c>
      <c r="R3115" t="s">
        <v>21</v>
      </c>
      <c r="S3115" t="s">
        <v>21</v>
      </c>
    </row>
    <row r="3116" spans="1:19" hidden="1" x14ac:dyDescent="0.25">
      <c r="A3116">
        <v>21500090</v>
      </c>
      <c r="B3116" t="s">
        <v>18</v>
      </c>
      <c r="C3116" t="s">
        <v>36</v>
      </c>
      <c r="D3116">
        <v>18</v>
      </c>
      <c r="E3116">
        <v>19</v>
      </c>
      <c r="F3116">
        <v>1</v>
      </c>
      <c r="G3116">
        <v>1</v>
      </c>
      <c r="H3116" s="1">
        <v>1.7708333333333332E-3</v>
      </c>
      <c r="I3116">
        <v>2015</v>
      </c>
      <c r="J3116" t="s">
        <v>20</v>
      </c>
      <c r="K3116" s="2" t="str">
        <f>HYPERLINK("https://www.nba.com/stats/events?CFID=&amp;CFPARAMS=&amp;GameEventID=103&amp;GameID=0021500090&amp;Season=2015-16&amp;flag=1&amp;title=Leonard%2018'%20Pullup%20Jump%20Shot%20(4%20PTS)", "Leonard 18' Pullup Jump Shot (4 PTS)")</f>
        <v>Leonard 18' Pullup Jump Shot (4 PTS)</v>
      </c>
      <c r="L3116" s="2" t="str">
        <f>HYPERLINK("https://www.nba.com/game/...-vs-...-0021500090/play-by-play?watchFullGame=true", "SAS vs CHA - Q1 02:33.00")</f>
        <v>SAS vs CHA - Q1 02:33.00</v>
      </c>
      <c r="M3116">
        <v>18</v>
      </c>
      <c r="N3116">
        <v>151</v>
      </c>
      <c r="O3116">
        <v>105</v>
      </c>
      <c r="P3116">
        <v>151</v>
      </c>
      <c r="Q3116">
        <v>105</v>
      </c>
      <c r="R3116" t="s">
        <v>21</v>
      </c>
      <c r="S3116" t="s">
        <v>21</v>
      </c>
    </row>
    <row r="3117" spans="1:19" hidden="1" x14ac:dyDescent="0.25">
      <c r="A3117">
        <v>41800216</v>
      </c>
      <c r="B3117" t="s">
        <v>18</v>
      </c>
      <c r="C3117" t="s">
        <v>36</v>
      </c>
      <c r="D3117">
        <v>17</v>
      </c>
      <c r="E3117">
        <v>23</v>
      </c>
      <c r="F3117">
        <v>6</v>
      </c>
      <c r="G3117">
        <v>1</v>
      </c>
      <c r="H3117" s="1">
        <v>1.4930555555555556E-3</v>
      </c>
      <c r="I3117" t="s">
        <v>60</v>
      </c>
      <c r="J3117" t="s">
        <v>48</v>
      </c>
      <c r="K3117" s="2" t="str">
        <f>HYPERLINK("https://www.nba.com/stats/events?CFID=&amp;CFPARAMS=&amp;GameEventID=132&amp;GameID=0041800216&amp;Season=2018-19&amp;flag=1&amp;title=Leonard%2017'%20Pullup%20Jump%20Shot%20(6%20PTS)", "Leonard 17' Pullup Jump Shot (6 PTS)")</f>
        <v>Leonard 17' Pullup Jump Shot (6 PTS)</v>
      </c>
      <c r="L3117" s="2" t="str">
        <f>HYPERLINK("https://www.nba.com/game/...-vs-...-0041800216/play-by-play?watchFullGame=true", "TOR vs PHI - Q1 02:09.00")</f>
        <v>TOR vs PHI - Q1 02:09.00</v>
      </c>
      <c r="M3117">
        <v>17</v>
      </c>
      <c r="N3117">
        <v>128</v>
      </c>
      <c r="O3117">
        <v>106</v>
      </c>
      <c r="P3117">
        <v>128</v>
      </c>
      <c r="Q3117">
        <v>106</v>
      </c>
      <c r="R3117" t="s">
        <v>21</v>
      </c>
      <c r="S3117" t="s">
        <v>21</v>
      </c>
    </row>
    <row r="3118" spans="1:19" hidden="1" x14ac:dyDescent="0.25">
      <c r="A3118">
        <v>21800580</v>
      </c>
      <c r="B3118" t="s">
        <v>18</v>
      </c>
      <c r="C3118" t="s">
        <v>36</v>
      </c>
      <c r="D3118">
        <v>71</v>
      </c>
      <c r="E3118">
        <v>62</v>
      </c>
      <c r="F3118">
        <v>9</v>
      </c>
      <c r="G3118">
        <v>3</v>
      </c>
      <c r="H3118" s="1">
        <v>5.1504629629629626E-3</v>
      </c>
      <c r="I3118">
        <v>2018</v>
      </c>
      <c r="J3118" t="s">
        <v>48</v>
      </c>
      <c r="K3118" s="2" t="str">
        <f>HYPERLINK("https://www.nba.com/stats/events?CFID=&amp;CFPARAMS=&amp;GameEventID=371&amp;GameID=0021800580&amp;Season=2018-19&amp;flag=1&amp;title=Leonard%2017'%20Pullup%20Jump%20Shot%20(20%20PTS)", "Leonard 17' Pullup Jump Shot (20 PTS)")</f>
        <v>Leonard 17' Pullup Jump Shot (20 PTS)</v>
      </c>
      <c r="L3118" s="2" t="str">
        <f>HYPERLINK("https://www.nba.com/game/...-vs-...-0021800580/play-by-play?watchFullGame=true", "TOR vs MIL - Q3 07:25.00")</f>
        <v>TOR vs MIL - Q3 07:25.00</v>
      </c>
      <c r="M3118">
        <v>17</v>
      </c>
      <c r="N3118">
        <v>137</v>
      </c>
      <c r="O3118">
        <v>106</v>
      </c>
      <c r="P3118">
        <v>137</v>
      </c>
      <c r="Q3118">
        <v>106</v>
      </c>
      <c r="R3118" t="s">
        <v>21</v>
      </c>
      <c r="S3118" t="s">
        <v>21</v>
      </c>
    </row>
    <row r="3119" spans="1:19" hidden="1" x14ac:dyDescent="0.25">
      <c r="A3119">
        <v>41500153</v>
      </c>
      <c r="B3119" t="s">
        <v>18</v>
      </c>
      <c r="C3119" t="s">
        <v>19</v>
      </c>
      <c r="D3119">
        <v>72</v>
      </c>
      <c r="E3119">
        <v>73</v>
      </c>
      <c r="F3119">
        <v>1</v>
      </c>
      <c r="G3119">
        <v>4</v>
      </c>
      <c r="H3119" s="1">
        <v>7.8472222222222224E-3</v>
      </c>
      <c r="I3119" t="s">
        <v>57</v>
      </c>
      <c r="J3119" t="s">
        <v>20</v>
      </c>
      <c r="K3119" s="2" t="str">
        <f>HYPERLINK("https://www.nba.com/stats/events?CFID=&amp;CFPARAMS=&amp;GameEventID=377&amp;GameID=0041500153&amp;Season=2015-16&amp;flag=1&amp;title=Leonard%2018'%20Jump%20Shot%20(21%20PTS)%20(West%201%20AST)", "Leonard 18' Jump Shot (21 PTS) (West 1 AST)")</f>
        <v>Leonard 18' Jump Shot (21 PTS) (West 1 AST)</v>
      </c>
      <c r="L3119" s="2" t="str">
        <f>HYPERLINK("https://www.nba.com/game/...-vs-...-0041500153/play-by-play?watchFullGame=true", "SAS vs MEM - Q4 11:18.00")</f>
        <v>SAS vs MEM - Q4 11:18.00</v>
      </c>
      <c r="M3119">
        <v>18</v>
      </c>
      <c r="N3119">
        <v>150</v>
      </c>
      <c r="O3119">
        <v>106</v>
      </c>
      <c r="P3119">
        <v>150</v>
      </c>
      <c r="Q3119">
        <v>106</v>
      </c>
      <c r="R3119" t="s">
        <v>21</v>
      </c>
      <c r="S3119" t="s">
        <v>21</v>
      </c>
    </row>
    <row r="3120" spans="1:19" hidden="1" x14ac:dyDescent="0.25">
      <c r="A3120">
        <v>21501063</v>
      </c>
      <c r="B3120" t="s">
        <v>18</v>
      </c>
      <c r="C3120" t="s">
        <v>36</v>
      </c>
      <c r="D3120">
        <v>4</v>
      </c>
      <c r="E3120">
        <v>0</v>
      </c>
      <c r="F3120">
        <v>4</v>
      </c>
      <c r="G3120">
        <v>1</v>
      </c>
      <c r="H3120" s="1">
        <v>6.7476851851851856E-3</v>
      </c>
      <c r="I3120">
        <v>2015</v>
      </c>
      <c r="J3120" t="s">
        <v>20</v>
      </c>
      <c r="K3120" s="2" t="str">
        <f>HYPERLINK("https://www.nba.com/stats/events?CFID=&amp;CFPARAMS=&amp;GameEventID=16&amp;GameID=0021501063&amp;Season=2015-16&amp;flag=1&amp;title=Leonard%2019'%20Pullup%20Jump%20Shot%20(2%20PTS)", "Leonard 19' Pullup Jump Shot (2 PTS)")</f>
        <v>Leonard 19' Pullup Jump Shot (2 PTS)</v>
      </c>
      <c r="L3120" s="2" t="str">
        <f>HYPERLINK("https://www.nba.com/game/...-vs-...-0021501063/play-by-play?watchFullGame=true", "SAS vs MIA - Q1 09:43.00")</f>
        <v>SAS vs MIA - Q1 09:43.00</v>
      </c>
      <c r="M3120">
        <v>19</v>
      </c>
      <c r="N3120">
        <v>153</v>
      </c>
      <c r="O3120">
        <v>106</v>
      </c>
      <c r="P3120">
        <v>153</v>
      </c>
      <c r="Q3120">
        <v>106</v>
      </c>
      <c r="R3120" t="s">
        <v>21</v>
      </c>
      <c r="S3120" t="s">
        <v>21</v>
      </c>
    </row>
    <row r="3121" spans="1:19" hidden="1" x14ac:dyDescent="0.25">
      <c r="A3121">
        <v>21400921</v>
      </c>
      <c r="B3121" t="s">
        <v>18</v>
      </c>
      <c r="C3121" t="s">
        <v>19</v>
      </c>
      <c r="D3121">
        <v>46</v>
      </c>
      <c r="E3121">
        <v>44</v>
      </c>
      <c r="F3121">
        <v>2</v>
      </c>
      <c r="G3121">
        <v>2</v>
      </c>
      <c r="H3121" s="1">
        <v>4.5949074074074078E-3</v>
      </c>
      <c r="I3121">
        <v>2014</v>
      </c>
      <c r="J3121" t="s">
        <v>20</v>
      </c>
      <c r="K3121" s="2" t="str">
        <f>HYPERLINK("https://www.nba.com/stats/events?CFID=&amp;CFPARAMS=&amp;GameEventID=177&amp;GameID=0021400921&amp;Season=2014-15&amp;flag=1&amp;title=Leonard%2017'%20Jump%20Shot%20(9%20PTS)", "Leonard 17' Jump Shot (9 PTS)")</f>
        <v>Leonard 17' Jump Shot (9 PTS)</v>
      </c>
      <c r="L3121" s="2" t="str">
        <f>HYPERLINK("https://www.nba.com/game/...-vs-...-0021400921/play-by-play?watchFullGame=true", "SAS vs DEN - Q2 06:37.00")</f>
        <v>SAS vs DEN - Q2 06:37.00</v>
      </c>
      <c r="M3121">
        <v>17</v>
      </c>
      <c r="N3121">
        <v>127</v>
      </c>
      <c r="O3121">
        <v>107</v>
      </c>
      <c r="P3121">
        <v>127</v>
      </c>
      <c r="Q3121">
        <v>107</v>
      </c>
      <c r="R3121" t="s">
        <v>21</v>
      </c>
      <c r="S3121" t="s">
        <v>21</v>
      </c>
    </row>
    <row r="3122" spans="1:19" hidden="1" x14ac:dyDescent="0.25">
      <c r="A3122">
        <v>21300421</v>
      </c>
      <c r="B3122" t="s">
        <v>18</v>
      </c>
      <c r="C3122" t="s">
        <v>19</v>
      </c>
      <c r="D3122">
        <v>92</v>
      </c>
      <c r="E3122">
        <v>100</v>
      </c>
      <c r="F3122">
        <v>8</v>
      </c>
      <c r="G3122">
        <v>4</v>
      </c>
      <c r="H3122" s="1">
        <v>3.2638888888888891E-3</v>
      </c>
      <c r="I3122">
        <v>2013</v>
      </c>
      <c r="J3122" t="s">
        <v>20</v>
      </c>
      <c r="K3122" s="2" t="str">
        <f>HYPERLINK("https://www.nba.com/stats/events?CFID=&amp;CFPARAMS=&amp;GameEventID=452&amp;GameID=0021300421&amp;Season=2013-14&amp;flag=1&amp;title=Leonard%2019'%20Jump%20Shot%20(13%20PTS)%20(Parker%204%20AST)", "Leonard 19' Jump Shot (13 PTS) (Parker 4 AST)")</f>
        <v>Leonard 19' Jump Shot (13 PTS) (Parker 4 AST)</v>
      </c>
      <c r="L3122" s="2" t="str">
        <f>HYPERLINK("https://www.nba.com/game/...-vs-...-0021300421/play-by-play?watchFullGame=true", "SAS vs HOU - Q4 04:42.00")</f>
        <v>SAS vs HOU - Q4 04:42.00</v>
      </c>
      <c r="M3122">
        <v>19</v>
      </c>
      <c r="N3122">
        <v>160</v>
      </c>
      <c r="O3122">
        <v>107</v>
      </c>
      <c r="P3122">
        <v>160</v>
      </c>
      <c r="Q3122">
        <v>107</v>
      </c>
      <c r="R3122" t="s">
        <v>21</v>
      </c>
      <c r="S3122" t="s">
        <v>21</v>
      </c>
    </row>
    <row r="3123" spans="1:19" hidden="1" x14ac:dyDescent="0.25">
      <c r="A3123">
        <v>21400610</v>
      </c>
      <c r="B3123" t="s">
        <v>18</v>
      </c>
      <c r="C3123" t="s">
        <v>36</v>
      </c>
      <c r="D3123">
        <v>32</v>
      </c>
      <c r="E3123">
        <v>22</v>
      </c>
      <c r="F3123">
        <v>10</v>
      </c>
      <c r="G3123">
        <v>2</v>
      </c>
      <c r="H3123" s="1">
        <v>4.0972222222222226E-3</v>
      </c>
      <c r="I3123">
        <v>2014</v>
      </c>
      <c r="J3123" t="s">
        <v>20</v>
      </c>
      <c r="K3123" s="2" t="str">
        <f>HYPERLINK("https://www.nba.com/stats/events?CFID=&amp;CFPARAMS=&amp;GameEventID=187&amp;GameID=0021400610&amp;Season=2014-15&amp;flag=1&amp;title=Leonard%2019'%20Pullup%20Jump%20Shot%20(5%20PTS)%20(Parker%202%20AST)", "Leonard 19' Pullup Jump Shot (5 PTS) (Parker 2 AST)")</f>
        <v>Leonard 19' Pullup Jump Shot (5 PTS) (Parker 2 AST)</v>
      </c>
      <c r="L3123" s="2" t="str">
        <f>HYPERLINK("https://www.nba.com/game/...-vs-...-0021400610/play-by-play?watchFullGame=true", "SAS vs UTA - Q2 05:54.00")</f>
        <v>SAS vs UTA - Q2 05:54.00</v>
      </c>
      <c r="M3123">
        <v>19</v>
      </c>
      <c r="N3123">
        <v>151</v>
      </c>
      <c r="O3123">
        <v>108</v>
      </c>
      <c r="P3123">
        <v>151</v>
      </c>
      <c r="Q3123">
        <v>108</v>
      </c>
      <c r="R3123" t="s">
        <v>21</v>
      </c>
      <c r="S3123" t="s">
        <v>21</v>
      </c>
    </row>
    <row r="3124" spans="1:19" hidden="1" x14ac:dyDescent="0.25">
      <c r="A3124">
        <v>21301154</v>
      </c>
      <c r="B3124" t="s">
        <v>18</v>
      </c>
      <c r="C3124" t="s">
        <v>19</v>
      </c>
      <c r="D3124">
        <v>33</v>
      </c>
      <c r="E3124">
        <v>20</v>
      </c>
      <c r="F3124">
        <v>13</v>
      </c>
      <c r="G3124">
        <v>2</v>
      </c>
      <c r="H3124" s="1">
        <v>6.3310185185185188E-3</v>
      </c>
      <c r="I3124">
        <v>2013</v>
      </c>
      <c r="J3124" t="s">
        <v>20</v>
      </c>
      <c r="K3124" s="2" t="str">
        <f>HYPERLINK("https://www.nba.com/stats/events?CFID=&amp;CFPARAMS=&amp;GameEventID=151&amp;GameID=0021301154&amp;Season=2013-14&amp;flag=1&amp;title=Leonard%2019'%20Jump%20Shot%20(6%20PTS)", "Leonard 19' Jump Shot (6 PTS)")</f>
        <v>Leonard 19' Jump Shot (6 PTS)</v>
      </c>
      <c r="L3124" s="2" t="str">
        <f>HYPERLINK("https://www.nba.com/game/...-vs-...-0021301154/play-by-play?watchFullGame=true", "SAS vs MEM - Q2 09:07.00")</f>
        <v>SAS vs MEM - Q2 09:07.00</v>
      </c>
      <c r="M3124">
        <v>19</v>
      </c>
      <c r="N3124">
        <v>162</v>
      </c>
      <c r="O3124">
        <v>108</v>
      </c>
      <c r="P3124">
        <v>162</v>
      </c>
      <c r="Q3124">
        <v>108</v>
      </c>
      <c r="R3124" t="s">
        <v>21</v>
      </c>
      <c r="S3124" t="s">
        <v>21</v>
      </c>
    </row>
    <row r="3125" spans="1:19" hidden="1" x14ac:dyDescent="0.25">
      <c r="A3125">
        <v>21801001</v>
      </c>
      <c r="B3125" t="s">
        <v>18</v>
      </c>
      <c r="C3125" t="s">
        <v>39</v>
      </c>
      <c r="D3125">
        <v>6</v>
      </c>
      <c r="E3125">
        <v>12</v>
      </c>
      <c r="F3125">
        <v>6</v>
      </c>
      <c r="G3125">
        <v>1</v>
      </c>
      <c r="H3125" s="1">
        <v>5.1041666666666666E-3</v>
      </c>
      <c r="I3125">
        <v>2018</v>
      </c>
      <c r="J3125" t="s">
        <v>48</v>
      </c>
      <c r="K3125" s="2" t="str">
        <f>HYPERLINK("https://www.nba.com/stats/events?CFID=&amp;CFPARAMS=&amp;GameEventID=50&amp;GameID=0021801001&amp;Season=2018-19&amp;flag=1&amp;title=Leonard%2018'%20Step%20Back%20Jump%20Shot%20(4%20PTS)", "Leonard 18' Step Back Jump Shot (4 PTS)")</f>
        <v>Leonard 18' Step Back Jump Shot (4 PTS)</v>
      </c>
      <c r="L3125" s="2" t="str">
        <f>HYPERLINK("https://www.nba.com/game/...-vs-...-0021801001/play-by-play?watchFullGame=true", "TOR vs CLE - Q1 07:21.00")</f>
        <v>TOR vs CLE - Q1 07:21.00</v>
      </c>
      <c r="M3125">
        <v>18</v>
      </c>
      <c r="N3125">
        <v>-138</v>
      </c>
      <c r="O3125">
        <v>109</v>
      </c>
      <c r="P3125">
        <v>-138</v>
      </c>
      <c r="Q3125">
        <v>109</v>
      </c>
      <c r="R3125" t="s">
        <v>21</v>
      </c>
      <c r="S3125" t="s">
        <v>21</v>
      </c>
    </row>
    <row r="3126" spans="1:19" hidden="1" x14ac:dyDescent="0.25">
      <c r="A3126">
        <v>21600817</v>
      </c>
      <c r="B3126" t="s">
        <v>18</v>
      </c>
      <c r="C3126" t="s">
        <v>19</v>
      </c>
      <c r="D3126">
        <v>77</v>
      </c>
      <c r="E3126">
        <v>80</v>
      </c>
      <c r="F3126">
        <v>3</v>
      </c>
      <c r="G3126">
        <v>4</v>
      </c>
      <c r="H3126" s="1">
        <v>3.472222222222222E-3</v>
      </c>
      <c r="I3126">
        <v>2016</v>
      </c>
      <c r="J3126" t="s">
        <v>20</v>
      </c>
      <c r="K3126" s="2" t="str">
        <f>HYPERLINK("https://www.nba.com/stats/events?CFID=&amp;CFPARAMS=&amp;GameEventID=449&amp;GameID=0021600817&amp;Season=2016-17&amp;flag=1&amp;title=Leonard%2018'%20Jump%20Shot%20(27%20PTS)%20(Lee%201%20AST)", "Leonard 18' Jump Shot (27 PTS) (Lee 1 AST)")</f>
        <v>Leonard 18' Jump Shot (27 PTS) (Lee 1 AST)</v>
      </c>
      <c r="L3126" s="2" t="str">
        <f>HYPERLINK("https://www.nba.com/game/...-vs-...-0021600817/play-by-play?watchFullGame=true", "SAS vs NYK - Q4 05:00.00")</f>
        <v>SAS vs NYK - Q4 05:00.00</v>
      </c>
      <c r="M3126">
        <v>18</v>
      </c>
      <c r="N3126">
        <v>140</v>
      </c>
      <c r="O3126">
        <v>110</v>
      </c>
      <c r="P3126">
        <v>140</v>
      </c>
      <c r="Q3126">
        <v>110</v>
      </c>
      <c r="R3126" t="s">
        <v>21</v>
      </c>
      <c r="S3126" t="s">
        <v>21</v>
      </c>
    </row>
    <row r="3127" spans="1:19" hidden="1" x14ac:dyDescent="0.25">
      <c r="A3127">
        <v>21401200</v>
      </c>
      <c r="B3127" t="s">
        <v>18</v>
      </c>
      <c r="C3127" t="s">
        <v>36</v>
      </c>
      <c r="D3127">
        <v>103</v>
      </c>
      <c r="E3127">
        <v>79</v>
      </c>
      <c r="F3127">
        <v>24</v>
      </c>
      <c r="G3127">
        <v>4</v>
      </c>
      <c r="H3127" s="1">
        <v>3.1712962962962962E-3</v>
      </c>
      <c r="I3127">
        <v>2014</v>
      </c>
      <c r="J3127" t="s">
        <v>20</v>
      </c>
      <c r="K3127" s="2" t="str">
        <f>HYPERLINK("https://www.nba.com/stats/events?CFID=&amp;CFPARAMS=&amp;GameEventID=492&amp;GameID=0021401200&amp;Season=2014-15&amp;flag=1&amp;title=Leonard%2020'%20Pullup%20Jump%20Shot%20(18%20PTS)", "Leonard 20' Pullup Jump Shot (18 PTS)")</f>
        <v>Leonard 20' Pullup Jump Shot (18 PTS)</v>
      </c>
      <c r="L3127" s="2" t="str">
        <f>HYPERLINK("https://www.nba.com/game/...-vs-...-0021401200/play-by-play?watchFullGame=true", "SAS vs PHX - Q4 04:34.00")</f>
        <v>SAS vs PHX - Q4 04:34.00</v>
      </c>
      <c r="M3127">
        <v>20</v>
      </c>
      <c r="N3127">
        <v>162</v>
      </c>
      <c r="O3127">
        <v>110</v>
      </c>
      <c r="P3127">
        <v>162</v>
      </c>
      <c r="Q3127">
        <v>110</v>
      </c>
      <c r="R3127" t="s">
        <v>21</v>
      </c>
      <c r="S3127" t="s">
        <v>21</v>
      </c>
    </row>
    <row r="3128" spans="1:19" hidden="1" x14ac:dyDescent="0.25">
      <c r="A3128">
        <v>21600134</v>
      </c>
      <c r="B3128" t="s">
        <v>18</v>
      </c>
      <c r="C3128" t="s">
        <v>19</v>
      </c>
      <c r="D3128">
        <v>100</v>
      </c>
      <c r="E3128">
        <v>93</v>
      </c>
      <c r="F3128">
        <v>7</v>
      </c>
      <c r="G3128">
        <v>4</v>
      </c>
      <c r="H3128" s="1">
        <v>1.7592592592592592E-3</v>
      </c>
      <c r="I3128">
        <v>2016</v>
      </c>
      <c r="J3128" t="s">
        <v>20</v>
      </c>
      <c r="K3128" s="2" t="str">
        <f>HYPERLINK("https://www.nba.com/stats/events?CFID=&amp;CFPARAMS=&amp;GameEventID=503&amp;GameID=0021600134&amp;Season=2016-17&amp;flag=1&amp;title=Leonard%2017'%20Jump%20Shot%20(20%20PTS)", "Leonard 17' Jump Shot (20 PTS)")</f>
        <v>Leonard 17' Jump Shot (20 PTS)</v>
      </c>
      <c r="L3128" s="2" t="str">
        <f>HYPERLINK("https://www.nba.com/game/...-vs-...-0021600134/play-by-play?watchFullGame=true", "SAS vs HOU - Q4 02:32.00")</f>
        <v>SAS vs HOU - Q4 02:32.00</v>
      </c>
      <c r="M3128">
        <v>17</v>
      </c>
      <c r="N3128">
        <v>-130</v>
      </c>
      <c r="O3128">
        <v>111</v>
      </c>
      <c r="P3128">
        <v>-130</v>
      </c>
      <c r="Q3128">
        <v>111</v>
      </c>
      <c r="R3128" t="s">
        <v>21</v>
      </c>
      <c r="S3128" t="s">
        <v>21</v>
      </c>
    </row>
    <row r="3129" spans="1:19" hidden="1" x14ac:dyDescent="0.25">
      <c r="A3129">
        <v>21500905</v>
      </c>
      <c r="B3129" t="s">
        <v>18</v>
      </c>
      <c r="C3129" t="s">
        <v>36</v>
      </c>
      <c r="D3129">
        <v>28</v>
      </c>
      <c r="E3129">
        <v>26</v>
      </c>
      <c r="F3129">
        <v>2</v>
      </c>
      <c r="G3129">
        <v>1</v>
      </c>
      <c r="H3129" s="1">
        <v>3.8194444444444444E-5</v>
      </c>
      <c r="I3129">
        <v>2015</v>
      </c>
      <c r="J3129" t="s">
        <v>20</v>
      </c>
      <c r="K3129" s="2" t="str">
        <f>HYPERLINK("https://www.nba.com/stats/events?CFID=&amp;CFPARAMS=&amp;GameEventID=102&amp;GameID=0021500905&amp;Season=2015-16&amp;flag=1&amp;title=Leonard%2017'%20Pullup%20Jump%20Shot%20(11%20PTS)", "Leonard 17' Pullup Jump Shot (11 PTS)")</f>
        <v>Leonard 17' Pullup Jump Shot (11 PTS)</v>
      </c>
      <c r="L3129" s="2" t="str">
        <f>HYPERLINK("https://www.nba.com/game/...-vs-...-0021500905/play-by-play?watchFullGame=true", "SAS vs DET - Q1 00:03.30")</f>
        <v>SAS vs DET - Q1 00:03.30</v>
      </c>
      <c r="M3129">
        <v>17</v>
      </c>
      <c r="N3129">
        <v>130</v>
      </c>
      <c r="O3129">
        <v>111</v>
      </c>
      <c r="P3129">
        <v>130</v>
      </c>
      <c r="Q3129">
        <v>111</v>
      </c>
      <c r="R3129" t="s">
        <v>21</v>
      </c>
      <c r="S3129" t="s">
        <v>21</v>
      </c>
    </row>
    <row r="3130" spans="1:19" hidden="1" x14ac:dyDescent="0.25">
      <c r="A3130">
        <v>21500347</v>
      </c>
      <c r="B3130" t="s">
        <v>18</v>
      </c>
      <c r="C3130" t="s">
        <v>65</v>
      </c>
      <c r="D3130">
        <v>87</v>
      </c>
      <c r="E3130">
        <v>67</v>
      </c>
      <c r="F3130">
        <v>20</v>
      </c>
      <c r="G3130">
        <v>4</v>
      </c>
      <c r="H3130" s="1">
        <v>5.8333333333333336E-3</v>
      </c>
      <c r="I3130">
        <v>2015</v>
      </c>
      <c r="J3130" t="s">
        <v>20</v>
      </c>
      <c r="K3130" s="2" t="str">
        <f>HYPERLINK("https://www.nba.com/stats/events?CFID=&amp;CFPARAMS=&amp;GameEventID=437&amp;GameID=0021500347&amp;Season=2015-16&amp;flag=1&amp;title=Leonard%2019'%20Running%20Pull-Up%20Jump%20Shot%20(19%20PTS)", "Leonard 19' Running Pull-Up Jump Shot (19 PTS)")</f>
        <v>Leonard 19' Running Pull-Up Jump Shot (19 PTS)</v>
      </c>
      <c r="L3130" s="2" t="str">
        <f>HYPERLINK("https://www.nba.com/game/...-vs-...-0021500347/play-by-play?watchFullGame=true", "SAS vs ATL - Q4 08:24.00")</f>
        <v>SAS vs ATL - Q4 08:24.00</v>
      </c>
      <c r="M3130">
        <v>19</v>
      </c>
      <c r="N3130">
        <v>156</v>
      </c>
      <c r="O3130">
        <v>111</v>
      </c>
      <c r="P3130">
        <v>156</v>
      </c>
      <c r="Q3130">
        <v>111</v>
      </c>
      <c r="R3130" t="s">
        <v>21</v>
      </c>
      <c r="S3130" t="s">
        <v>21</v>
      </c>
    </row>
    <row r="3131" spans="1:19" hidden="1" x14ac:dyDescent="0.25">
      <c r="A3131">
        <v>21300117</v>
      </c>
      <c r="B3131" t="s">
        <v>18</v>
      </c>
      <c r="C3131" t="s">
        <v>34</v>
      </c>
      <c r="D3131">
        <v>56</v>
      </c>
      <c r="E3131">
        <v>46</v>
      </c>
      <c r="F3131">
        <v>10</v>
      </c>
      <c r="G3131">
        <v>3</v>
      </c>
      <c r="H3131" s="1">
        <v>6.0648148148148145E-3</v>
      </c>
      <c r="I3131">
        <v>2013</v>
      </c>
      <c r="J3131" t="s">
        <v>20</v>
      </c>
      <c r="K3131" s="2" t="str">
        <f>HYPERLINK("https://www.nba.com/stats/events?CFID=&amp;CFPARAMS=&amp;GameEventID=255&amp;GameID=0021300117&amp;Season=2013-14&amp;flag=1&amp;title=Leonard%2020'%20Turnaround%20Jump%20Shot%20(13%20PTS)", "Leonard 20' Turnaround Jump Shot (13 PTS)")</f>
        <v>Leonard 20' Turnaround Jump Shot (13 PTS)</v>
      </c>
      <c r="L3131" s="2" t="str">
        <f>HYPERLINK("https://www.nba.com/game/...-vs-...-0021300117/play-by-play?watchFullGame=true", "SAS vs WAS - Q3 08:44.00")</f>
        <v>SAS vs WAS - Q3 08:44.00</v>
      </c>
      <c r="M3131">
        <v>20</v>
      </c>
      <c r="N3131">
        <v>-166</v>
      </c>
      <c r="O3131">
        <v>113</v>
      </c>
      <c r="P3131">
        <v>-166</v>
      </c>
      <c r="Q3131">
        <v>113</v>
      </c>
      <c r="R3131" t="s">
        <v>21</v>
      </c>
      <c r="S3131" t="s">
        <v>21</v>
      </c>
    </row>
    <row r="3132" spans="1:19" hidden="1" x14ac:dyDescent="0.25">
      <c r="A3132">
        <v>21300100</v>
      </c>
      <c r="B3132" t="s">
        <v>18</v>
      </c>
      <c r="C3132" t="s">
        <v>36</v>
      </c>
      <c r="D3132">
        <v>71</v>
      </c>
      <c r="E3132">
        <v>46</v>
      </c>
      <c r="F3132">
        <v>25</v>
      </c>
      <c r="G3132">
        <v>3</v>
      </c>
      <c r="H3132" s="1">
        <v>4.7569444444444447E-3</v>
      </c>
      <c r="I3132">
        <v>2013</v>
      </c>
      <c r="J3132" t="s">
        <v>20</v>
      </c>
      <c r="K3132" s="2" t="str">
        <f>HYPERLINK("https://www.nba.com/stats/events?CFID=&amp;CFPARAMS=&amp;GameEventID=259&amp;GameID=0021300100&amp;Season=2013-14&amp;flag=1&amp;title=Leonard%2016'%20Pullup%20Jump%20Shot%20(11%20PTS)", "Leonard 16' Pullup Jump Shot (11 PTS)")</f>
        <v>Leonard 16' Pullup Jump Shot (11 PTS)</v>
      </c>
      <c r="L3132" s="2" t="str">
        <f>HYPERLINK("https://www.nba.com/game/...-vs-...-0021300100/play-by-play?watchFullGame=true", "SAS vs PHI - Q3 06:51.00")</f>
        <v>SAS vs PHI - Q3 06:51.00</v>
      </c>
      <c r="M3132">
        <v>16</v>
      </c>
      <c r="N3132">
        <v>119</v>
      </c>
      <c r="O3132">
        <v>113</v>
      </c>
      <c r="P3132">
        <v>119</v>
      </c>
      <c r="Q3132">
        <v>113</v>
      </c>
      <c r="R3132" t="s">
        <v>21</v>
      </c>
      <c r="S3132" t="s">
        <v>21</v>
      </c>
    </row>
    <row r="3133" spans="1:19" hidden="1" x14ac:dyDescent="0.25">
      <c r="A3133">
        <v>41800211</v>
      </c>
      <c r="B3133" t="s">
        <v>18</v>
      </c>
      <c r="C3133" t="s">
        <v>36</v>
      </c>
      <c r="D3133">
        <v>9</v>
      </c>
      <c r="E3133">
        <v>7</v>
      </c>
      <c r="F3133">
        <v>2</v>
      </c>
      <c r="G3133">
        <v>1</v>
      </c>
      <c r="H3133" s="1">
        <v>5.7523148148148151E-3</v>
      </c>
      <c r="I3133" t="s">
        <v>60</v>
      </c>
      <c r="J3133" t="s">
        <v>48</v>
      </c>
      <c r="K3133" s="2" t="str">
        <f>HYPERLINK("https://www.nba.com/stats/events?CFID=&amp;CFPARAMS=&amp;GameEventID=39&amp;GameID=0041800211&amp;Season=2018-19&amp;flag=1&amp;title=Leonard%2016'%20Pullup%20Jump%20Shot%20(6%20PTS)", "Leonard 16' Pullup Jump Shot (6 PTS)")</f>
        <v>Leonard 16' Pullup Jump Shot (6 PTS)</v>
      </c>
      <c r="L3133" s="2" t="str">
        <f>HYPERLINK("https://www.nba.com/game/...-vs-...-0041800211/play-by-play?watchFullGame=true", "TOR vs PHI - Q1 08:17.00")</f>
        <v>TOR vs PHI - Q1 08:17.00</v>
      </c>
      <c r="M3133">
        <v>16</v>
      </c>
      <c r="N3133">
        <v>115</v>
      </c>
      <c r="O3133">
        <v>114</v>
      </c>
      <c r="P3133">
        <v>115</v>
      </c>
      <c r="Q3133">
        <v>114</v>
      </c>
      <c r="R3133" t="s">
        <v>21</v>
      </c>
      <c r="S3133" t="s">
        <v>21</v>
      </c>
    </row>
    <row r="3134" spans="1:19" hidden="1" x14ac:dyDescent="0.25">
      <c r="A3134">
        <v>21500612</v>
      </c>
      <c r="B3134" t="s">
        <v>18</v>
      </c>
      <c r="C3134" t="s">
        <v>36</v>
      </c>
      <c r="D3134">
        <v>69</v>
      </c>
      <c r="E3134">
        <v>51</v>
      </c>
      <c r="F3134">
        <v>18</v>
      </c>
      <c r="G3134">
        <v>3</v>
      </c>
      <c r="H3134" s="1">
        <v>1.724537037037037E-3</v>
      </c>
      <c r="I3134">
        <v>2015</v>
      </c>
      <c r="J3134" t="s">
        <v>20</v>
      </c>
      <c r="K3134" s="2" t="str">
        <f>HYPERLINK("https://www.nba.com/stats/events?CFID=&amp;CFPARAMS=&amp;GameEventID=375&amp;GameID=0021500612&amp;Season=2015-16&amp;flag=1&amp;title=Leonard%2017'%20Pullup%20Jump%20Shot%20(15%20PTS)%20(Diaw%201%20AST)", "Leonard 17' Pullup Jump Shot (15 PTS) (Diaw 1 AST)")</f>
        <v>Leonard 17' Pullup Jump Shot (15 PTS) (Diaw 1 AST)</v>
      </c>
      <c r="L3134" s="2" t="str">
        <f>HYPERLINK("https://www.nba.com/game/...-vs-...-0021500612/play-by-play?watchFullGame=true", "SAS vs DAL - Q3 02:29.00")</f>
        <v>SAS vs DAL - Q3 02:29.00</v>
      </c>
      <c r="M3134">
        <v>17</v>
      </c>
      <c r="N3134">
        <v>119</v>
      </c>
      <c r="O3134">
        <v>115</v>
      </c>
      <c r="P3134">
        <v>119</v>
      </c>
      <c r="Q3134">
        <v>115</v>
      </c>
      <c r="R3134" t="s">
        <v>21</v>
      </c>
      <c r="S3134" t="s">
        <v>21</v>
      </c>
    </row>
    <row r="3135" spans="1:19" hidden="1" x14ac:dyDescent="0.25">
      <c r="A3135">
        <v>21600994</v>
      </c>
      <c r="B3135" t="s">
        <v>18</v>
      </c>
      <c r="C3135" t="s">
        <v>36</v>
      </c>
      <c r="D3135">
        <v>28</v>
      </c>
      <c r="E3135">
        <v>18</v>
      </c>
      <c r="F3135">
        <v>10</v>
      </c>
      <c r="G3135">
        <v>1</v>
      </c>
      <c r="H3135" s="1">
        <v>2.3148148148148148E-6</v>
      </c>
      <c r="I3135">
        <v>2016</v>
      </c>
      <c r="J3135" t="s">
        <v>20</v>
      </c>
      <c r="K3135" s="2" t="str">
        <f>HYPERLINK("https://www.nba.com/stats/events?CFID=&amp;CFPARAMS=&amp;GameEventID=110&amp;GameID=0021600994&amp;Season=2016-17&amp;flag=1&amp;title=Leonard%2020'%20Pullup%20Jump%20Shot%20(11%20PTS)", "Leonard 20' Pullup Jump Shot (11 PTS)")</f>
        <v>Leonard 20' Pullup Jump Shot (11 PTS)</v>
      </c>
      <c r="L3135" s="2" t="str">
        <f>HYPERLINK("https://www.nba.com/game/...-vs-...-0021600994/play-by-play?watchFullGame=true", "SAS vs ATL - Q1 00:00.20")</f>
        <v>SAS vs ATL - Q1 00:00.20</v>
      </c>
      <c r="M3135">
        <v>20</v>
      </c>
      <c r="N3135">
        <v>166</v>
      </c>
      <c r="O3135">
        <v>115</v>
      </c>
      <c r="P3135">
        <v>166</v>
      </c>
      <c r="Q3135">
        <v>115</v>
      </c>
      <c r="R3135" t="s">
        <v>21</v>
      </c>
      <c r="S3135" t="s">
        <v>21</v>
      </c>
    </row>
    <row r="3136" spans="1:19" hidden="1" x14ac:dyDescent="0.25">
      <c r="A3136">
        <v>41600152</v>
      </c>
      <c r="B3136" t="s">
        <v>18</v>
      </c>
      <c r="C3136" t="s">
        <v>19</v>
      </c>
      <c r="D3136">
        <v>52</v>
      </c>
      <c r="E3136">
        <v>28</v>
      </c>
      <c r="F3136">
        <v>24</v>
      </c>
      <c r="G3136">
        <v>2</v>
      </c>
      <c r="H3136" s="1">
        <v>2.8703703703703703E-3</v>
      </c>
      <c r="I3136" t="s">
        <v>58</v>
      </c>
      <c r="J3136" t="s">
        <v>20</v>
      </c>
      <c r="K3136" s="2" t="str">
        <f>HYPERLINK("https://www.nba.com/stats/events?CFID=&amp;CFPARAMS=&amp;GameEventID=223&amp;GameID=0041600152&amp;Season=2016-17&amp;flag=1&amp;title=Leonard%2016'%20Jump%20Shot%20(14%20PTS)%20(Gasol%201%20AST)", "Leonard 16' Jump Shot (14 PTS) (Gasol 1 AST)")</f>
        <v>Leonard 16' Jump Shot (14 PTS) (Gasol 1 AST)</v>
      </c>
      <c r="L3136" s="2" t="str">
        <f>HYPERLINK("https://www.nba.com/game/...-vs-...-0041600152/play-by-play?watchFullGame=true", "SAS vs MEM - Q2 04:08.00")</f>
        <v>SAS vs MEM - Q2 04:08.00</v>
      </c>
      <c r="M3136">
        <v>16</v>
      </c>
      <c r="N3136">
        <v>104</v>
      </c>
      <c r="O3136">
        <v>116</v>
      </c>
      <c r="P3136">
        <v>104</v>
      </c>
      <c r="Q3136">
        <v>116</v>
      </c>
      <c r="R3136" t="s">
        <v>21</v>
      </c>
      <c r="S3136" t="s">
        <v>21</v>
      </c>
    </row>
    <row r="3137" spans="1:19" hidden="1" x14ac:dyDescent="0.25">
      <c r="A3137">
        <v>21500939</v>
      </c>
      <c r="B3137" t="s">
        <v>18</v>
      </c>
      <c r="C3137" t="s">
        <v>39</v>
      </c>
      <c r="D3137">
        <v>40</v>
      </c>
      <c r="E3137">
        <v>49</v>
      </c>
      <c r="F3137">
        <v>9</v>
      </c>
      <c r="G3137">
        <v>3</v>
      </c>
      <c r="H3137" s="1">
        <v>6.099537037037037E-3</v>
      </c>
      <c r="I3137">
        <v>2015</v>
      </c>
      <c r="J3137" t="s">
        <v>20</v>
      </c>
      <c r="K3137" s="2" t="str">
        <f>HYPERLINK("https://www.nba.com/stats/events?CFID=&amp;CFPARAMS=&amp;GameEventID=278&amp;GameID=0021500939&amp;Season=2015-16&amp;flag=1&amp;title=Leonard%2016'%20Step%20Back%20Jump%20Shot%20(13%20PTS)", "Leonard 16' Step Back Jump Shot (13 PTS)")</f>
        <v>Leonard 16' Step Back Jump Shot (13 PTS)</v>
      </c>
      <c r="L3137" s="2" t="str">
        <f>HYPERLINK("https://www.nba.com/game/...-vs-...-0021500939/play-by-play?watchFullGame=true", "SAS vs IND - Q3 08:47.00")</f>
        <v>SAS vs IND - Q3 08:47.00</v>
      </c>
      <c r="M3137">
        <v>16</v>
      </c>
      <c r="N3137">
        <v>112</v>
      </c>
      <c r="O3137">
        <v>116</v>
      </c>
      <c r="P3137">
        <v>112</v>
      </c>
      <c r="Q3137">
        <v>116</v>
      </c>
      <c r="R3137" t="s">
        <v>21</v>
      </c>
      <c r="S3137" t="s">
        <v>21</v>
      </c>
    </row>
    <row r="3138" spans="1:19" hidden="1" x14ac:dyDescent="0.25">
      <c r="A3138">
        <v>21500960</v>
      </c>
      <c r="B3138" t="s">
        <v>18</v>
      </c>
      <c r="C3138" t="s">
        <v>19</v>
      </c>
      <c r="D3138">
        <v>27</v>
      </c>
      <c r="E3138">
        <v>22</v>
      </c>
      <c r="F3138">
        <v>5</v>
      </c>
      <c r="G3138">
        <v>1</v>
      </c>
      <c r="H3138" s="1">
        <v>1.8634259259259259E-3</v>
      </c>
      <c r="I3138">
        <v>2015</v>
      </c>
      <c r="J3138" t="s">
        <v>20</v>
      </c>
      <c r="K3138" s="2" t="str">
        <f>HYPERLINK("https://www.nba.com/stats/events?CFID=&amp;CFPARAMS=&amp;GameEventID=86&amp;GameID=0021500960&amp;Season=2015-16&amp;flag=1&amp;title=Leonard%2019'%20Jump%20Shot%20(11%20PTS)%20(Mills%201%20AST)", "Leonard 19' Jump Shot (11 PTS) (Mills 1 AST)")</f>
        <v>Leonard 19' Jump Shot (11 PTS) (Mills 1 AST)</v>
      </c>
      <c r="L3138" s="2" t="str">
        <f>HYPERLINK("https://www.nba.com/game/...-vs-...-0021500960/play-by-play?watchFullGame=true", "SAS vs CHI - Q1 02:41.00")</f>
        <v>SAS vs CHI - Q1 02:41.00</v>
      </c>
      <c r="M3138">
        <v>19</v>
      </c>
      <c r="N3138">
        <v>151</v>
      </c>
      <c r="O3138">
        <v>116</v>
      </c>
      <c r="P3138">
        <v>151</v>
      </c>
      <c r="Q3138">
        <v>116</v>
      </c>
      <c r="R3138" t="s">
        <v>21</v>
      </c>
      <c r="S3138" t="s">
        <v>21</v>
      </c>
    </row>
    <row r="3139" spans="1:19" hidden="1" x14ac:dyDescent="0.25">
      <c r="A3139">
        <v>21800100</v>
      </c>
      <c r="B3139" t="s">
        <v>18</v>
      </c>
      <c r="C3139" t="s">
        <v>19</v>
      </c>
      <c r="D3139">
        <v>57</v>
      </c>
      <c r="E3139">
        <v>41</v>
      </c>
      <c r="F3139">
        <v>16</v>
      </c>
      <c r="G3139">
        <v>2</v>
      </c>
      <c r="H3139" s="1">
        <v>2.7777777777777779E-3</v>
      </c>
      <c r="I3139">
        <v>2018</v>
      </c>
      <c r="J3139" t="s">
        <v>48</v>
      </c>
      <c r="K3139" s="2" t="str">
        <f>HYPERLINK("https://www.nba.com/stats/events?CFID=&amp;CFPARAMS=&amp;GameEventID=308&amp;GameID=0021800100&amp;Season=2018-19&amp;flag=1&amp;title=Leonard%2021'%20Jump%20Shot%20(8%20PTS)", "Leonard 21' Jump Shot (8 PTS)")</f>
        <v>Leonard 21' Jump Shot (8 PTS)</v>
      </c>
      <c r="L3139" s="2" t="str">
        <f>HYPERLINK("https://www.nba.com/game/...-vs-...-0021800100/play-by-play?watchFullGame=true", "TOR vs PHI - Q2 04:00.00")</f>
        <v>TOR vs PHI - Q2 04:00.00</v>
      </c>
      <c r="M3139">
        <v>21</v>
      </c>
      <c r="N3139">
        <v>-172</v>
      </c>
      <c r="O3139">
        <v>118</v>
      </c>
      <c r="P3139">
        <v>-172</v>
      </c>
      <c r="Q3139">
        <v>118</v>
      </c>
      <c r="R3139" t="s">
        <v>21</v>
      </c>
      <c r="S3139" t="s">
        <v>21</v>
      </c>
    </row>
    <row r="3140" spans="1:19" hidden="1" x14ac:dyDescent="0.25">
      <c r="A3140">
        <v>21300181</v>
      </c>
      <c r="B3140" t="s">
        <v>18</v>
      </c>
      <c r="C3140" t="s">
        <v>36</v>
      </c>
      <c r="D3140">
        <v>79</v>
      </c>
      <c r="E3140">
        <v>74</v>
      </c>
      <c r="F3140">
        <v>5</v>
      </c>
      <c r="G3140">
        <v>4</v>
      </c>
      <c r="H3140" s="1">
        <v>5.8449074074074072E-3</v>
      </c>
      <c r="I3140">
        <v>2013</v>
      </c>
      <c r="J3140" t="s">
        <v>20</v>
      </c>
      <c r="K3140" s="2" t="str">
        <f>HYPERLINK("https://www.nba.com/stats/events?CFID=&amp;CFPARAMS=&amp;GameEventID=382&amp;GameID=0021300181&amp;Season=2013-14&amp;flag=1&amp;title=Leonard%2019'%20Pullup%20Jump%20Shot%20(12%20PTS)", "Leonard 19' Pullup Jump Shot (12 PTS)")</f>
        <v>Leonard 19' Pullup Jump Shot (12 PTS)</v>
      </c>
      <c r="L3140" s="2" t="str">
        <f>HYPERLINK("https://www.nba.com/game/...-vs-...-0021300181/play-by-play?watchFullGame=true", "SAS vs MEM - Q4 08:25.00")</f>
        <v>SAS vs MEM - Q4 08:25.00</v>
      </c>
      <c r="M3140">
        <v>19</v>
      </c>
      <c r="N3140">
        <v>-146</v>
      </c>
      <c r="O3140">
        <v>118</v>
      </c>
      <c r="P3140">
        <v>-146</v>
      </c>
      <c r="Q3140">
        <v>118</v>
      </c>
      <c r="R3140" t="s">
        <v>21</v>
      </c>
      <c r="S3140" t="s">
        <v>21</v>
      </c>
    </row>
    <row r="3141" spans="1:19" hidden="1" x14ac:dyDescent="0.25">
      <c r="A3141">
        <v>21300382</v>
      </c>
      <c r="B3141" t="s">
        <v>18</v>
      </c>
      <c r="C3141" t="s">
        <v>36</v>
      </c>
      <c r="D3141">
        <v>27</v>
      </c>
      <c r="E3141">
        <v>36</v>
      </c>
      <c r="F3141">
        <v>9</v>
      </c>
      <c r="G3141">
        <v>2</v>
      </c>
      <c r="H3141" s="1">
        <v>5.4629629629629629E-3</v>
      </c>
      <c r="I3141">
        <v>2013</v>
      </c>
      <c r="J3141" t="s">
        <v>20</v>
      </c>
      <c r="K3141" s="2" t="str">
        <f>HYPERLINK("https://www.nba.com/stats/events?CFID=&amp;CFPARAMS=&amp;GameEventID=158&amp;GameID=0021300382&amp;Season=2013-14&amp;flag=1&amp;title=Leonard%2017'%20Pullup%20Jump%20Shot%20(7%20PTS)", "Leonard 17' Pullup Jump Shot (7 PTS)")</f>
        <v>Leonard 17' Pullup Jump Shot (7 PTS)</v>
      </c>
      <c r="L3141" s="2" t="str">
        <f>HYPERLINK("https://www.nba.com/game/...-vs-...-0021300382/play-by-play?watchFullGame=true", "SAS vs GSW - Q2 07:52.00")</f>
        <v>SAS vs GSW - Q2 07:52.00</v>
      </c>
      <c r="M3141">
        <v>17</v>
      </c>
      <c r="N3141">
        <v>-116</v>
      </c>
      <c r="O3141">
        <v>118</v>
      </c>
      <c r="P3141">
        <v>-116</v>
      </c>
      <c r="Q3141">
        <v>118</v>
      </c>
      <c r="R3141" t="s">
        <v>21</v>
      </c>
      <c r="S3141" t="s">
        <v>21</v>
      </c>
    </row>
    <row r="3142" spans="1:19" hidden="1" x14ac:dyDescent="0.25">
      <c r="A3142">
        <v>41200235</v>
      </c>
      <c r="B3142" t="s">
        <v>18</v>
      </c>
      <c r="C3142" t="s">
        <v>19</v>
      </c>
      <c r="D3142">
        <v>10</v>
      </c>
      <c r="E3142">
        <v>11</v>
      </c>
      <c r="F3142">
        <v>1</v>
      </c>
      <c r="G3142">
        <v>1</v>
      </c>
      <c r="H3142" s="1">
        <v>5.092592592592593E-3</v>
      </c>
      <c r="I3142" t="s">
        <v>53</v>
      </c>
      <c r="J3142" t="s">
        <v>20</v>
      </c>
      <c r="K3142" s="2" t="str">
        <f>HYPERLINK("https://www.nba.com/stats/events?CFID=&amp;CFPARAMS=&amp;GameEventID=39&amp;GameID=0041200235&amp;Season=2012-13&amp;flag=1&amp;title=Leonard%2017'%20Jump%20Shot%20(2%20PTS)%20(Parker%202%20AST)", "Leonard 17' Jump Shot (2 PTS) (Parker 2 AST)")</f>
        <v>Leonard 17' Jump Shot (2 PTS) (Parker 2 AST)</v>
      </c>
      <c r="L3142" s="2" t="str">
        <f>HYPERLINK("https://www.nba.com/game/...-vs-...-0041200235/play-by-play?watchFullGame=true", "SAS vs GSW - Q1 07:20.00")</f>
        <v>SAS vs GSW - Q1 07:20.00</v>
      </c>
      <c r="M3142">
        <v>17</v>
      </c>
      <c r="N3142">
        <v>-123</v>
      </c>
      <c r="O3142">
        <v>119</v>
      </c>
      <c r="P3142">
        <v>-123</v>
      </c>
      <c r="Q3142">
        <v>119</v>
      </c>
      <c r="R3142" t="s">
        <v>21</v>
      </c>
      <c r="S3142" t="s">
        <v>21</v>
      </c>
    </row>
    <row r="3143" spans="1:19" hidden="1" x14ac:dyDescent="0.25">
      <c r="A3143">
        <v>41800213</v>
      </c>
      <c r="B3143" t="s">
        <v>18</v>
      </c>
      <c r="C3143" t="s">
        <v>36</v>
      </c>
      <c r="D3143">
        <v>70</v>
      </c>
      <c r="E3143">
        <v>81</v>
      </c>
      <c r="F3143">
        <v>11</v>
      </c>
      <c r="G3143">
        <v>3</v>
      </c>
      <c r="H3143" s="1">
        <v>3.0208333333333333E-3</v>
      </c>
      <c r="I3143" t="s">
        <v>60</v>
      </c>
      <c r="J3143" t="s">
        <v>48</v>
      </c>
      <c r="K3143" s="2" t="str">
        <f>HYPERLINK("https://www.nba.com/stats/events?CFID=&amp;CFPARAMS=&amp;GameEventID=425&amp;GameID=0041800213&amp;Season=2018-19&amp;flag=1&amp;title=Leonard%2016'%20Pullup%20Jump%20Shot%20(24%20PTS)", "Leonard 16' Pullup Jump Shot (24 PTS)")</f>
        <v>Leonard 16' Pullup Jump Shot (24 PTS)</v>
      </c>
      <c r="L3143" s="2" t="str">
        <f>HYPERLINK("https://www.nba.com/game/...-vs-...-0041800213/play-by-play?watchFullGame=true", "TOR vs PHI - Q3 04:21.00")</f>
        <v>TOR vs PHI - Q3 04:21.00</v>
      </c>
      <c r="M3143">
        <v>16</v>
      </c>
      <c r="N3143">
        <v>-100</v>
      </c>
      <c r="O3143">
        <v>119</v>
      </c>
      <c r="P3143">
        <v>-100</v>
      </c>
      <c r="Q3143">
        <v>119</v>
      </c>
      <c r="R3143" t="s">
        <v>21</v>
      </c>
      <c r="S3143" t="s">
        <v>21</v>
      </c>
    </row>
    <row r="3144" spans="1:19" hidden="1" x14ac:dyDescent="0.25">
      <c r="A3144">
        <v>21500905</v>
      </c>
      <c r="B3144" t="s">
        <v>18</v>
      </c>
      <c r="C3144" t="s">
        <v>36</v>
      </c>
      <c r="D3144">
        <v>11</v>
      </c>
      <c r="E3144">
        <v>8</v>
      </c>
      <c r="F3144">
        <v>3</v>
      </c>
      <c r="G3144">
        <v>1</v>
      </c>
      <c r="H3144" s="1">
        <v>5.3125000000000004E-3</v>
      </c>
      <c r="I3144">
        <v>2015</v>
      </c>
      <c r="J3144" t="s">
        <v>20</v>
      </c>
      <c r="K3144" s="2" t="str">
        <f>HYPERLINK("https://www.nba.com/stats/events?CFID=&amp;CFPARAMS=&amp;GameEventID=42&amp;GameID=0021500905&amp;Season=2015-16&amp;flag=1&amp;title=Leonard%2018'%20Pullup%20Jump%20Shot%20(5%20PTS)%20(Parker%203%20AST)", "Leonard 18' Pullup Jump Shot (5 PTS) (Parker 3 AST)")</f>
        <v>Leonard 18' Pullup Jump Shot (5 PTS) (Parker 3 AST)</v>
      </c>
      <c r="L3144" s="2" t="str">
        <f>HYPERLINK("https://www.nba.com/game/...-vs-...-0021500905/play-by-play?watchFullGame=true", "SAS vs DET - Q1 07:39.00")</f>
        <v>SAS vs DET - Q1 07:39.00</v>
      </c>
      <c r="M3144">
        <v>18</v>
      </c>
      <c r="N3144">
        <v>-137</v>
      </c>
      <c r="O3144">
        <v>120</v>
      </c>
      <c r="P3144">
        <v>-137</v>
      </c>
      <c r="Q3144">
        <v>120</v>
      </c>
      <c r="R3144" t="s">
        <v>21</v>
      </c>
      <c r="S3144" t="s">
        <v>21</v>
      </c>
    </row>
    <row r="3145" spans="1:19" hidden="1" x14ac:dyDescent="0.25">
      <c r="A3145">
        <v>21800624</v>
      </c>
      <c r="B3145" t="s">
        <v>18</v>
      </c>
      <c r="C3145" t="s">
        <v>36</v>
      </c>
      <c r="D3145">
        <v>13</v>
      </c>
      <c r="E3145">
        <v>12</v>
      </c>
      <c r="F3145">
        <v>1</v>
      </c>
      <c r="G3145">
        <v>1</v>
      </c>
      <c r="H3145" s="1">
        <v>4.7916666666666663E-3</v>
      </c>
      <c r="I3145">
        <v>2018</v>
      </c>
      <c r="J3145" t="s">
        <v>48</v>
      </c>
      <c r="K3145" s="2" t="str">
        <f>HYPERLINK("https://www.nba.com/stats/events?CFID=&amp;CFPARAMS=&amp;GameEventID=59&amp;GameID=0021800624&amp;Season=2018-19&amp;flag=1&amp;title=Leonard%2016'%20Pullup%20Jump%20Shot%20(6%20PTS)", "Leonard 16' Pullup Jump Shot (6 PTS)")</f>
        <v>Leonard 16' Pullup Jump Shot (6 PTS)</v>
      </c>
      <c r="L3145" s="2" t="str">
        <f>HYPERLINK("https://www.nba.com/game/...-vs-...-0021800624/play-by-play?watchFullGame=true", "TOR vs BKN - Q1 06:54.00")</f>
        <v>TOR vs BKN - Q1 06:54.00</v>
      </c>
      <c r="M3145">
        <v>16</v>
      </c>
      <c r="N3145">
        <v>103</v>
      </c>
      <c r="O3145">
        <v>120</v>
      </c>
      <c r="P3145">
        <v>103</v>
      </c>
      <c r="Q3145">
        <v>120</v>
      </c>
      <c r="R3145" t="s">
        <v>21</v>
      </c>
      <c r="S3145" t="s">
        <v>21</v>
      </c>
    </row>
    <row r="3146" spans="1:19" hidden="1" x14ac:dyDescent="0.25">
      <c r="A3146">
        <v>21601099</v>
      </c>
      <c r="B3146" t="s">
        <v>18</v>
      </c>
      <c r="C3146" t="s">
        <v>36</v>
      </c>
      <c r="D3146">
        <v>16</v>
      </c>
      <c r="E3146">
        <v>12</v>
      </c>
      <c r="F3146">
        <v>4</v>
      </c>
      <c r="G3146">
        <v>1</v>
      </c>
      <c r="H3146" s="1">
        <v>3.6458333333333334E-3</v>
      </c>
      <c r="I3146">
        <v>2016</v>
      </c>
      <c r="J3146" t="s">
        <v>20</v>
      </c>
      <c r="K3146" s="2" t="str">
        <f>HYPERLINK("https://www.nba.com/stats/events?CFID=&amp;CFPARAMS=&amp;GameEventID=62&amp;GameID=0021601099&amp;Season=2016-17&amp;flag=1&amp;title=Leonard%2017'%20Pullup%20Jump%20Shot%20(4%20PTS)", "Leonard 17' Pullup Jump Shot (4 PTS)")</f>
        <v>Leonard 17' Pullup Jump Shot (4 PTS)</v>
      </c>
      <c r="L3146" s="2" t="str">
        <f>HYPERLINK("https://www.nba.com/game/...-vs-...-0021601099/play-by-play?watchFullGame=true", "SAS vs CLE - Q1 05:15.00")</f>
        <v>SAS vs CLE - Q1 05:15.00</v>
      </c>
      <c r="M3146">
        <v>17</v>
      </c>
      <c r="N3146">
        <v>119</v>
      </c>
      <c r="O3146">
        <v>120</v>
      </c>
      <c r="P3146">
        <v>119</v>
      </c>
      <c r="Q3146">
        <v>120</v>
      </c>
      <c r="R3146" t="s">
        <v>21</v>
      </c>
      <c r="S3146" t="s">
        <v>21</v>
      </c>
    </row>
    <row r="3147" spans="1:19" hidden="1" x14ac:dyDescent="0.25">
      <c r="A3147">
        <v>21601151</v>
      </c>
      <c r="B3147" t="s">
        <v>18</v>
      </c>
      <c r="C3147" t="s">
        <v>36</v>
      </c>
      <c r="D3147">
        <v>84</v>
      </c>
      <c r="E3147">
        <v>68</v>
      </c>
      <c r="F3147">
        <v>16</v>
      </c>
      <c r="G3147">
        <v>3</v>
      </c>
      <c r="H3147" s="1">
        <v>1.8865740740740742E-3</v>
      </c>
      <c r="I3147">
        <v>2016</v>
      </c>
      <c r="J3147" t="s">
        <v>20</v>
      </c>
      <c r="K3147" s="2" t="str">
        <f>HYPERLINK("https://www.nba.com/stats/events?CFID=&amp;CFPARAMS=&amp;GameEventID=318&amp;GameID=0021601151&amp;Season=2016-17&amp;flag=1&amp;title=Leonard%2017'%20Pullup%20Jump%20Shot%20(23%20PTS)", "Leonard 17' Pullup Jump Shot (23 PTS)")</f>
        <v>Leonard 17' Pullup Jump Shot (23 PTS)</v>
      </c>
      <c r="L3147" s="2" t="str">
        <f>HYPERLINK("https://www.nba.com/game/...-vs-...-0021601151/play-by-play?watchFullGame=true", "SAS vs UTA - Q3 02:43.00")</f>
        <v>SAS vs UTA - Q3 02:43.00</v>
      </c>
      <c r="M3147">
        <v>17</v>
      </c>
      <c r="N3147">
        <v>127</v>
      </c>
      <c r="O3147">
        <v>120</v>
      </c>
      <c r="P3147">
        <v>127</v>
      </c>
      <c r="Q3147">
        <v>120</v>
      </c>
      <c r="R3147" t="s">
        <v>21</v>
      </c>
      <c r="S3147" t="s">
        <v>21</v>
      </c>
    </row>
    <row r="3148" spans="1:19" hidden="1" x14ac:dyDescent="0.25">
      <c r="A3148">
        <v>21600441</v>
      </c>
      <c r="B3148" t="s">
        <v>18</v>
      </c>
      <c r="C3148" t="s">
        <v>36</v>
      </c>
      <c r="D3148">
        <v>14</v>
      </c>
      <c r="E3148">
        <v>20</v>
      </c>
      <c r="F3148">
        <v>6</v>
      </c>
      <c r="G3148">
        <v>1</v>
      </c>
      <c r="H3148" s="1">
        <v>2.1875000000000002E-3</v>
      </c>
      <c r="I3148">
        <v>2016</v>
      </c>
      <c r="J3148" t="s">
        <v>20</v>
      </c>
      <c r="K3148" s="2" t="str">
        <f>HYPERLINK("https://www.nba.com/stats/events?CFID=&amp;CFPARAMS=&amp;GameEventID=101&amp;GameID=0021600441&amp;Season=2016-17&amp;flag=1&amp;title=Leonard%2017'%20Pullup%20Jump%20Shot%20(6%20PTS)", "Leonard 17' Pullup Jump Shot (6 PTS)")</f>
        <v>Leonard 17' Pullup Jump Shot (6 PTS)</v>
      </c>
      <c r="L3148" s="2" t="str">
        <f>HYPERLINK("https://www.nba.com/game/...-vs-...-0021600441/play-by-play?watchFullGame=true", "SAS vs LAC - Q1 03:09.00")</f>
        <v>SAS vs LAC - Q1 03:09.00</v>
      </c>
      <c r="M3148">
        <v>17</v>
      </c>
      <c r="N3148">
        <v>127</v>
      </c>
      <c r="O3148">
        <v>120</v>
      </c>
      <c r="P3148">
        <v>127</v>
      </c>
      <c r="Q3148">
        <v>120</v>
      </c>
      <c r="R3148" t="s">
        <v>21</v>
      </c>
      <c r="S3148" t="s">
        <v>21</v>
      </c>
    </row>
    <row r="3149" spans="1:19" hidden="1" x14ac:dyDescent="0.25">
      <c r="A3149">
        <v>21501118</v>
      </c>
      <c r="B3149" t="s">
        <v>18</v>
      </c>
      <c r="C3149" t="s">
        <v>36</v>
      </c>
      <c r="D3149">
        <v>6</v>
      </c>
      <c r="E3149">
        <v>5</v>
      </c>
      <c r="F3149">
        <v>1</v>
      </c>
      <c r="G3149">
        <v>1</v>
      </c>
      <c r="H3149" s="1">
        <v>7.2337962962962963E-3</v>
      </c>
      <c r="I3149">
        <v>2015</v>
      </c>
      <c r="J3149" t="s">
        <v>20</v>
      </c>
      <c r="K3149" s="2" t="str">
        <f>HYPERLINK("https://www.nba.com/stats/events?CFID=&amp;CFPARAMS=&amp;GameEventID=12&amp;GameID=0021501118&amp;Season=2015-16&amp;flag=1&amp;title=Leonard%2018'%20Pullup%20Jump%20Shot%20(2%20PTS)", "Leonard 18' Pullup Jump Shot (2 PTS)")</f>
        <v>Leonard 18' Pullup Jump Shot (2 PTS)</v>
      </c>
      <c r="L3149" s="2" t="str">
        <f>HYPERLINK("https://www.nba.com/game/...-vs-...-0021501118/play-by-play?watchFullGame=true", "SAS vs NOP - Q1 10:25.00")</f>
        <v>SAS vs NOP - Q1 10:25.00</v>
      </c>
      <c r="M3149">
        <v>18</v>
      </c>
      <c r="N3149">
        <v>130</v>
      </c>
      <c r="O3149">
        <v>120</v>
      </c>
      <c r="P3149">
        <v>130</v>
      </c>
      <c r="Q3149">
        <v>120</v>
      </c>
      <c r="R3149" t="s">
        <v>21</v>
      </c>
      <c r="S3149" t="s">
        <v>21</v>
      </c>
    </row>
    <row r="3150" spans="1:19" hidden="1" x14ac:dyDescent="0.25">
      <c r="A3150">
        <v>41800114</v>
      </c>
      <c r="B3150" t="s">
        <v>18</v>
      </c>
      <c r="C3150" t="s">
        <v>36</v>
      </c>
      <c r="D3150">
        <v>60</v>
      </c>
      <c r="E3150">
        <v>42</v>
      </c>
      <c r="F3150">
        <v>18</v>
      </c>
      <c r="G3150">
        <v>3</v>
      </c>
      <c r="H3150" s="1">
        <v>7.6967592592592591E-3</v>
      </c>
      <c r="I3150" t="s">
        <v>60</v>
      </c>
      <c r="J3150" t="s">
        <v>48</v>
      </c>
      <c r="K3150" s="2" t="str">
        <f>HYPERLINK("https://www.nba.com/stats/events?CFID=&amp;CFPARAMS=&amp;GameEventID=301&amp;GameID=0041800114&amp;Season=2018-19&amp;flag=1&amp;title=Leonard%2017'%20Pullup%20Jump%20Shot%20(20%20PTS)", "Leonard 17' Pullup Jump Shot (20 PTS)")</f>
        <v>Leonard 17' Pullup Jump Shot (20 PTS)</v>
      </c>
      <c r="L3150" s="2" t="str">
        <f>HYPERLINK("https://www.nba.com/game/...-vs-...-0041800114/play-by-play?watchFullGame=true", "TOR vs ORL - Q3 11:05.00")</f>
        <v>TOR vs ORL - Q3 11:05.00</v>
      </c>
      <c r="M3150">
        <v>17</v>
      </c>
      <c r="N3150">
        <v>-116</v>
      </c>
      <c r="O3150">
        <v>121</v>
      </c>
      <c r="P3150">
        <v>-116</v>
      </c>
      <c r="Q3150">
        <v>121</v>
      </c>
      <c r="R3150" t="s">
        <v>21</v>
      </c>
      <c r="S3150" t="s">
        <v>21</v>
      </c>
    </row>
    <row r="3151" spans="1:19" hidden="1" x14ac:dyDescent="0.25">
      <c r="A3151">
        <v>41400164</v>
      </c>
      <c r="B3151" t="s">
        <v>18</v>
      </c>
      <c r="C3151" t="s">
        <v>36</v>
      </c>
      <c r="D3151">
        <v>70</v>
      </c>
      <c r="E3151">
        <v>69</v>
      </c>
      <c r="F3151">
        <v>1</v>
      </c>
      <c r="G3151">
        <v>3</v>
      </c>
      <c r="H3151" s="1">
        <v>1.9907407407407408E-3</v>
      </c>
      <c r="I3151" t="s">
        <v>56</v>
      </c>
      <c r="J3151" t="s">
        <v>20</v>
      </c>
      <c r="K3151" s="2" t="str">
        <f>HYPERLINK("https://www.nba.com/stats/events?CFID=&amp;CFPARAMS=&amp;GameEventID=344&amp;GameID=0041400164&amp;Season=2014-15&amp;flag=1&amp;title=Leonard%2018'%20Pullup%20Jump%20Shot%20(18%20PTS)", "Leonard 18' Pullup Jump Shot (18 PTS)")</f>
        <v>Leonard 18' Pullup Jump Shot (18 PTS)</v>
      </c>
      <c r="L3151" s="2" t="str">
        <f>HYPERLINK("https://www.nba.com/game/...-vs-...-0041400164/play-by-play?watchFullGame=true", "SAS vs LAC - Q3 02:52.00")</f>
        <v>SAS vs LAC - Q3 02:52.00</v>
      </c>
      <c r="M3151">
        <v>18</v>
      </c>
      <c r="N3151">
        <v>129</v>
      </c>
      <c r="O3151">
        <v>121</v>
      </c>
      <c r="P3151">
        <v>129</v>
      </c>
      <c r="Q3151">
        <v>121</v>
      </c>
      <c r="R3151" t="s">
        <v>21</v>
      </c>
      <c r="S3151" t="s">
        <v>21</v>
      </c>
    </row>
    <row r="3152" spans="1:19" hidden="1" x14ac:dyDescent="0.25">
      <c r="A3152">
        <v>21800316</v>
      </c>
      <c r="B3152" t="s">
        <v>18</v>
      </c>
      <c r="C3152" t="s">
        <v>19</v>
      </c>
      <c r="D3152">
        <v>26</v>
      </c>
      <c r="E3152">
        <v>14</v>
      </c>
      <c r="F3152">
        <v>12</v>
      </c>
      <c r="G3152">
        <v>1</v>
      </c>
      <c r="H3152" s="1">
        <v>3.3796296296296296E-3</v>
      </c>
      <c r="I3152">
        <v>2018</v>
      </c>
      <c r="J3152" t="s">
        <v>48</v>
      </c>
      <c r="K3152" s="2" t="str">
        <f>HYPERLINK("https://www.nba.com/stats/events?CFID=&amp;CFPARAMS=&amp;GameEventID=66&amp;GameID=0021800316&amp;Season=2018-19&amp;flag=1&amp;title=Leonard%2020'%20Jump%20Shot%20(9%20PTS)%20(Lowry%203%20AST)", "Leonard 20' Jump Shot (9 PTS) (Lowry 3 AST)")</f>
        <v>Leonard 20' Jump Shot (9 PTS) (Lowry 3 AST)</v>
      </c>
      <c r="L3152" s="2" t="str">
        <f>HYPERLINK("https://www.nba.com/game/...-vs-...-0021800316/play-by-play?watchFullGame=true", "TOR vs GSW - Q1 04:52.00")</f>
        <v>TOR vs GSW - Q1 04:52.00</v>
      </c>
      <c r="M3152">
        <v>20</v>
      </c>
      <c r="N3152">
        <v>-155</v>
      </c>
      <c r="O3152">
        <v>122</v>
      </c>
      <c r="P3152">
        <v>-155</v>
      </c>
      <c r="Q3152">
        <v>122</v>
      </c>
      <c r="R3152" t="s">
        <v>21</v>
      </c>
      <c r="S3152" t="s">
        <v>21</v>
      </c>
    </row>
    <row r="3153" spans="1:19" hidden="1" x14ac:dyDescent="0.25">
      <c r="A3153">
        <v>21300382</v>
      </c>
      <c r="B3153" t="s">
        <v>18</v>
      </c>
      <c r="C3153" t="s">
        <v>36</v>
      </c>
      <c r="D3153">
        <v>22</v>
      </c>
      <c r="E3153">
        <v>34</v>
      </c>
      <c r="F3153">
        <v>12</v>
      </c>
      <c r="G3153">
        <v>2</v>
      </c>
      <c r="H3153" s="1">
        <v>6.1111111111111114E-3</v>
      </c>
      <c r="I3153">
        <v>2013</v>
      </c>
      <c r="J3153" t="s">
        <v>20</v>
      </c>
      <c r="K3153" s="2" t="str">
        <f>HYPERLINK("https://www.nba.com/stats/events?CFID=&amp;CFPARAMS=&amp;GameEventID=146&amp;GameID=0021300382&amp;Season=2013-14&amp;flag=1&amp;title=Leonard%2016'%20Pullup%20Jump%20Shot%20(4%20PTS)", "Leonard 16' Pullup Jump Shot (4 PTS)")</f>
        <v>Leonard 16' Pullup Jump Shot (4 PTS)</v>
      </c>
      <c r="L3153" s="2" t="str">
        <f>HYPERLINK("https://www.nba.com/game/...-vs-...-0021300382/play-by-play?watchFullGame=true", "SAS vs GSW - Q2 08:48.00")</f>
        <v>SAS vs GSW - Q2 08:48.00</v>
      </c>
      <c r="M3153">
        <v>16</v>
      </c>
      <c r="N3153">
        <v>103</v>
      </c>
      <c r="O3153">
        <v>123</v>
      </c>
      <c r="P3153">
        <v>103</v>
      </c>
      <c r="Q3153">
        <v>123</v>
      </c>
      <c r="R3153" t="s">
        <v>21</v>
      </c>
      <c r="S3153" t="s">
        <v>21</v>
      </c>
    </row>
    <row r="3154" spans="1:19" hidden="1" x14ac:dyDescent="0.25">
      <c r="A3154">
        <v>21801001</v>
      </c>
      <c r="B3154" t="s">
        <v>18</v>
      </c>
      <c r="C3154" t="s">
        <v>36</v>
      </c>
      <c r="D3154">
        <v>52</v>
      </c>
      <c r="E3154">
        <v>56</v>
      </c>
      <c r="F3154">
        <v>4</v>
      </c>
      <c r="G3154">
        <v>2</v>
      </c>
      <c r="H3154" s="1">
        <v>7.5231481481481482E-4</v>
      </c>
      <c r="I3154">
        <v>2018</v>
      </c>
      <c r="J3154" t="s">
        <v>48</v>
      </c>
      <c r="K3154" s="2" t="str">
        <f>HYPERLINK("https://www.nba.com/stats/events?CFID=&amp;CFPARAMS=&amp;GameEventID=330&amp;GameID=0021801001&amp;Season=2018-19&amp;flag=1&amp;title=Leonard%2020'%20Pullup%20Jump%20Shot%20(13%20PTS)", "Leonard 20' Pullup Jump Shot (13 PTS)")</f>
        <v>Leonard 20' Pullup Jump Shot (13 PTS)</v>
      </c>
      <c r="L3154" s="2" t="str">
        <f>HYPERLINK("https://www.nba.com/game/...-vs-...-0021801001/play-by-play?watchFullGame=true", "TOR vs CLE - Q2 01:05.00")</f>
        <v>TOR vs CLE - Q2 01:05.00</v>
      </c>
      <c r="M3154">
        <v>20</v>
      </c>
      <c r="N3154">
        <v>-155</v>
      </c>
      <c r="O3154">
        <v>124</v>
      </c>
      <c r="P3154">
        <v>-155</v>
      </c>
      <c r="Q3154">
        <v>124</v>
      </c>
      <c r="R3154" t="s">
        <v>21</v>
      </c>
      <c r="S3154" t="s">
        <v>21</v>
      </c>
    </row>
    <row r="3155" spans="1:19" hidden="1" x14ac:dyDescent="0.25">
      <c r="A3155">
        <v>21600942</v>
      </c>
      <c r="B3155" t="s">
        <v>18</v>
      </c>
      <c r="C3155" t="s">
        <v>36</v>
      </c>
      <c r="D3155">
        <v>34</v>
      </c>
      <c r="E3155">
        <v>47</v>
      </c>
      <c r="F3155">
        <v>13</v>
      </c>
      <c r="G3155">
        <v>2</v>
      </c>
      <c r="H3155" s="1">
        <v>4.3518518518518515E-3</v>
      </c>
      <c r="I3155">
        <v>2016</v>
      </c>
      <c r="J3155" t="s">
        <v>20</v>
      </c>
      <c r="K3155" s="2" t="str">
        <f>HYPERLINK("https://www.nba.com/stats/events?CFID=&amp;CFPARAMS=&amp;GameEventID=159&amp;GameID=0021600942&amp;Season=2016-17&amp;flag=1&amp;title=Leonard%2017'%20Pullup%20Jump%20Shot%20(12%20PTS)", "Leonard 17' Pullup Jump Shot (12 PTS)")</f>
        <v>Leonard 17' Pullup Jump Shot (12 PTS)</v>
      </c>
      <c r="L3155" s="2" t="str">
        <f>HYPERLINK("https://www.nba.com/game/...-vs-...-0021600942/play-by-play?watchFullGame=true", "SAS vs HOU - Q2 06:16.00")</f>
        <v>SAS vs HOU - Q2 06:16.00</v>
      </c>
      <c r="M3155">
        <v>17</v>
      </c>
      <c r="N3155">
        <v>-117</v>
      </c>
      <c r="O3155">
        <v>124</v>
      </c>
      <c r="P3155">
        <v>-117</v>
      </c>
      <c r="Q3155">
        <v>124</v>
      </c>
      <c r="R3155" t="s">
        <v>21</v>
      </c>
      <c r="S3155" t="s">
        <v>21</v>
      </c>
    </row>
    <row r="3156" spans="1:19" hidden="1" x14ac:dyDescent="0.25">
      <c r="A3156">
        <v>21600942</v>
      </c>
      <c r="B3156" t="s">
        <v>18</v>
      </c>
      <c r="C3156" t="s">
        <v>36</v>
      </c>
      <c r="D3156">
        <v>69</v>
      </c>
      <c r="E3156">
        <v>71</v>
      </c>
      <c r="F3156">
        <v>2</v>
      </c>
      <c r="G3156">
        <v>3</v>
      </c>
      <c r="H3156" s="1">
        <v>3.3912037037037036E-3</v>
      </c>
      <c r="I3156">
        <v>2016</v>
      </c>
      <c r="J3156" t="s">
        <v>20</v>
      </c>
      <c r="K3156" s="2" t="str">
        <f>HYPERLINK("https://www.nba.com/stats/events?CFID=&amp;CFPARAMS=&amp;GameEventID=270&amp;GameID=0021600942&amp;Season=2016-17&amp;flag=1&amp;title=Leonard%2017'%20Pullup%20Jump%20Shot%20(18%20PTS)", "Leonard 17' Pullup Jump Shot (18 PTS)")</f>
        <v>Leonard 17' Pullup Jump Shot (18 PTS)</v>
      </c>
      <c r="L3156" s="2" t="str">
        <f>HYPERLINK("https://www.nba.com/game/...-vs-...-0021600942/play-by-play?watchFullGame=true", "SAS vs HOU - Q3 04:53.00")</f>
        <v>SAS vs HOU - Q3 04:53.00</v>
      </c>
      <c r="M3156">
        <v>17</v>
      </c>
      <c r="N3156">
        <v>-114</v>
      </c>
      <c r="O3156">
        <v>124</v>
      </c>
      <c r="P3156">
        <v>-114</v>
      </c>
      <c r="Q3156">
        <v>124</v>
      </c>
      <c r="R3156" t="s">
        <v>21</v>
      </c>
      <c r="S3156" t="s">
        <v>21</v>
      </c>
    </row>
    <row r="3157" spans="1:19" hidden="1" x14ac:dyDescent="0.25">
      <c r="A3157">
        <v>21601085</v>
      </c>
      <c r="B3157" t="s">
        <v>18</v>
      </c>
      <c r="C3157" t="s">
        <v>36</v>
      </c>
      <c r="D3157">
        <v>103</v>
      </c>
      <c r="E3157">
        <v>90</v>
      </c>
      <c r="F3157">
        <v>13</v>
      </c>
      <c r="G3157">
        <v>4</v>
      </c>
      <c r="H3157" s="1">
        <v>2.3148148148148147E-3</v>
      </c>
      <c r="I3157">
        <v>2016</v>
      </c>
      <c r="J3157" t="s">
        <v>20</v>
      </c>
      <c r="K3157" s="2" t="str">
        <f>HYPERLINK("https://www.nba.com/stats/events?CFID=&amp;CFPARAMS=&amp;GameEventID=465&amp;GameID=0021601085&amp;Season=2016-17&amp;flag=1&amp;title=Leonard%2018'%20Pullup%20Jump%20Shot%20(26%20PTS)%20(Aldridge%202%20AST)", "Leonard 18' Pullup Jump Shot (26 PTS) (Aldridge 2 AST)")</f>
        <v>Leonard 18' Pullup Jump Shot (26 PTS) (Aldridge 2 AST)</v>
      </c>
      <c r="L3157" s="2" t="str">
        <f>HYPERLINK("https://www.nba.com/game/...-vs-...-0021601085/play-by-play?watchFullGame=true", "SAS vs NYK - Q4 03:20.00")</f>
        <v>SAS vs NYK - Q4 03:20.00</v>
      </c>
      <c r="M3157">
        <v>18</v>
      </c>
      <c r="N3157">
        <v>130</v>
      </c>
      <c r="O3157">
        <v>124</v>
      </c>
      <c r="P3157">
        <v>130</v>
      </c>
      <c r="Q3157">
        <v>124</v>
      </c>
      <c r="R3157" t="s">
        <v>21</v>
      </c>
      <c r="S3157" t="s">
        <v>21</v>
      </c>
    </row>
    <row r="3158" spans="1:19" hidden="1" x14ac:dyDescent="0.25">
      <c r="A3158">
        <v>41800305</v>
      </c>
      <c r="B3158" t="s">
        <v>18</v>
      </c>
      <c r="C3158" t="s">
        <v>36</v>
      </c>
      <c r="D3158">
        <v>38</v>
      </c>
      <c r="E3158">
        <v>34</v>
      </c>
      <c r="F3158">
        <v>4</v>
      </c>
      <c r="G3158">
        <v>2</v>
      </c>
      <c r="H3158" s="1">
        <v>3.1944444444444446E-3</v>
      </c>
      <c r="I3158" t="s">
        <v>60</v>
      </c>
      <c r="J3158" t="s">
        <v>48</v>
      </c>
      <c r="K3158" s="2" t="str">
        <f>HYPERLINK("https://www.nba.com/stats/events?CFID=&amp;CFPARAMS=&amp;GameEventID=270&amp;GameID=0041800305&amp;Season=2018-19&amp;flag=1&amp;title=Leonard%2019'%20Pullup%20Jump%20Shot%20(13%20PTS)", "Leonard 19' Pullup Jump Shot (13 PTS)")</f>
        <v>Leonard 19' Pullup Jump Shot (13 PTS)</v>
      </c>
      <c r="L3158" s="2" t="str">
        <f>HYPERLINK("https://www.nba.com/game/...-vs-...-0041800305/play-by-play?watchFullGame=true", "TOR vs MIL - Q2 04:36.00")</f>
        <v>TOR vs MIL - Q2 04:36.00</v>
      </c>
      <c r="M3158">
        <v>19</v>
      </c>
      <c r="N3158">
        <v>139</v>
      </c>
      <c r="O3158">
        <v>124</v>
      </c>
      <c r="P3158">
        <v>139</v>
      </c>
      <c r="Q3158">
        <v>124</v>
      </c>
      <c r="R3158" t="s">
        <v>21</v>
      </c>
      <c r="S3158" t="s">
        <v>21</v>
      </c>
    </row>
    <row r="3159" spans="1:19" hidden="1" x14ac:dyDescent="0.25">
      <c r="A3159">
        <v>21600575</v>
      </c>
      <c r="B3159" t="s">
        <v>18</v>
      </c>
      <c r="C3159" t="s">
        <v>19</v>
      </c>
      <c r="D3159">
        <v>97</v>
      </c>
      <c r="E3159">
        <v>92</v>
      </c>
      <c r="F3159">
        <v>5</v>
      </c>
      <c r="G3159">
        <v>4</v>
      </c>
      <c r="H3159" s="1">
        <v>5.0231481481481481E-3</v>
      </c>
      <c r="I3159">
        <v>2016</v>
      </c>
      <c r="J3159" t="s">
        <v>20</v>
      </c>
      <c r="K3159" s="2" t="str">
        <f>HYPERLINK("https://www.nba.com/stats/events?CFID=&amp;CFPARAMS=&amp;GameEventID=408&amp;GameID=0021600575&amp;Season=2016-17&amp;flag=1&amp;title=Leonard%2020'%20Jump%20Shot%20(27%20PTS)", "Leonard 20' Jump Shot (27 PTS)")</f>
        <v>Leonard 20' Jump Shot (27 PTS)</v>
      </c>
      <c r="L3159" s="2" t="str">
        <f>HYPERLINK("https://www.nba.com/game/...-vs-...-0021600575/play-by-play?watchFullGame=true", "SAS vs MIL - Q4 07:14.00")</f>
        <v>SAS vs MIL - Q4 07:14.00</v>
      </c>
      <c r="M3159">
        <v>20</v>
      </c>
      <c r="N3159">
        <v>155</v>
      </c>
      <c r="O3159">
        <v>124</v>
      </c>
      <c r="P3159">
        <v>155</v>
      </c>
      <c r="Q3159">
        <v>124</v>
      </c>
      <c r="R3159" t="s">
        <v>21</v>
      </c>
      <c r="S3159" t="s">
        <v>21</v>
      </c>
    </row>
    <row r="3160" spans="1:19" hidden="1" x14ac:dyDescent="0.25">
      <c r="A3160">
        <v>21600182</v>
      </c>
      <c r="B3160" t="s">
        <v>18</v>
      </c>
      <c r="C3160" t="s">
        <v>19</v>
      </c>
      <c r="D3160">
        <v>40</v>
      </c>
      <c r="E3160">
        <v>29</v>
      </c>
      <c r="F3160">
        <v>11</v>
      </c>
      <c r="G3160">
        <v>2</v>
      </c>
      <c r="H3160" s="1">
        <v>4.43287037037037E-3</v>
      </c>
      <c r="I3160">
        <v>2016</v>
      </c>
      <c r="J3160" t="s">
        <v>20</v>
      </c>
      <c r="K3160" s="2" t="str">
        <f>HYPERLINK("https://www.nba.com/stats/events?CFID=&amp;CFPARAMS=&amp;GameEventID=187&amp;GameID=0021600182&amp;Season=2016-17&amp;flag=1&amp;title=Leonard%2020'%20Jump%20Shot%20(4%20PTS)%20(Parker%204%20AST)", "Leonard 20' Jump Shot (4 PTS) (Parker 4 AST)")</f>
        <v>Leonard 20' Jump Shot (4 PTS) (Parker 4 AST)</v>
      </c>
      <c r="L3160" s="2" t="str">
        <f>HYPERLINK("https://www.nba.com/game/...-vs-...-0021600182/play-by-play?watchFullGame=true", "SAS vs LAL - Q2 06:23.00")</f>
        <v>SAS vs LAL - Q2 06:23.00</v>
      </c>
      <c r="M3160">
        <v>20</v>
      </c>
      <c r="N3160">
        <v>-155</v>
      </c>
      <c r="O3160">
        <v>125</v>
      </c>
      <c r="P3160">
        <v>-155</v>
      </c>
      <c r="Q3160">
        <v>125</v>
      </c>
      <c r="R3160" t="s">
        <v>21</v>
      </c>
      <c r="S3160" t="s">
        <v>21</v>
      </c>
    </row>
    <row r="3161" spans="1:19" hidden="1" x14ac:dyDescent="0.25">
      <c r="A3161">
        <v>21800739</v>
      </c>
      <c r="B3161" t="s">
        <v>18</v>
      </c>
      <c r="C3161" t="s">
        <v>39</v>
      </c>
      <c r="D3161">
        <v>60</v>
      </c>
      <c r="E3161">
        <v>50</v>
      </c>
      <c r="F3161">
        <v>10</v>
      </c>
      <c r="G3161">
        <v>2</v>
      </c>
      <c r="H3161" s="1">
        <v>2.9861111111111113E-3</v>
      </c>
      <c r="I3161">
        <v>2018</v>
      </c>
      <c r="J3161" t="s">
        <v>48</v>
      </c>
      <c r="K3161" s="2" t="str">
        <f>HYPERLINK("https://www.nba.com/stats/events?CFID=&amp;CFPARAMS=&amp;GameEventID=287&amp;GameID=0021800739&amp;Season=2018-19&amp;flag=1&amp;title=Leonard%2016'%20Step%20Back%20Jump%20Shot%20(14%20PTS)", "Leonard 16' Step Back Jump Shot (14 PTS)")</f>
        <v>Leonard 16' Step Back Jump Shot (14 PTS)</v>
      </c>
      <c r="L3161" s="2" t="str">
        <f>HYPERLINK("https://www.nba.com/game/...-vs-...-0021800739/play-by-play?watchFullGame=true", "TOR vs DAL - Q2 04:18.00")</f>
        <v>TOR vs DAL - Q2 04:18.00</v>
      </c>
      <c r="M3161">
        <v>16</v>
      </c>
      <c r="N3161">
        <v>103</v>
      </c>
      <c r="O3161">
        <v>125</v>
      </c>
      <c r="P3161">
        <v>103</v>
      </c>
      <c r="Q3161">
        <v>125</v>
      </c>
      <c r="R3161" t="s">
        <v>21</v>
      </c>
      <c r="S3161" t="s">
        <v>21</v>
      </c>
    </row>
    <row r="3162" spans="1:19" hidden="1" x14ac:dyDescent="0.25">
      <c r="A3162">
        <v>21801214</v>
      </c>
      <c r="B3162" t="s">
        <v>18</v>
      </c>
      <c r="C3162" t="s">
        <v>36</v>
      </c>
      <c r="D3162">
        <v>51</v>
      </c>
      <c r="E3162">
        <v>42</v>
      </c>
      <c r="F3162">
        <v>9</v>
      </c>
      <c r="G3162">
        <v>2</v>
      </c>
      <c r="H3162" s="1">
        <v>3.414351851851852E-3</v>
      </c>
      <c r="I3162">
        <v>2018</v>
      </c>
      <c r="J3162" t="s">
        <v>48</v>
      </c>
      <c r="K3162" s="2" t="str">
        <f>HYPERLINK("https://www.nba.com/stats/events?CFID=&amp;CFPARAMS=&amp;GameEventID=261&amp;GameID=0021801214&amp;Season=2018-19&amp;flag=1&amp;title=Leonard%2016'%20Pullup%20Jump%20Shot%20(7%20PTS)", "Leonard 16' Pullup Jump Shot (7 PTS)")</f>
        <v>Leonard 16' Pullup Jump Shot (7 PTS)</v>
      </c>
      <c r="L3162" s="2" t="str">
        <f>HYPERLINK("https://www.nba.com/game/...-vs-...-0021801214/play-by-play?watchFullGame=true", "TOR vs MIN - Q2 04:55.00")</f>
        <v>TOR vs MIN - Q2 04:55.00</v>
      </c>
      <c r="M3162">
        <v>16</v>
      </c>
      <c r="N3162">
        <v>106</v>
      </c>
      <c r="O3162">
        <v>125</v>
      </c>
      <c r="P3162">
        <v>106</v>
      </c>
      <c r="Q3162">
        <v>125</v>
      </c>
      <c r="R3162" t="s">
        <v>21</v>
      </c>
      <c r="S3162" t="s">
        <v>21</v>
      </c>
    </row>
    <row r="3163" spans="1:19" hidden="1" x14ac:dyDescent="0.25">
      <c r="A3163">
        <v>21800388</v>
      </c>
      <c r="B3163" t="s">
        <v>18</v>
      </c>
      <c r="C3163" t="s">
        <v>36</v>
      </c>
      <c r="D3163">
        <v>89</v>
      </c>
      <c r="E3163">
        <v>90</v>
      </c>
      <c r="F3163">
        <v>1</v>
      </c>
      <c r="G3163">
        <v>4</v>
      </c>
      <c r="H3163" s="1">
        <v>3.3449074074074076E-3</v>
      </c>
      <c r="I3163">
        <v>2018</v>
      </c>
      <c r="J3163" t="s">
        <v>48</v>
      </c>
      <c r="K3163" s="2" t="str">
        <f>HYPERLINK("https://www.nba.com/stats/events?CFID=&amp;CFPARAMS=&amp;GameEventID=614&amp;GameID=0021800388&amp;Season=2018-19&amp;flag=1&amp;title=Leonard%2017'%20Pullup%20Jump%20Shot%20(15%20PTS)", "Leonard 17' Pullup Jump Shot (15 PTS)")</f>
        <v>Leonard 17' Pullup Jump Shot (15 PTS)</v>
      </c>
      <c r="L3163" s="2" t="str">
        <f>HYPERLINK("https://www.nba.com/game/...-vs-...-0021800388/play-by-play?watchFullGame=true", "TOR vs MIL - Q4 04:49.00")</f>
        <v>TOR vs MIL - Q4 04:49.00</v>
      </c>
      <c r="M3163">
        <v>17</v>
      </c>
      <c r="N3163">
        <v>109</v>
      </c>
      <c r="O3163">
        <v>125</v>
      </c>
      <c r="P3163">
        <v>109</v>
      </c>
      <c r="Q3163">
        <v>125</v>
      </c>
      <c r="R3163" t="s">
        <v>21</v>
      </c>
      <c r="S3163" t="s">
        <v>21</v>
      </c>
    </row>
    <row r="3164" spans="1:19" hidden="1" x14ac:dyDescent="0.25">
      <c r="A3164">
        <v>21801098</v>
      </c>
      <c r="B3164" t="s">
        <v>18</v>
      </c>
      <c r="C3164" t="s">
        <v>19</v>
      </c>
      <c r="D3164">
        <v>67</v>
      </c>
      <c r="E3164">
        <v>71</v>
      </c>
      <c r="F3164">
        <v>4</v>
      </c>
      <c r="G3164">
        <v>3</v>
      </c>
      <c r="H3164" s="1">
        <v>5.0000000000000001E-3</v>
      </c>
      <c r="I3164">
        <v>2018</v>
      </c>
      <c r="J3164" t="s">
        <v>48</v>
      </c>
      <c r="K3164" s="2" t="str">
        <f>HYPERLINK("https://www.nba.com/stats/events?CFID=&amp;CFPARAMS=&amp;GameEventID=386&amp;GameID=0021801098&amp;Season=2018-19&amp;flag=1&amp;title=Leonard%2018'%20Jump%20Shot%20(18%20PTS)%20(Lowry%206%20AST)", "Leonard 18' Jump Shot (18 PTS) (Lowry 6 AST)")</f>
        <v>Leonard 18' Jump Shot (18 PTS) (Lowry 6 AST)</v>
      </c>
      <c r="L3164" s="2" t="str">
        <f>HYPERLINK("https://www.nba.com/game/...-vs-...-0021801098/play-by-play?watchFullGame=true", "TOR vs CHA - Q3 07:12.00")</f>
        <v>TOR vs CHA - Q3 07:12.00</v>
      </c>
      <c r="M3164">
        <v>18</v>
      </c>
      <c r="N3164">
        <v>125</v>
      </c>
      <c r="O3164">
        <v>125</v>
      </c>
      <c r="P3164">
        <v>125</v>
      </c>
      <c r="Q3164">
        <v>125</v>
      </c>
      <c r="R3164" t="s">
        <v>21</v>
      </c>
      <c r="S3164" t="s">
        <v>21</v>
      </c>
    </row>
    <row r="3165" spans="1:19" hidden="1" x14ac:dyDescent="0.25">
      <c r="A3165">
        <v>21801098</v>
      </c>
      <c r="B3165" t="s">
        <v>18</v>
      </c>
      <c r="C3165" t="s">
        <v>19</v>
      </c>
      <c r="D3165">
        <v>114</v>
      </c>
      <c r="E3165">
        <v>112</v>
      </c>
      <c r="F3165">
        <v>2</v>
      </c>
      <c r="G3165">
        <v>4</v>
      </c>
      <c r="H3165" s="1">
        <v>5.2430555555555553E-4</v>
      </c>
      <c r="I3165">
        <v>2018</v>
      </c>
      <c r="J3165" t="s">
        <v>48</v>
      </c>
      <c r="K3165" s="2" t="str">
        <f>HYPERLINK("https://www.nba.com/stats/events?CFID=&amp;CFPARAMS=&amp;GameEventID=627&amp;GameID=0021801098&amp;Season=2018-19&amp;flag=1&amp;title=Leonard%2018'%20Jump%20Shot%20(28%20PTS)", "Leonard 18' Jump Shot (28 PTS)")</f>
        <v>Leonard 18' Jump Shot (28 PTS)</v>
      </c>
      <c r="L3165" s="2" t="str">
        <f>HYPERLINK("https://www.nba.com/game/...-vs-...-0021801098/play-by-play?watchFullGame=true", "TOR vs CHA - Q4 00:45.30")</f>
        <v>TOR vs CHA - Q4 00:45.30</v>
      </c>
      <c r="M3165">
        <v>18</v>
      </c>
      <c r="N3165">
        <v>128</v>
      </c>
      <c r="O3165">
        <v>125</v>
      </c>
      <c r="P3165">
        <v>128</v>
      </c>
      <c r="Q3165">
        <v>125</v>
      </c>
      <c r="R3165" t="s">
        <v>21</v>
      </c>
      <c r="S3165" t="s">
        <v>21</v>
      </c>
    </row>
    <row r="3166" spans="1:19" hidden="1" x14ac:dyDescent="0.25">
      <c r="A3166">
        <v>41300224</v>
      </c>
      <c r="B3166" t="s">
        <v>18</v>
      </c>
      <c r="C3166" t="s">
        <v>19</v>
      </c>
      <c r="D3166">
        <v>40</v>
      </c>
      <c r="E3166">
        <v>42</v>
      </c>
      <c r="F3166">
        <v>2</v>
      </c>
      <c r="G3166">
        <v>2</v>
      </c>
      <c r="H3166" s="1">
        <v>3.0902777777777777E-3</v>
      </c>
      <c r="I3166" t="s">
        <v>55</v>
      </c>
      <c r="J3166" t="s">
        <v>20</v>
      </c>
      <c r="K3166" s="2" t="str">
        <f>HYPERLINK("https://www.nba.com/stats/events?CFID=&amp;CFPARAMS=&amp;GameEventID=211&amp;GameID=0041300224&amp;Season=2013-14&amp;flag=1&amp;title=Leonard%2020'%20Jump%20Shot%20(6%20PTS)", "Leonard 20' Jump Shot (6 PTS)")</f>
        <v>Leonard 20' Jump Shot (6 PTS)</v>
      </c>
      <c r="L3166" s="2" t="str">
        <f>HYPERLINK("https://www.nba.com/game/...-vs-...-0041300224/play-by-play?watchFullGame=true", "SAS vs POR - Q2 04:27.00")</f>
        <v>SAS vs POR - Q2 04:27.00</v>
      </c>
      <c r="M3166">
        <v>20</v>
      </c>
      <c r="N3166">
        <v>-161</v>
      </c>
      <c r="O3166">
        <v>126</v>
      </c>
      <c r="P3166">
        <v>-161</v>
      </c>
      <c r="Q3166">
        <v>126</v>
      </c>
      <c r="R3166" t="s">
        <v>21</v>
      </c>
      <c r="S3166" t="s">
        <v>21</v>
      </c>
    </row>
    <row r="3167" spans="1:19" hidden="1" x14ac:dyDescent="0.25">
      <c r="A3167">
        <v>21800248</v>
      </c>
      <c r="B3167" t="s">
        <v>18</v>
      </c>
      <c r="C3167" t="s">
        <v>39</v>
      </c>
      <c r="D3167">
        <v>59</v>
      </c>
      <c r="E3167">
        <v>56</v>
      </c>
      <c r="F3167">
        <v>3</v>
      </c>
      <c r="G3167">
        <v>3</v>
      </c>
      <c r="H3167" s="1">
        <v>4.31712962962963E-3</v>
      </c>
      <c r="I3167">
        <v>2018</v>
      </c>
      <c r="J3167" t="s">
        <v>48</v>
      </c>
      <c r="K3167" s="2" t="str">
        <f>HYPERLINK("https://www.nba.com/stats/events?CFID=&amp;CFPARAMS=&amp;GameEventID=360&amp;GameID=0021800248&amp;Season=2018-19&amp;flag=1&amp;title=Leonard%2016'%20Step%20Back%20Jump%20Shot%20(14%20PTS)", "Leonard 16' Step Back Jump Shot (14 PTS)")</f>
        <v>Leonard 16' Step Back Jump Shot (14 PTS)</v>
      </c>
      <c r="L3167" s="2" t="str">
        <f>HYPERLINK("https://www.nba.com/game/...-vs-...-0021800248/play-by-play?watchFullGame=true", "TOR vs ORL - Q3 06:13.00")</f>
        <v>TOR vs ORL - Q3 06:13.00</v>
      </c>
      <c r="M3167">
        <v>16</v>
      </c>
      <c r="N3167">
        <v>96</v>
      </c>
      <c r="O3167">
        <v>126</v>
      </c>
      <c r="P3167">
        <v>96</v>
      </c>
      <c r="Q3167">
        <v>126</v>
      </c>
      <c r="R3167" t="s">
        <v>21</v>
      </c>
      <c r="S3167" t="s">
        <v>21</v>
      </c>
    </row>
    <row r="3168" spans="1:19" hidden="1" x14ac:dyDescent="0.25">
      <c r="A3168">
        <v>21500061</v>
      </c>
      <c r="B3168" t="s">
        <v>18</v>
      </c>
      <c r="C3168" t="s">
        <v>38</v>
      </c>
      <c r="D3168">
        <v>10</v>
      </c>
      <c r="E3168">
        <v>19</v>
      </c>
      <c r="F3168">
        <v>9</v>
      </c>
      <c r="G3168">
        <v>1</v>
      </c>
      <c r="H3168" s="1">
        <v>3.0439814814814813E-3</v>
      </c>
      <c r="I3168">
        <v>2015</v>
      </c>
      <c r="J3168" t="s">
        <v>20</v>
      </c>
      <c r="K3168" s="2" t="str">
        <f>HYPERLINK("https://www.nba.com/stats/events?CFID=&amp;CFPARAMS=&amp;GameEventID=69&amp;GameID=0021500061&amp;Season=2015-16&amp;flag=1&amp;title=Leonard%2016'%20Turnaround%20Fadeaway%20(4%20PTS)", "Leonard 16' Turnaround Fadeaway (4 PTS)")</f>
        <v>Leonard 16' Turnaround Fadeaway (4 PTS)</v>
      </c>
      <c r="L3168" s="2" t="str">
        <f>HYPERLINK("https://www.nba.com/game/...-vs-...-0021500061/play-by-play?watchFullGame=true", "SAS vs WAS - Q1 04:23.00")</f>
        <v>SAS vs WAS - Q1 04:23.00</v>
      </c>
      <c r="M3168">
        <v>16</v>
      </c>
      <c r="N3168">
        <v>101</v>
      </c>
      <c r="O3168">
        <v>126</v>
      </c>
      <c r="P3168">
        <v>101</v>
      </c>
      <c r="Q3168">
        <v>126</v>
      </c>
      <c r="R3168" t="s">
        <v>21</v>
      </c>
      <c r="S3168" t="s">
        <v>21</v>
      </c>
    </row>
    <row r="3169" spans="1:19" hidden="1" x14ac:dyDescent="0.25">
      <c r="A3169">
        <v>21600575</v>
      </c>
      <c r="B3169" t="s">
        <v>18</v>
      </c>
      <c r="C3169" t="s">
        <v>19</v>
      </c>
      <c r="D3169">
        <v>2</v>
      </c>
      <c r="E3169">
        <v>0</v>
      </c>
      <c r="F3169">
        <v>2</v>
      </c>
      <c r="G3169">
        <v>1</v>
      </c>
      <c r="H3169" s="1">
        <v>7.8125E-3</v>
      </c>
      <c r="I3169">
        <v>2016</v>
      </c>
      <c r="J3169" t="s">
        <v>20</v>
      </c>
      <c r="K3169" s="2" t="str">
        <f>HYPERLINK("https://www.nba.com/stats/events?CFID=&amp;CFPARAMS=&amp;GameEventID=6&amp;GameID=0021600575&amp;Season=2016-17&amp;flag=1&amp;title=Leonard%2018'%20Jump%20Shot%20(2%20PTS)%20(Lee%201%20AST)", "Leonard 18' Jump Shot (2 PTS) (Lee 1 AST)")</f>
        <v>Leonard 18' Jump Shot (2 PTS) (Lee 1 AST)</v>
      </c>
      <c r="L3169" s="2" t="str">
        <f>HYPERLINK("https://www.nba.com/game/...-vs-...-0021600575/play-by-play?watchFullGame=true", "SAS vs MIL - Q1 11:15.00")</f>
        <v>SAS vs MIL - Q1 11:15.00</v>
      </c>
      <c r="M3169">
        <v>18</v>
      </c>
      <c r="N3169">
        <v>132</v>
      </c>
      <c r="O3169">
        <v>126</v>
      </c>
      <c r="P3169">
        <v>132</v>
      </c>
      <c r="Q3169">
        <v>126</v>
      </c>
      <c r="R3169" t="s">
        <v>21</v>
      </c>
      <c r="S3169" t="s">
        <v>21</v>
      </c>
    </row>
    <row r="3170" spans="1:19" hidden="1" x14ac:dyDescent="0.25">
      <c r="A3170">
        <v>41600154</v>
      </c>
      <c r="B3170" t="s">
        <v>18</v>
      </c>
      <c r="C3170" t="s">
        <v>37</v>
      </c>
      <c r="D3170">
        <v>96</v>
      </c>
      <c r="E3170">
        <v>94</v>
      </c>
      <c r="F3170">
        <v>2</v>
      </c>
      <c r="G3170">
        <v>4</v>
      </c>
      <c r="H3170" s="1">
        <v>1.3888888888888889E-4</v>
      </c>
      <c r="I3170" t="s">
        <v>58</v>
      </c>
      <c r="J3170" t="s">
        <v>20</v>
      </c>
      <c r="K3170" s="2" t="str">
        <f>HYPERLINK("https://www.nba.com/stats/events?CFID=&amp;CFPARAMS=&amp;GameEventID=503&amp;GameID=0041600154&amp;Season=2016-17&amp;flag=1&amp;title=Leonard%2019'%20Fadeaway%20Jumper%20(35%20PTS)", "Leonard 19' Fadeaway Jumper (35 PTS)")</f>
        <v>Leonard 19' Fadeaway Jumper (35 PTS)</v>
      </c>
      <c r="L3170" s="2" t="str">
        <f>HYPERLINK("https://www.nba.com/game/...-vs-...-0041600154/play-by-play?watchFullGame=true", "SAS vs MEM - Q4 00:12.00")</f>
        <v>SAS vs MEM - Q4 00:12.00</v>
      </c>
      <c r="M3170">
        <v>19</v>
      </c>
      <c r="N3170">
        <v>143</v>
      </c>
      <c r="O3170">
        <v>126</v>
      </c>
      <c r="P3170">
        <v>143</v>
      </c>
      <c r="Q3170">
        <v>126</v>
      </c>
      <c r="R3170" t="s">
        <v>21</v>
      </c>
      <c r="S3170" t="s">
        <v>21</v>
      </c>
    </row>
    <row r="3171" spans="1:19" hidden="1" x14ac:dyDescent="0.25">
      <c r="A3171">
        <v>21501018</v>
      </c>
      <c r="B3171" t="s">
        <v>18</v>
      </c>
      <c r="C3171" t="s">
        <v>36</v>
      </c>
      <c r="D3171">
        <v>109</v>
      </c>
      <c r="E3171">
        <v>94</v>
      </c>
      <c r="F3171">
        <v>15</v>
      </c>
      <c r="G3171">
        <v>4</v>
      </c>
      <c r="H3171" s="1">
        <v>3.1134259259259257E-3</v>
      </c>
      <c r="I3171">
        <v>2015</v>
      </c>
      <c r="J3171" t="s">
        <v>20</v>
      </c>
      <c r="K3171" s="2" t="str">
        <f>HYPERLINK("https://www.nba.com/stats/events?CFID=&amp;CFPARAMS=&amp;GameEventID=498&amp;GameID=0021501018&amp;Season=2015-16&amp;flag=1&amp;title=Leonard%2020'%20Pullup%20Jump%20Shot%20(19%20PTS)", "Leonard 20' Pullup Jump Shot (19 PTS)")</f>
        <v>Leonard 20' Pullup Jump Shot (19 PTS)</v>
      </c>
      <c r="L3171" s="2" t="str">
        <f>HYPERLINK("https://www.nba.com/game/...-vs-...-0021501018/play-by-play?watchFullGame=true", "SAS vs POR - Q4 04:29.00")</f>
        <v>SAS vs POR - Q4 04:29.00</v>
      </c>
      <c r="M3171">
        <v>20</v>
      </c>
      <c r="N3171">
        <v>153</v>
      </c>
      <c r="O3171">
        <v>126</v>
      </c>
      <c r="P3171">
        <v>153</v>
      </c>
      <c r="Q3171">
        <v>126</v>
      </c>
      <c r="R3171" t="s">
        <v>21</v>
      </c>
      <c r="S3171" t="s">
        <v>21</v>
      </c>
    </row>
    <row r="3172" spans="1:19" hidden="1" x14ac:dyDescent="0.25">
      <c r="A3172">
        <v>41200405</v>
      </c>
      <c r="B3172" t="s">
        <v>18</v>
      </c>
      <c r="C3172" t="s">
        <v>19</v>
      </c>
      <c r="D3172">
        <v>12</v>
      </c>
      <c r="E3172">
        <v>8</v>
      </c>
      <c r="F3172">
        <v>4</v>
      </c>
      <c r="G3172">
        <v>1</v>
      </c>
      <c r="H3172" s="1">
        <v>6.076388888888889E-3</v>
      </c>
      <c r="I3172" t="s">
        <v>53</v>
      </c>
      <c r="J3172" t="s">
        <v>20</v>
      </c>
      <c r="K3172" s="2" t="str">
        <f>HYPERLINK("https://www.nba.com/stats/events?CFID=&amp;CFPARAMS=&amp;GameEventID=34&amp;GameID=0041200405&amp;Season=2012-13&amp;flag=1&amp;title=Leonard%2018'%20Jump%20Shot%20(2%20PTS)", "Leonard 18' Jump Shot (2 PTS)")</f>
        <v>Leonard 18' Jump Shot (2 PTS)</v>
      </c>
      <c r="L3172" s="2" t="str">
        <f>HYPERLINK("https://www.nba.com/game/...-vs-...-0041200405/play-by-play?watchFullGame=true", "SAS vs MIA - Q1 08:45.00")</f>
        <v>SAS vs MIA - Q1 08:45.00</v>
      </c>
      <c r="M3172">
        <v>18</v>
      </c>
      <c r="N3172">
        <v>130</v>
      </c>
      <c r="O3172">
        <v>127</v>
      </c>
      <c r="P3172">
        <v>130</v>
      </c>
      <c r="Q3172">
        <v>127</v>
      </c>
      <c r="R3172" t="s">
        <v>21</v>
      </c>
      <c r="S3172" t="s">
        <v>21</v>
      </c>
    </row>
    <row r="3173" spans="1:19" hidden="1" x14ac:dyDescent="0.25">
      <c r="A3173">
        <v>21300170</v>
      </c>
      <c r="B3173" t="s">
        <v>18</v>
      </c>
      <c r="C3173" t="s">
        <v>19</v>
      </c>
      <c r="D3173">
        <v>41</v>
      </c>
      <c r="E3173">
        <v>39</v>
      </c>
      <c r="F3173">
        <v>2</v>
      </c>
      <c r="G3173">
        <v>2</v>
      </c>
      <c r="H3173" s="1">
        <v>1.9907407407407408E-3</v>
      </c>
      <c r="I3173">
        <v>2013</v>
      </c>
      <c r="J3173" t="s">
        <v>20</v>
      </c>
      <c r="K3173" s="2" t="str">
        <f>HYPERLINK("https://www.nba.com/stats/events?CFID=&amp;CFPARAMS=&amp;GameEventID=195&amp;GameID=0021300170&amp;Season=2013-14&amp;flag=1&amp;title=Leonard%2021'%20Jump%20Shot%20(4%20PTS)%20(Duncan%202%20AST)", "Leonard 21' Jump Shot (4 PTS) (Duncan 2 AST)")</f>
        <v>Leonard 21' Jump Shot (4 PTS) (Duncan 2 AST)</v>
      </c>
      <c r="L3173" s="2" t="str">
        <f>HYPERLINK("https://www.nba.com/game/...-vs-...-0021300170/play-by-play?watchFullGame=true", "SAS vs BOS - Q2 02:52.00")</f>
        <v>SAS vs BOS - Q2 02:52.00</v>
      </c>
      <c r="M3173">
        <v>21</v>
      </c>
      <c r="N3173">
        <v>-169</v>
      </c>
      <c r="O3173">
        <v>129</v>
      </c>
      <c r="P3173">
        <v>-169</v>
      </c>
      <c r="Q3173">
        <v>129</v>
      </c>
      <c r="R3173" t="s">
        <v>21</v>
      </c>
      <c r="S3173" t="s">
        <v>21</v>
      </c>
    </row>
    <row r="3174" spans="1:19" hidden="1" x14ac:dyDescent="0.25">
      <c r="A3174">
        <v>21500439</v>
      </c>
      <c r="B3174" t="s">
        <v>18</v>
      </c>
      <c r="C3174" t="s">
        <v>19</v>
      </c>
      <c r="D3174">
        <v>34</v>
      </c>
      <c r="E3174">
        <v>36</v>
      </c>
      <c r="F3174">
        <v>2</v>
      </c>
      <c r="G3174">
        <v>2</v>
      </c>
      <c r="H3174" s="1">
        <v>3.0092592592592593E-3</v>
      </c>
      <c r="I3174">
        <v>2015</v>
      </c>
      <c r="J3174" t="s">
        <v>20</v>
      </c>
      <c r="K3174" s="2" t="str">
        <f>HYPERLINK("https://www.nba.com/stats/events?CFID=&amp;CFPARAMS=&amp;GameEventID=195&amp;GameID=0021500439&amp;Season=2015-16&amp;flag=1&amp;title=Leonard%2018'%20Jump%20Shot%20(7%20PTS)%20(Aldridge%202%20AST)", "Leonard 18' Jump Shot (7 PTS) (Aldridge 2 AST)")</f>
        <v>Leonard 18' Jump Shot (7 PTS) (Aldridge 2 AST)</v>
      </c>
      <c r="L3174" s="2" t="str">
        <f>HYPERLINK("https://www.nba.com/game/...-vs-...-0021500439/play-by-play?watchFullGame=true", "SAS vs HOU - Q2 04:20.00")</f>
        <v>SAS vs HOU - Q2 04:20.00</v>
      </c>
      <c r="M3174">
        <v>18</v>
      </c>
      <c r="N3174">
        <v>-132</v>
      </c>
      <c r="O3174">
        <v>129</v>
      </c>
      <c r="P3174">
        <v>-132</v>
      </c>
      <c r="Q3174">
        <v>129</v>
      </c>
      <c r="R3174" t="s">
        <v>21</v>
      </c>
      <c r="S3174" t="s">
        <v>21</v>
      </c>
    </row>
    <row r="3175" spans="1:19" hidden="1" x14ac:dyDescent="0.25">
      <c r="A3175">
        <v>21500516</v>
      </c>
      <c r="B3175" t="s">
        <v>18</v>
      </c>
      <c r="C3175" t="s">
        <v>19</v>
      </c>
      <c r="D3175">
        <v>71</v>
      </c>
      <c r="E3175">
        <v>58</v>
      </c>
      <c r="F3175">
        <v>13</v>
      </c>
      <c r="G3175">
        <v>3</v>
      </c>
      <c r="H3175" s="1">
        <v>5.6134259259259262E-3</v>
      </c>
      <c r="I3175">
        <v>2015</v>
      </c>
      <c r="J3175" t="s">
        <v>20</v>
      </c>
      <c r="K3175" s="2" t="str">
        <f>HYPERLINK("https://www.nba.com/stats/events?CFID=&amp;CFPARAMS=&amp;GameEventID=319&amp;GameID=0021500516&amp;Season=2015-16&amp;flag=1&amp;title=Leonard%2016'%20Jump%20Shot%20(15%20PTS)", "Leonard 16' Jump Shot (15 PTS)")</f>
        <v>Leonard 16' Jump Shot (15 PTS)</v>
      </c>
      <c r="L3175" s="2" t="str">
        <f>HYPERLINK("https://www.nba.com/game/...-vs-...-0021500516/play-by-play?watchFullGame=true", "SAS vs MIL - Q3 08:05.00")</f>
        <v>SAS vs MIL - Q3 08:05.00</v>
      </c>
      <c r="M3175">
        <v>16</v>
      </c>
      <c r="N3175">
        <v>92</v>
      </c>
      <c r="O3175">
        <v>129</v>
      </c>
      <c r="P3175">
        <v>92</v>
      </c>
      <c r="Q3175">
        <v>129</v>
      </c>
      <c r="R3175" t="s">
        <v>21</v>
      </c>
      <c r="S3175" t="s">
        <v>21</v>
      </c>
    </row>
    <row r="3176" spans="1:19" hidden="1" x14ac:dyDescent="0.25">
      <c r="A3176">
        <v>21600053</v>
      </c>
      <c r="B3176" t="s">
        <v>18</v>
      </c>
      <c r="C3176" t="s">
        <v>36</v>
      </c>
      <c r="D3176">
        <v>46</v>
      </c>
      <c r="E3176">
        <v>47</v>
      </c>
      <c r="F3176">
        <v>1</v>
      </c>
      <c r="G3176">
        <v>2</v>
      </c>
      <c r="H3176" s="1">
        <v>2.5925925925925925E-3</v>
      </c>
      <c r="I3176">
        <v>2016</v>
      </c>
      <c r="J3176" t="s">
        <v>20</v>
      </c>
      <c r="K3176" s="2" t="str">
        <f>HYPERLINK("https://www.nba.com/stats/events?CFID=&amp;CFPARAMS=&amp;GameEventID=189&amp;GameID=0021600053&amp;Season=2016-17&amp;flag=1&amp;title=Leonard%2016'%20Pullup%20Jump%20Shot%20(18%20PTS)", "Leonard 16' Pullup Jump Shot (18 PTS)")</f>
        <v>Leonard 16' Pullup Jump Shot (18 PTS)</v>
      </c>
      <c r="L3176" s="2" t="str">
        <f>HYPERLINK("https://www.nba.com/game/...-vs-...-0021600053/play-by-play?watchFullGame=true", "SAS vs UTA - Q2 03:44.00")</f>
        <v>SAS vs UTA - Q2 03:44.00</v>
      </c>
      <c r="M3176">
        <v>16</v>
      </c>
      <c r="N3176">
        <v>96</v>
      </c>
      <c r="O3176">
        <v>129</v>
      </c>
      <c r="P3176">
        <v>96</v>
      </c>
      <c r="Q3176">
        <v>129</v>
      </c>
      <c r="R3176" t="s">
        <v>21</v>
      </c>
      <c r="S3176" t="s">
        <v>21</v>
      </c>
    </row>
    <row r="3177" spans="1:19" hidden="1" x14ac:dyDescent="0.25">
      <c r="A3177">
        <v>41500235</v>
      </c>
      <c r="B3177" t="s">
        <v>18</v>
      </c>
      <c r="C3177" t="s">
        <v>36</v>
      </c>
      <c r="D3177">
        <v>52</v>
      </c>
      <c r="E3177">
        <v>45</v>
      </c>
      <c r="F3177">
        <v>7</v>
      </c>
      <c r="G3177">
        <v>3</v>
      </c>
      <c r="H3177" s="1">
        <v>7.2106481481481483E-3</v>
      </c>
      <c r="I3177" t="s">
        <v>57</v>
      </c>
      <c r="J3177" t="s">
        <v>20</v>
      </c>
      <c r="K3177" s="2" t="str">
        <f>HYPERLINK("https://www.nba.com/stats/events?CFID=&amp;CFPARAMS=&amp;GameEventID=254&amp;GameID=0041500235&amp;Season=2015-16&amp;flag=1&amp;title=Leonard%2017'%20Pullup%20Jump%20Shot%20(19%20PTS)", "Leonard 17' Pullup Jump Shot (19 PTS)")</f>
        <v>Leonard 17' Pullup Jump Shot (19 PTS)</v>
      </c>
      <c r="L3177" s="2" t="str">
        <f>HYPERLINK("https://www.nba.com/game/...-vs-...-0041500235/play-by-play?watchFullGame=true", "SAS vs OKC - Q3 10:23.00")</f>
        <v>SAS vs OKC - Q3 10:23.00</v>
      </c>
      <c r="M3177">
        <v>17</v>
      </c>
      <c r="N3177">
        <v>107</v>
      </c>
      <c r="O3177">
        <v>129</v>
      </c>
      <c r="P3177">
        <v>107</v>
      </c>
      <c r="Q3177">
        <v>129</v>
      </c>
      <c r="R3177" t="s">
        <v>21</v>
      </c>
      <c r="S3177" t="s">
        <v>21</v>
      </c>
    </row>
    <row r="3178" spans="1:19" hidden="1" x14ac:dyDescent="0.25">
      <c r="A3178">
        <v>21500156</v>
      </c>
      <c r="B3178" t="s">
        <v>18</v>
      </c>
      <c r="C3178" t="s">
        <v>19</v>
      </c>
      <c r="D3178">
        <v>77</v>
      </c>
      <c r="E3178">
        <v>69</v>
      </c>
      <c r="F3178">
        <v>8</v>
      </c>
      <c r="G3178">
        <v>4</v>
      </c>
      <c r="H3178" s="1">
        <v>4.7685185185185183E-3</v>
      </c>
      <c r="I3178">
        <v>2015</v>
      </c>
      <c r="J3178" t="s">
        <v>20</v>
      </c>
      <c r="K3178" s="2" t="str">
        <f>HYPERLINK("https://www.nba.com/stats/events?CFID=&amp;CFPARAMS=&amp;GameEventID=408&amp;GameID=0021500156&amp;Season=2015-16&amp;flag=1&amp;title=Leonard%2018'%20Jump%20Shot%20(16%20PTS)%20(Mills%202%20AST)", "Leonard 18' Jump Shot (16 PTS) (Mills 2 AST)")</f>
        <v>Leonard 18' Jump Shot (16 PTS) (Mills 2 AST)</v>
      </c>
      <c r="L3178" s="2" t="str">
        <f>HYPERLINK("https://www.nba.com/game/...-vs-...-0021500156/play-by-play?watchFullGame=true", "SAS vs POR - Q4 06:52.00")</f>
        <v>SAS vs POR - Q4 06:52.00</v>
      </c>
      <c r="M3178">
        <v>18</v>
      </c>
      <c r="N3178">
        <v>127</v>
      </c>
      <c r="O3178">
        <v>129</v>
      </c>
      <c r="P3178">
        <v>127</v>
      </c>
      <c r="Q3178">
        <v>129</v>
      </c>
      <c r="R3178" t="s">
        <v>21</v>
      </c>
      <c r="S3178" t="s">
        <v>21</v>
      </c>
    </row>
    <row r="3179" spans="1:19" hidden="1" x14ac:dyDescent="0.25">
      <c r="A3179">
        <v>21600264</v>
      </c>
      <c r="B3179" t="s">
        <v>18</v>
      </c>
      <c r="C3179" t="s">
        <v>19</v>
      </c>
      <c r="D3179">
        <v>2</v>
      </c>
      <c r="E3179">
        <v>2</v>
      </c>
      <c r="F3179">
        <v>0</v>
      </c>
      <c r="G3179">
        <v>1</v>
      </c>
      <c r="H3179" s="1">
        <v>7.8703703703703696E-3</v>
      </c>
      <c r="I3179">
        <v>2016</v>
      </c>
      <c r="J3179" t="s">
        <v>20</v>
      </c>
      <c r="K3179" s="2" t="str">
        <f>HYPERLINK("https://www.nba.com/stats/events?CFID=&amp;CFPARAMS=&amp;GameEventID=3&amp;GameID=0021600264&amp;Season=2016-17&amp;flag=1&amp;title=Leonard%2020'%20Jump%20Shot%20(2%20PTS)%20(Gasol%201%20AST)", "Leonard 20' Jump Shot (2 PTS) (Gasol 1 AST)")</f>
        <v>Leonard 20' Jump Shot (2 PTS) (Gasol 1 AST)</v>
      </c>
      <c r="L3179" s="2" t="str">
        <f>HYPERLINK("https://www.nba.com/game/...-vs-...-0021600264/play-by-play?watchFullGame=true", "SAS vs ORL - Q1 11:20.00")</f>
        <v>SAS vs ORL - Q1 11:20.00</v>
      </c>
      <c r="M3179">
        <v>20</v>
      </c>
      <c r="N3179">
        <v>151</v>
      </c>
      <c r="O3179">
        <v>129</v>
      </c>
      <c r="P3179">
        <v>151</v>
      </c>
      <c r="Q3179">
        <v>129</v>
      </c>
      <c r="R3179" t="s">
        <v>21</v>
      </c>
      <c r="S3179" t="s">
        <v>21</v>
      </c>
    </row>
    <row r="3180" spans="1:19" hidden="1" x14ac:dyDescent="0.25">
      <c r="A3180">
        <v>21500979</v>
      </c>
      <c r="B3180" t="s">
        <v>18</v>
      </c>
      <c r="C3180" t="s">
        <v>36</v>
      </c>
      <c r="D3180">
        <v>49</v>
      </c>
      <c r="E3180">
        <v>51</v>
      </c>
      <c r="F3180">
        <v>2</v>
      </c>
      <c r="G3180">
        <v>3</v>
      </c>
      <c r="H3180" s="1">
        <v>7.7546296296296295E-3</v>
      </c>
      <c r="I3180">
        <v>2015</v>
      </c>
      <c r="J3180" t="s">
        <v>20</v>
      </c>
      <c r="K3180" s="2" t="str">
        <f>HYPERLINK("https://www.nba.com/stats/events?CFID=&amp;CFPARAMS=&amp;GameEventID=280&amp;GameID=0021500979&amp;Season=2015-16&amp;flag=1&amp;title=Leonard%2018'%20Pullup%20Jump%20Shot%20(15%20PTS)", "Leonard 18' Pullup Jump Shot (15 PTS)")</f>
        <v>Leonard 18' Pullup Jump Shot (15 PTS)</v>
      </c>
      <c r="L3180" s="2" t="str">
        <f>HYPERLINK("https://www.nba.com/game/...-vs-...-0021500979/play-by-play?watchFullGame=true", "SAS vs OKC - Q3 11:10.00")</f>
        <v>SAS vs OKC - Q3 11:10.00</v>
      </c>
      <c r="M3180">
        <v>18</v>
      </c>
      <c r="N3180">
        <v>-124</v>
      </c>
      <c r="O3180">
        <v>131</v>
      </c>
      <c r="P3180">
        <v>-124</v>
      </c>
      <c r="Q3180">
        <v>131</v>
      </c>
      <c r="R3180" t="s">
        <v>21</v>
      </c>
      <c r="S3180" t="s">
        <v>21</v>
      </c>
    </row>
    <row r="3181" spans="1:19" hidden="1" x14ac:dyDescent="0.25">
      <c r="A3181">
        <v>21400986</v>
      </c>
      <c r="B3181" t="s">
        <v>18</v>
      </c>
      <c r="C3181" t="s">
        <v>19</v>
      </c>
      <c r="D3181">
        <v>65</v>
      </c>
      <c r="E3181">
        <v>50</v>
      </c>
      <c r="F3181">
        <v>15</v>
      </c>
      <c r="G3181">
        <v>3</v>
      </c>
      <c r="H3181" s="1">
        <v>7.7777777777777776E-3</v>
      </c>
      <c r="I3181">
        <v>2014</v>
      </c>
      <c r="J3181" t="s">
        <v>20</v>
      </c>
      <c r="K3181" s="2" t="str">
        <f>HYPERLINK("https://www.nba.com/stats/events?CFID=&amp;CFPARAMS=&amp;GameEventID=253&amp;GameID=0021400986&amp;Season=2014-15&amp;flag=1&amp;title=Leonard%2017'%20Jump%20Shot%20(13%20PTS)%20(Duncan%206%20AST)", "Leonard 17' Jump Shot (13 PTS) (Duncan 6 AST)")</f>
        <v>Leonard 17' Jump Shot (13 PTS) (Duncan 6 AST)</v>
      </c>
      <c r="L3181" s="2" t="str">
        <f>HYPERLINK("https://www.nba.com/game/...-vs-...-0021400986/play-by-play?watchFullGame=true", "SAS vs MIN - Q3 11:12.00")</f>
        <v>SAS vs MIN - Q3 11:12.00</v>
      </c>
      <c r="M3181">
        <v>17</v>
      </c>
      <c r="N3181">
        <v>106</v>
      </c>
      <c r="O3181">
        <v>131</v>
      </c>
      <c r="P3181">
        <v>106</v>
      </c>
      <c r="Q3181">
        <v>131</v>
      </c>
      <c r="R3181" t="s">
        <v>21</v>
      </c>
      <c r="S3181" t="s">
        <v>21</v>
      </c>
    </row>
    <row r="3182" spans="1:19" hidden="1" x14ac:dyDescent="0.25">
      <c r="A3182">
        <v>21600016</v>
      </c>
      <c r="B3182" t="s">
        <v>18</v>
      </c>
      <c r="C3182" t="s">
        <v>30</v>
      </c>
      <c r="D3182">
        <v>80</v>
      </c>
      <c r="E3182">
        <v>71</v>
      </c>
      <c r="F3182">
        <v>9</v>
      </c>
      <c r="G3182">
        <v>4</v>
      </c>
      <c r="H3182" s="1">
        <v>7.6388888888888886E-3</v>
      </c>
      <c r="I3182">
        <v>2016</v>
      </c>
      <c r="J3182" t="s">
        <v>20</v>
      </c>
      <c r="K3182" s="2" t="str">
        <f>HYPERLINK("https://www.nba.com/stats/events?CFID=&amp;CFPARAMS=&amp;GameEventID=422&amp;GameID=0021600016&amp;Season=2016-17&amp;flag=1&amp;title=Leonard%2017'%20Running%20Jump%20Shot%20(23%20PTS)%20(Ginobili%205%20AST)", "Leonard 17' Running Jump Shot (23 PTS) (Ginobili 5 AST)")</f>
        <v>Leonard 17' Running Jump Shot (23 PTS) (Ginobili 5 AST)</v>
      </c>
      <c r="L3182" s="2" t="str">
        <f>HYPERLINK("https://www.nba.com/game/...-vs-...-0021600016/play-by-play?watchFullGame=true", "SAS vs SAC - Q4 11:00.00")</f>
        <v>SAS vs SAC - Q4 11:00.00</v>
      </c>
      <c r="M3182">
        <v>17</v>
      </c>
      <c r="N3182">
        <v>115</v>
      </c>
      <c r="O3182">
        <v>131</v>
      </c>
      <c r="P3182">
        <v>115</v>
      </c>
      <c r="Q3182">
        <v>131</v>
      </c>
      <c r="R3182" t="s">
        <v>21</v>
      </c>
      <c r="S3182" t="s">
        <v>21</v>
      </c>
    </row>
    <row r="3183" spans="1:19" hidden="1" x14ac:dyDescent="0.25">
      <c r="A3183">
        <v>21500928</v>
      </c>
      <c r="B3183" t="s">
        <v>18</v>
      </c>
      <c r="C3183" t="s">
        <v>36</v>
      </c>
      <c r="D3183">
        <v>66</v>
      </c>
      <c r="E3183">
        <v>54</v>
      </c>
      <c r="F3183">
        <v>12</v>
      </c>
      <c r="G3183">
        <v>3</v>
      </c>
      <c r="H3183" s="1">
        <v>6.3773148148148148E-3</v>
      </c>
      <c r="I3183">
        <v>2015</v>
      </c>
      <c r="J3183" t="s">
        <v>20</v>
      </c>
      <c r="K3183" s="2" t="str">
        <f>HYPERLINK("https://www.nba.com/stats/events?CFID=&amp;CFPARAMS=&amp;GameEventID=302&amp;GameID=0021500928&amp;Season=2015-16&amp;flag=1&amp;title=Leonard%2019'%20Pullup%20Jump%20Shot%20(19%20PTS)", "Leonard 19' Pullup Jump Shot (19 PTS)")</f>
        <v>Leonard 19' Pullup Jump Shot (19 PTS)</v>
      </c>
      <c r="L3183" s="2" t="str">
        <f>HYPERLINK("https://www.nba.com/game/...-vs-...-0021500928/play-by-play?watchFullGame=true", "SAS vs SAC - Q3 09:11.00")</f>
        <v>SAS vs SAC - Q3 09:11.00</v>
      </c>
      <c r="M3183">
        <v>19</v>
      </c>
      <c r="N3183">
        <v>143</v>
      </c>
      <c r="O3183">
        <v>131</v>
      </c>
      <c r="P3183">
        <v>143</v>
      </c>
      <c r="Q3183">
        <v>131</v>
      </c>
      <c r="R3183" t="s">
        <v>21</v>
      </c>
      <c r="S3183" t="s">
        <v>21</v>
      </c>
    </row>
    <row r="3184" spans="1:19" hidden="1" x14ac:dyDescent="0.25">
      <c r="A3184">
        <v>21800842</v>
      </c>
      <c r="B3184" t="s">
        <v>18</v>
      </c>
      <c r="C3184" t="s">
        <v>36</v>
      </c>
      <c r="D3184">
        <v>86</v>
      </c>
      <c r="E3184">
        <v>86</v>
      </c>
      <c r="F3184">
        <v>0</v>
      </c>
      <c r="G3184">
        <v>3</v>
      </c>
      <c r="H3184" s="1">
        <v>1.261574074074074E-3</v>
      </c>
      <c r="I3184">
        <v>2018</v>
      </c>
      <c r="J3184" t="s">
        <v>48</v>
      </c>
      <c r="K3184" s="2" t="str">
        <f>HYPERLINK("https://www.nba.com/stats/events?CFID=&amp;CFPARAMS=&amp;GameEventID=424&amp;GameID=0021800842&amp;Season=2018-19&amp;flag=1&amp;title=Leonard%2018'%20Pullup%20Jump%20Shot%20(21%20PTS)", "Leonard 18' Pullup Jump Shot (21 PTS)")</f>
        <v>Leonard 18' Pullup Jump Shot (21 PTS)</v>
      </c>
      <c r="L3184" s="2" t="str">
        <f>HYPERLINK("https://www.nba.com/game/...-vs-...-0021800842/play-by-play?watchFullGame=true", "TOR vs BKN - Q3 01:49.00")</f>
        <v>TOR vs BKN - Q3 01:49.00</v>
      </c>
      <c r="M3184">
        <v>18</v>
      </c>
      <c r="N3184">
        <v>119</v>
      </c>
      <c r="O3184">
        <v>132</v>
      </c>
      <c r="P3184">
        <v>119</v>
      </c>
      <c r="Q3184">
        <v>132</v>
      </c>
      <c r="R3184" t="s">
        <v>21</v>
      </c>
      <c r="S3184" t="s">
        <v>21</v>
      </c>
    </row>
    <row r="3185" spans="1:21" hidden="1" x14ac:dyDescent="0.25">
      <c r="A3185">
        <v>41800111</v>
      </c>
      <c r="B3185" t="s">
        <v>18</v>
      </c>
      <c r="C3185" t="s">
        <v>36</v>
      </c>
      <c r="D3185">
        <v>51</v>
      </c>
      <c r="E3185">
        <v>57</v>
      </c>
      <c r="F3185">
        <v>6</v>
      </c>
      <c r="G3185">
        <v>3</v>
      </c>
      <c r="H3185" s="1">
        <v>7.4537037037037037E-3</v>
      </c>
      <c r="I3185" t="s">
        <v>60</v>
      </c>
      <c r="J3185" t="s">
        <v>48</v>
      </c>
      <c r="K3185" s="2" t="str">
        <f>HYPERLINK("https://www.nba.com/stats/events?CFID=&amp;CFPARAMS=&amp;GameEventID=320&amp;GameID=0041800111&amp;Season=2018-19&amp;flag=1&amp;title=Leonard%2019'%20Pullup%20Jump%20Shot%20(13%20PTS)%20(Gasol%203%20AST)", "Leonard 19' Pullup Jump Shot (13 PTS) (Gasol 3 AST)")</f>
        <v>Leonard 19' Pullup Jump Shot (13 PTS) (Gasol 3 AST)</v>
      </c>
      <c r="L3185" s="2" t="str">
        <f>HYPERLINK("https://www.nba.com/game/...-vs-...-0041800111/play-by-play?watchFullGame=true", "TOR vs ORL - Q3 10:44.00")</f>
        <v>TOR vs ORL - Q3 10:44.00</v>
      </c>
      <c r="M3185">
        <v>19</v>
      </c>
      <c r="N3185">
        <v>137</v>
      </c>
      <c r="O3185">
        <v>132</v>
      </c>
      <c r="P3185">
        <v>137</v>
      </c>
      <c r="Q3185">
        <v>132</v>
      </c>
      <c r="R3185" t="s">
        <v>21</v>
      </c>
      <c r="S3185" t="s">
        <v>21</v>
      </c>
    </row>
    <row r="3186" spans="1:21" hidden="1" x14ac:dyDescent="0.25">
      <c r="A3186" s="3">
        <v>41800402</v>
      </c>
      <c r="B3186" s="3" t="s">
        <v>18</v>
      </c>
      <c r="C3186" s="3" t="s">
        <v>19</v>
      </c>
      <c r="D3186" s="3">
        <v>2</v>
      </c>
      <c r="E3186" s="3">
        <v>0</v>
      </c>
      <c r="F3186" s="3">
        <v>2</v>
      </c>
      <c r="G3186" s="3">
        <v>1</v>
      </c>
      <c r="H3186" s="4">
        <v>7.5115740740740742E-3</v>
      </c>
      <c r="I3186" s="3" t="s">
        <v>60</v>
      </c>
      <c r="J3186" s="3" t="s">
        <v>48</v>
      </c>
      <c r="K3186" s="5" t="str">
        <f>HYPERLINK("https://www.nba.com/stats/events?CFID=&amp;CFPARAMS=&amp;GameEventID=19&amp;GameID=0041800402&amp;Season=2018-19&amp;flag=1&amp;title=Leonard%2019'%20Jump%20Shot%20(2%20PTS)", "Leonard 19' Jump Shot (2 PTS)")</f>
        <v>Leonard 19' Jump Shot (2 PTS)</v>
      </c>
      <c r="L3186" s="5" t="str">
        <f>HYPERLINK("https://www.nba.com/game/...-vs-...-0041800402/play-by-play?watchFullGame=true", "TOR vs GSW - Q1 10:49.00")</f>
        <v>TOR vs GSW - Q1 10:49.00</v>
      </c>
      <c r="M3186" s="3">
        <v>19</v>
      </c>
      <c r="N3186" s="3">
        <v>-139</v>
      </c>
      <c r="O3186" s="3">
        <v>134</v>
      </c>
      <c r="P3186" s="3">
        <v>-139</v>
      </c>
      <c r="Q3186" s="3">
        <v>134</v>
      </c>
      <c r="R3186" s="3" t="s">
        <v>21</v>
      </c>
      <c r="S3186" s="3" t="s">
        <v>21</v>
      </c>
      <c r="T3186" s="3"/>
      <c r="U3186" s="3"/>
    </row>
    <row r="3187" spans="1:21" hidden="1" x14ac:dyDescent="0.25">
      <c r="A3187">
        <v>21600605</v>
      </c>
      <c r="B3187" t="s">
        <v>18</v>
      </c>
      <c r="C3187" t="s">
        <v>19</v>
      </c>
      <c r="D3187">
        <v>72</v>
      </c>
      <c r="E3187">
        <v>64</v>
      </c>
      <c r="F3187">
        <v>8</v>
      </c>
      <c r="G3187">
        <v>3</v>
      </c>
      <c r="H3187" s="1">
        <v>4.43287037037037E-3</v>
      </c>
      <c r="I3187">
        <v>2016</v>
      </c>
      <c r="J3187" t="s">
        <v>20</v>
      </c>
      <c r="K3187" s="2" t="str">
        <f>HYPERLINK("https://www.nba.com/stats/events?CFID=&amp;CFPARAMS=&amp;GameEventID=337&amp;GameID=0021600605&amp;Season=2016-17&amp;flag=1&amp;title=Leonard%2016'%20Jump%20Shot%20(26%20PTS)", "Leonard 16' Jump Shot (26 PTS)")</f>
        <v>Leonard 16' Jump Shot (26 PTS)</v>
      </c>
      <c r="L3187" s="2" t="str">
        <f>HYPERLINK("https://www.nba.com/game/...-vs-...-0021600605/play-by-play?watchFullGame=true", "SAS vs PHX - Q3 06:23.00")</f>
        <v>SAS vs PHX - Q3 06:23.00</v>
      </c>
      <c r="M3187">
        <v>16</v>
      </c>
      <c r="N3187">
        <v>-79</v>
      </c>
      <c r="O3187">
        <v>134</v>
      </c>
      <c r="P3187">
        <v>-79</v>
      </c>
      <c r="Q3187">
        <v>134</v>
      </c>
      <c r="R3187" t="s">
        <v>21</v>
      </c>
      <c r="S3187" t="s">
        <v>21</v>
      </c>
    </row>
    <row r="3188" spans="1:21" hidden="1" x14ac:dyDescent="0.25">
      <c r="A3188">
        <v>21500013</v>
      </c>
      <c r="B3188" t="s">
        <v>18</v>
      </c>
      <c r="C3188" t="s">
        <v>19</v>
      </c>
      <c r="D3188">
        <v>93</v>
      </c>
      <c r="E3188">
        <v>90</v>
      </c>
      <c r="F3188">
        <v>3</v>
      </c>
      <c r="G3188">
        <v>4</v>
      </c>
      <c r="H3188" s="1">
        <v>5.9027777777777776E-3</v>
      </c>
      <c r="I3188">
        <v>2015</v>
      </c>
      <c r="J3188" t="s">
        <v>20</v>
      </c>
      <c r="K3188" s="2" t="str">
        <f>HYPERLINK("https://www.nba.com/stats/events?CFID=&amp;CFPARAMS=&amp;GameEventID=436&amp;GameID=0021500013&amp;Season=2015-16&amp;flag=1&amp;title=Leonard%2016'%20Jump%20Shot%20(23%20PTS)%20(Mills%202%20AST)", "Leonard 16' Jump Shot (23 PTS) (Mills 2 AST)")</f>
        <v>Leonard 16' Jump Shot (23 PTS) (Mills 2 AST)</v>
      </c>
      <c r="L3188" s="2" t="str">
        <f>HYPERLINK("https://www.nba.com/game/...-vs-...-0021500013/play-by-play?watchFullGame=true", "SAS vs OKC - Q4 08:30.00")</f>
        <v>SAS vs OKC - Q4 08:30.00</v>
      </c>
      <c r="M3188">
        <v>16</v>
      </c>
      <c r="N3188">
        <v>91</v>
      </c>
      <c r="O3188">
        <v>134</v>
      </c>
      <c r="P3188">
        <v>91</v>
      </c>
      <c r="Q3188">
        <v>134</v>
      </c>
      <c r="R3188" t="s">
        <v>21</v>
      </c>
      <c r="S3188" t="s">
        <v>21</v>
      </c>
    </row>
    <row r="3189" spans="1:21" hidden="1" x14ac:dyDescent="0.25">
      <c r="A3189">
        <v>21600639</v>
      </c>
      <c r="B3189" t="s">
        <v>18</v>
      </c>
      <c r="C3189" t="s">
        <v>36</v>
      </c>
      <c r="D3189">
        <v>39</v>
      </c>
      <c r="E3189">
        <v>37</v>
      </c>
      <c r="F3189">
        <v>2</v>
      </c>
      <c r="G3189">
        <v>2</v>
      </c>
      <c r="H3189" s="1">
        <v>4.2476851851851851E-3</v>
      </c>
      <c r="I3189">
        <v>2016</v>
      </c>
      <c r="J3189" t="s">
        <v>20</v>
      </c>
      <c r="K3189" s="2" t="str">
        <f>HYPERLINK("https://www.nba.com/stats/events?CFID=&amp;CFPARAMS=&amp;GameEventID=186&amp;GameID=0021600639&amp;Season=2016-17&amp;flag=1&amp;title=Leonard%2016'%20Pullup%20Jump%20Shot%20(9%20PTS)%20(Ginobili%202%20AST)", "Leonard 16' Pullup Jump Shot (9 PTS) (Ginobili 2 AST)")</f>
        <v>Leonard 16' Pullup Jump Shot (9 PTS) (Ginobili 2 AST)</v>
      </c>
      <c r="L3189" s="2" t="str">
        <f>HYPERLINK("https://www.nba.com/game/...-vs-...-0021600639/play-by-play?watchFullGame=true", "SAS vs DEN - Q2 06:07.00")</f>
        <v>SAS vs DEN - Q2 06:07.00</v>
      </c>
      <c r="M3189">
        <v>16</v>
      </c>
      <c r="N3189">
        <v>96</v>
      </c>
      <c r="O3189">
        <v>134</v>
      </c>
      <c r="P3189">
        <v>96</v>
      </c>
      <c r="Q3189">
        <v>134</v>
      </c>
      <c r="R3189" t="s">
        <v>21</v>
      </c>
      <c r="S3189" t="s">
        <v>21</v>
      </c>
    </row>
    <row r="3190" spans="1:21" hidden="1" x14ac:dyDescent="0.25">
      <c r="A3190">
        <v>41800111</v>
      </c>
      <c r="B3190" t="s">
        <v>18</v>
      </c>
      <c r="C3190" t="s">
        <v>36</v>
      </c>
      <c r="D3190">
        <v>6</v>
      </c>
      <c r="E3190">
        <v>2</v>
      </c>
      <c r="F3190">
        <v>4</v>
      </c>
      <c r="G3190">
        <v>1</v>
      </c>
      <c r="H3190" s="1">
        <v>7.060185185185185E-3</v>
      </c>
      <c r="I3190" t="s">
        <v>60</v>
      </c>
      <c r="J3190" t="s">
        <v>48</v>
      </c>
      <c r="K3190" s="2" t="str">
        <f>HYPERLINK("https://www.nba.com/stats/events?CFID=&amp;CFPARAMS=&amp;GameEventID=25&amp;GameID=0041800111&amp;Season=2018-19&amp;flag=1&amp;title=Leonard%2017'%20Pullup%20Jump%20Shot%20(4%20PTS)", "Leonard 17' Pullup Jump Shot (4 PTS)")</f>
        <v>Leonard 17' Pullup Jump Shot (4 PTS)</v>
      </c>
      <c r="L3190" s="2" t="str">
        <f>HYPERLINK("https://www.nba.com/game/...-vs-...-0041800111/play-by-play?watchFullGame=true", "TOR vs ORL - Q1 10:10.00")</f>
        <v>TOR vs ORL - Q1 10:10.00</v>
      </c>
      <c r="M3190">
        <v>17</v>
      </c>
      <c r="N3190">
        <v>100</v>
      </c>
      <c r="O3190">
        <v>134</v>
      </c>
      <c r="P3190">
        <v>100</v>
      </c>
      <c r="Q3190">
        <v>134</v>
      </c>
      <c r="R3190" t="s">
        <v>21</v>
      </c>
      <c r="S3190" t="s">
        <v>21</v>
      </c>
    </row>
    <row r="3191" spans="1:21" hidden="1" x14ac:dyDescent="0.25">
      <c r="A3191">
        <v>21600625</v>
      </c>
      <c r="B3191" t="s">
        <v>18</v>
      </c>
      <c r="C3191" t="s">
        <v>19</v>
      </c>
      <c r="D3191">
        <v>25</v>
      </c>
      <c r="E3191">
        <v>25</v>
      </c>
      <c r="F3191">
        <v>0</v>
      </c>
      <c r="G3191">
        <v>1</v>
      </c>
      <c r="H3191" s="1">
        <v>8.564814814814815E-4</v>
      </c>
      <c r="I3191">
        <v>2016</v>
      </c>
      <c r="J3191" t="s">
        <v>20</v>
      </c>
      <c r="K3191" s="2" t="str">
        <f>HYPERLINK("https://www.nba.com/stats/events?CFID=&amp;CFPARAMS=&amp;GameEventID=95&amp;GameID=0021600625&amp;Season=2016-17&amp;flag=1&amp;title=Leonard%2017'%20Jump%20Shot%20(6%20PTS)%20(Lee%201%20AST)", "Leonard 17' Jump Shot (6 PTS) (Lee 1 AST)")</f>
        <v>Leonard 17' Jump Shot (6 PTS) (Lee 1 AST)</v>
      </c>
      <c r="L3191" s="2" t="str">
        <f>HYPERLINK("https://www.nba.com/game/...-vs-...-0021600625/play-by-play?watchFullGame=true", "SAS vs MIN - Q1 01:14.00")</f>
        <v>SAS vs MIN - Q1 01:14.00</v>
      </c>
      <c r="M3191">
        <v>17</v>
      </c>
      <c r="N3191">
        <v>102</v>
      </c>
      <c r="O3191">
        <v>134</v>
      </c>
      <c r="P3191">
        <v>102</v>
      </c>
      <c r="Q3191">
        <v>134</v>
      </c>
      <c r="R3191" t="s">
        <v>21</v>
      </c>
      <c r="S3191" t="s">
        <v>21</v>
      </c>
    </row>
    <row r="3192" spans="1:21" hidden="1" x14ac:dyDescent="0.25">
      <c r="A3192">
        <v>21400921</v>
      </c>
      <c r="B3192" t="s">
        <v>18</v>
      </c>
      <c r="C3192" t="s">
        <v>36</v>
      </c>
      <c r="D3192">
        <v>85</v>
      </c>
      <c r="E3192">
        <v>75</v>
      </c>
      <c r="F3192">
        <v>10</v>
      </c>
      <c r="G3192">
        <v>3</v>
      </c>
      <c r="H3192" s="1">
        <v>2.7777777777777779E-3</v>
      </c>
      <c r="I3192">
        <v>2014</v>
      </c>
      <c r="J3192" t="s">
        <v>20</v>
      </c>
      <c r="K3192" s="2" t="str">
        <f>HYPERLINK("https://www.nba.com/stats/events?CFID=&amp;CFPARAMS=&amp;GameEventID=344&amp;GameID=0021400921&amp;Season=2014-15&amp;flag=1&amp;title=Leonard%2017'%20Pullup%20Jump%20Shot%20(17%20PTS)%20(Ginobili%201%20AST)", "Leonard 17' Pullup Jump Shot (17 PTS) (Ginobili 1 AST)")</f>
        <v>Leonard 17' Pullup Jump Shot (17 PTS) (Ginobili 1 AST)</v>
      </c>
      <c r="L3192" s="2" t="str">
        <f>HYPERLINK("https://www.nba.com/game/...-vs-...-0021400921/play-by-play?watchFullGame=true", "SAS vs DEN - Q3 04:00.00")</f>
        <v>SAS vs DEN - Q3 04:00.00</v>
      </c>
      <c r="M3192">
        <v>17</v>
      </c>
      <c r="N3192">
        <v>110</v>
      </c>
      <c r="O3192">
        <v>134</v>
      </c>
      <c r="P3192">
        <v>110</v>
      </c>
      <c r="Q3192">
        <v>134</v>
      </c>
      <c r="R3192" t="s">
        <v>21</v>
      </c>
      <c r="S3192" t="s">
        <v>21</v>
      </c>
    </row>
    <row r="3193" spans="1:21" hidden="1" x14ac:dyDescent="0.25">
      <c r="A3193">
        <v>41800112</v>
      </c>
      <c r="B3193" t="s">
        <v>18</v>
      </c>
      <c r="C3193" t="s">
        <v>36</v>
      </c>
      <c r="D3193">
        <v>22</v>
      </c>
      <c r="E3193">
        <v>10</v>
      </c>
      <c r="F3193">
        <v>12</v>
      </c>
      <c r="G3193">
        <v>1</v>
      </c>
      <c r="H3193" s="1">
        <v>2.1180555555555558E-3</v>
      </c>
      <c r="I3193" t="s">
        <v>60</v>
      </c>
      <c r="J3193" t="s">
        <v>48</v>
      </c>
      <c r="K3193" s="2" t="str">
        <f>HYPERLINK("https://www.nba.com/stats/events?CFID=&amp;CFPARAMS=&amp;GameEventID=117&amp;GameID=0041800112&amp;Season=2018-19&amp;flag=1&amp;title=Leonard%2017'%20Pullup%20Jump%20Shot%20(12%20PTS)%20(Green%201%20AST)", "Leonard 17' Pullup Jump Shot (12 PTS) (Green 1 AST)")</f>
        <v>Leonard 17' Pullup Jump Shot (12 PTS) (Green 1 AST)</v>
      </c>
      <c r="L3193" s="2" t="str">
        <f>HYPERLINK("https://www.nba.com/game/...-vs-...-0041800112/play-by-play?watchFullGame=true", "TOR vs ORL - Q1 03:03.00")</f>
        <v>TOR vs ORL - Q1 03:03.00</v>
      </c>
      <c r="M3193">
        <v>17</v>
      </c>
      <c r="N3193">
        <v>111</v>
      </c>
      <c r="O3193">
        <v>134</v>
      </c>
      <c r="P3193">
        <v>111</v>
      </c>
      <c r="Q3193">
        <v>134</v>
      </c>
      <c r="R3193" t="s">
        <v>21</v>
      </c>
      <c r="S3193" t="s">
        <v>21</v>
      </c>
    </row>
    <row r="3194" spans="1:21" hidden="1" x14ac:dyDescent="0.25">
      <c r="A3194">
        <v>21500342</v>
      </c>
      <c r="B3194" t="s">
        <v>18</v>
      </c>
      <c r="C3194" t="s">
        <v>36</v>
      </c>
      <c r="D3194">
        <v>72</v>
      </c>
      <c r="E3194">
        <v>55</v>
      </c>
      <c r="F3194">
        <v>17</v>
      </c>
      <c r="G3194">
        <v>3</v>
      </c>
      <c r="H3194" s="1">
        <v>3.2754629629629631E-3</v>
      </c>
      <c r="I3194">
        <v>2015</v>
      </c>
      <c r="J3194" t="s">
        <v>20</v>
      </c>
      <c r="K3194" s="2" t="str">
        <f>HYPERLINK("https://www.nba.com/stats/events?CFID=&amp;CFPARAMS=&amp;GameEventID=315&amp;GameID=0021500342&amp;Season=2015-16&amp;flag=1&amp;title=Leonard%2018'%20Pullup%20Jump%20Shot%20(16%20PTS)", "Leonard 18' Pullup Jump Shot (16 PTS)")</f>
        <v>Leonard 18' Pullup Jump Shot (16 PTS)</v>
      </c>
      <c r="L3194" s="2" t="str">
        <f>HYPERLINK("https://www.nba.com/game/...-vs-...-0021500342/play-by-play?watchFullGame=true", "SAS vs LAL - Q3 04:43.00")</f>
        <v>SAS vs LAL - Q3 04:43.00</v>
      </c>
      <c r="M3194">
        <v>18</v>
      </c>
      <c r="N3194">
        <v>117</v>
      </c>
      <c r="O3194">
        <v>134</v>
      </c>
      <c r="P3194">
        <v>117</v>
      </c>
      <c r="Q3194">
        <v>134</v>
      </c>
      <c r="R3194" t="s">
        <v>21</v>
      </c>
      <c r="S3194" t="s">
        <v>21</v>
      </c>
    </row>
    <row r="3195" spans="1:21" hidden="1" x14ac:dyDescent="0.25">
      <c r="A3195">
        <v>21600825</v>
      </c>
      <c r="B3195" t="s">
        <v>18</v>
      </c>
      <c r="C3195" t="s">
        <v>36</v>
      </c>
      <c r="D3195">
        <v>32</v>
      </c>
      <c r="E3195">
        <v>37</v>
      </c>
      <c r="F3195">
        <v>5</v>
      </c>
      <c r="G3195">
        <v>2</v>
      </c>
      <c r="H3195" s="1">
        <v>5.9027777777777776E-3</v>
      </c>
      <c r="I3195">
        <v>2016</v>
      </c>
      <c r="J3195" t="s">
        <v>20</v>
      </c>
      <c r="K3195" s="2" t="str">
        <f>HYPERLINK("https://www.nba.com/stats/events?CFID=&amp;CFPARAMS=&amp;GameEventID=157&amp;GameID=0021600825&amp;Season=2016-17&amp;flag=1&amp;title=Leonard%2018'%20Pullup%20Jump%20Shot%20(11%20PTS)", "Leonard 18' Pullup Jump Shot (11 PTS)")</f>
        <v>Leonard 18' Pullup Jump Shot (11 PTS)</v>
      </c>
      <c r="L3195" s="2" t="str">
        <f>HYPERLINK("https://www.nba.com/game/...-vs-...-0021600825/play-by-play?watchFullGame=true", "SAS vs IND - Q2 08:30.00")</f>
        <v>SAS vs IND - Q2 08:30.00</v>
      </c>
      <c r="M3195">
        <v>18</v>
      </c>
      <c r="N3195">
        <v>119</v>
      </c>
      <c r="O3195">
        <v>134</v>
      </c>
      <c r="P3195">
        <v>119</v>
      </c>
      <c r="Q3195">
        <v>134</v>
      </c>
      <c r="R3195" t="s">
        <v>21</v>
      </c>
      <c r="S3195" t="s">
        <v>21</v>
      </c>
    </row>
    <row r="3196" spans="1:21" hidden="1" x14ac:dyDescent="0.25">
      <c r="A3196">
        <v>41600154</v>
      </c>
      <c r="B3196" t="s">
        <v>18</v>
      </c>
      <c r="C3196" t="s">
        <v>36</v>
      </c>
      <c r="D3196">
        <v>17</v>
      </c>
      <c r="E3196">
        <v>9</v>
      </c>
      <c r="F3196">
        <v>8</v>
      </c>
      <c r="G3196">
        <v>1</v>
      </c>
      <c r="H3196" s="1">
        <v>3.7384259259259259E-3</v>
      </c>
      <c r="I3196" t="s">
        <v>58</v>
      </c>
      <c r="J3196" t="s">
        <v>20</v>
      </c>
      <c r="K3196" s="2" t="str">
        <f>HYPERLINK("https://www.nba.com/stats/events?CFID=&amp;CFPARAMS=&amp;GameEventID=54&amp;GameID=0041600154&amp;Season=2016-17&amp;flag=1&amp;title=Leonard%2018'%20Pullup%20Jump%20Shot%20(7%20PTS)", "Leonard 18' Pullup Jump Shot (7 PTS)")</f>
        <v>Leonard 18' Pullup Jump Shot (7 PTS)</v>
      </c>
      <c r="L3196" s="2" t="str">
        <f>HYPERLINK("https://www.nba.com/game/...-vs-...-0041600154/play-by-play?watchFullGame=true", "SAS vs MEM - Q1 05:23.00")</f>
        <v>SAS vs MEM - Q1 05:23.00</v>
      </c>
      <c r="M3196">
        <v>18</v>
      </c>
      <c r="N3196">
        <v>122</v>
      </c>
      <c r="O3196">
        <v>134</v>
      </c>
      <c r="P3196">
        <v>122</v>
      </c>
      <c r="Q3196">
        <v>134</v>
      </c>
      <c r="R3196" t="s">
        <v>21</v>
      </c>
      <c r="S3196" t="s">
        <v>21</v>
      </c>
    </row>
    <row r="3197" spans="1:21" hidden="1" x14ac:dyDescent="0.25">
      <c r="A3197">
        <v>41300221</v>
      </c>
      <c r="B3197" t="s">
        <v>18</v>
      </c>
      <c r="C3197" t="s">
        <v>36</v>
      </c>
      <c r="D3197">
        <v>14</v>
      </c>
      <c r="E3197">
        <v>5</v>
      </c>
      <c r="F3197">
        <v>9</v>
      </c>
      <c r="G3197">
        <v>1</v>
      </c>
      <c r="H3197" s="1">
        <v>3.6342592592592594E-3</v>
      </c>
      <c r="I3197" t="s">
        <v>55</v>
      </c>
      <c r="J3197" t="s">
        <v>20</v>
      </c>
      <c r="K3197" s="2" t="str">
        <f>HYPERLINK("https://www.nba.com/stats/events?CFID=&amp;CFPARAMS=&amp;GameEventID=65&amp;GameID=0041300221&amp;Season=2013-14&amp;flag=1&amp;title=Leonard%2019'%20Pullup%20Jump%20Shot%20(4%20PTS)", "Leonard 19' Pullup Jump Shot (4 PTS)")</f>
        <v>Leonard 19' Pullup Jump Shot (4 PTS)</v>
      </c>
      <c r="L3197" s="2" t="str">
        <f>HYPERLINK("https://www.nba.com/game/...-vs-...-0041300221/play-by-play?watchFullGame=true", "SAS vs POR - Q1 05:14.00")</f>
        <v>SAS vs POR - Q1 05:14.00</v>
      </c>
      <c r="M3197">
        <v>19</v>
      </c>
      <c r="N3197">
        <v>129</v>
      </c>
      <c r="O3197">
        <v>134</v>
      </c>
      <c r="P3197">
        <v>129</v>
      </c>
      <c r="Q3197">
        <v>134</v>
      </c>
      <c r="R3197" t="s">
        <v>21</v>
      </c>
      <c r="S3197" t="s">
        <v>21</v>
      </c>
    </row>
    <row r="3198" spans="1:21" hidden="1" x14ac:dyDescent="0.25">
      <c r="A3198">
        <v>21500450</v>
      </c>
      <c r="B3198" t="s">
        <v>18</v>
      </c>
      <c r="C3198" t="s">
        <v>19</v>
      </c>
      <c r="D3198">
        <v>12</v>
      </c>
      <c r="E3198">
        <v>8</v>
      </c>
      <c r="F3198">
        <v>4</v>
      </c>
      <c r="G3198">
        <v>1</v>
      </c>
      <c r="H3198" s="1">
        <v>4.8842592592592592E-3</v>
      </c>
      <c r="I3198">
        <v>2015</v>
      </c>
      <c r="J3198" t="s">
        <v>20</v>
      </c>
      <c r="K3198" s="2" t="str">
        <f>HYPERLINK("https://www.nba.com/stats/events?CFID=&amp;CFPARAMS=&amp;GameEventID=43&amp;GameID=0021500450&amp;Season=2015-16&amp;flag=1&amp;title=Leonard%2019'%20Jump%20Shot%20(6%20PTS)%20(West%201%20AST)", "Leonard 19' Jump Shot (6 PTS) (West 1 AST)")</f>
        <v>Leonard 19' Jump Shot (6 PTS) (West 1 AST)</v>
      </c>
      <c r="L3198" s="2" t="str">
        <f>HYPERLINK("https://www.nba.com/game/...-vs-...-0021500450/play-by-play?watchFullGame=true", "SAS vs DEN - Q1 07:02.00")</f>
        <v>SAS vs DEN - Q1 07:02.00</v>
      </c>
      <c r="M3198">
        <v>19</v>
      </c>
      <c r="N3198">
        <v>140</v>
      </c>
      <c r="O3198">
        <v>134</v>
      </c>
      <c r="P3198">
        <v>140</v>
      </c>
      <c r="Q3198">
        <v>134</v>
      </c>
      <c r="R3198" t="s">
        <v>21</v>
      </c>
      <c r="S3198" t="s">
        <v>21</v>
      </c>
    </row>
    <row r="3199" spans="1:21" hidden="1" x14ac:dyDescent="0.25">
      <c r="A3199">
        <v>41800213</v>
      </c>
      <c r="B3199" t="s">
        <v>18</v>
      </c>
      <c r="C3199" t="s">
        <v>38</v>
      </c>
      <c r="D3199">
        <v>74</v>
      </c>
      <c r="E3199">
        <v>85</v>
      </c>
      <c r="F3199">
        <v>11</v>
      </c>
      <c r="G3199">
        <v>3</v>
      </c>
      <c r="H3199" s="1">
        <v>1.5277777777777779E-3</v>
      </c>
      <c r="I3199" t="s">
        <v>60</v>
      </c>
      <c r="J3199" t="s">
        <v>48</v>
      </c>
      <c r="K3199" s="2" t="str">
        <f>HYPERLINK("https://www.nba.com/stats/events?CFID=&amp;CFPARAMS=&amp;GameEventID=446&amp;GameID=0041800213&amp;Season=2018-19&amp;flag=1&amp;title=Leonard%2016'%20Turnaround%20Fadeaway%20(26%20PTS)", "Leonard 16' Turnaround Fadeaway (26 PTS)")</f>
        <v>Leonard 16' Turnaround Fadeaway (26 PTS)</v>
      </c>
      <c r="L3199" s="2" t="str">
        <f>HYPERLINK("https://www.nba.com/game/...-vs-...-0041800213/play-by-play?watchFullGame=true", "TOR vs PHI - Q3 02:12.00")</f>
        <v>TOR vs PHI - Q3 02:12.00</v>
      </c>
      <c r="M3199">
        <v>16</v>
      </c>
      <c r="N3199">
        <v>83</v>
      </c>
      <c r="O3199">
        <v>135</v>
      </c>
      <c r="P3199">
        <v>83</v>
      </c>
      <c r="Q3199">
        <v>135</v>
      </c>
      <c r="R3199" t="s">
        <v>21</v>
      </c>
      <c r="S3199" t="s">
        <v>21</v>
      </c>
    </row>
    <row r="3200" spans="1:21" hidden="1" x14ac:dyDescent="0.25">
      <c r="A3200">
        <v>41800405</v>
      </c>
      <c r="B3200" t="s">
        <v>18</v>
      </c>
      <c r="C3200" t="s">
        <v>36</v>
      </c>
      <c r="D3200">
        <v>103</v>
      </c>
      <c r="E3200">
        <v>97</v>
      </c>
      <c r="F3200">
        <v>6</v>
      </c>
      <c r="G3200">
        <v>4</v>
      </c>
      <c r="H3200" s="1">
        <v>2.4074074074074076E-3</v>
      </c>
      <c r="I3200" t="s">
        <v>60</v>
      </c>
      <c r="J3200" t="s">
        <v>48</v>
      </c>
      <c r="K3200" s="2" t="str">
        <f>HYPERLINK("https://www.nba.com/stats/events?CFID=&amp;CFPARAMS=&amp;GameEventID=602&amp;GameID=0041800405&amp;Season=2018-19&amp;flag=1&amp;title=Leonard%2016'%20Pullup%20Jump%20Shot%20(26%20PTS)", "Leonard 16' Pullup Jump Shot (26 PTS)")</f>
        <v>Leonard 16' Pullup Jump Shot (26 PTS)</v>
      </c>
      <c r="L3200" s="2" t="str">
        <f>HYPERLINK("https://www.nba.com/game/...-vs-...-0041800405/play-by-play?watchFullGame=true", "TOR vs GSW - Q4 03:28.00")</f>
        <v>TOR vs GSW - Q4 03:28.00</v>
      </c>
      <c r="M3200">
        <v>16</v>
      </c>
      <c r="N3200">
        <v>85</v>
      </c>
      <c r="O3200">
        <v>135</v>
      </c>
      <c r="P3200">
        <v>85</v>
      </c>
      <c r="Q3200">
        <v>135</v>
      </c>
      <c r="R3200" t="s">
        <v>21</v>
      </c>
      <c r="S3200" t="s">
        <v>21</v>
      </c>
    </row>
    <row r="3201" spans="1:19" hidden="1" x14ac:dyDescent="0.25">
      <c r="A3201">
        <v>41200153</v>
      </c>
      <c r="B3201" t="s">
        <v>18</v>
      </c>
      <c r="C3201" t="s">
        <v>36</v>
      </c>
      <c r="D3201">
        <v>2</v>
      </c>
      <c r="E3201">
        <v>0</v>
      </c>
      <c r="F3201">
        <v>2</v>
      </c>
      <c r="G3201">
        <v>1</v>
      </c>
      <c r="H3201" s="1">
        <v>8.0439814814814818E-3</v>
      </c>
      <c r="I3201" t="s">
        <v>53</v>
      </c>
      <c r="J3201" t="s">
        <v>20</v>
      </c>
      <c r="K3201" s="2" t="str">
        <f>HYPERLINK("https://www.nba.com/stats/events?CFID=&amp;CFPARAMS=&amp;GameEventID=3&amp;GameID=0041200153&amp;Season=2012-13&amp;flag=1&amp;title=Leonard%2017'%20Pullup%20Jump%20Shot%20(2%20PTS)", "Leonard 17' Pullup Jump Shot (2 PTS)")</f>
        <v>Leonard 17' Pullup Jump Shot (2 PTS)</v>
      </c>
      <c r="L3201" s="2" t="str">
        <f>HYPERLINK("https://www.nba.com/game/...-vs-...-0041200153/play-by-play?watchFullGame=true", "SAS vs LAL - Q1 11:35.00")</f>
        <v>SAS vs LAL - Q1 11:35.00</v>
      </c>
      <c r="M3201">
        <v>17</v>
      </c>
      <c r="N3201">
        <v>97</v>
      </c>
      <c r="O3201">
        <v>135</v>
      </c>
      <c r="P3201">
        <v>97</v>
      </c>
      <c r="Q3201">
        <v>135</v>
      </c>
      <c r="R3201" t="s">
        <v>21</v>
      </c>
      <c r="S3201" t="s">
        <v>21</v>
      </c>
    </row>
    <row r="3202" spans="1:19" hidden="1" x14ac:dyDescent="0.25">
      <c r="A3202">
        <v>21300965</v>
      </c>
      <c r="B3202" t="s">
        <v>18</v>
      </c>
      <c r="C3202" t="s">
        <v>36</v>
      </c>
      <c r="D3202">
        <v>6</v>
      </c>
      <c r="E3202">
        <v>0</v>
      </c>
      <c r="F3202">
        <v>6</v>
      </c>
      <c r="G3202">
        <v>1</v>
      </c>
      <c r="H3202" s="1">
        <v>6.6782407407407407E-3</v>
      </c>
      <c r="I3202">
        <v>2013</v>
      </c>
      <c r="J3202" t="s">
        <v>20</v>
      </c>
      <c r="K3202" s="2" t="str">
        <f>HYPERLINK("https://www.nba.com/stats/events?CFID=&amp;CFPARAMS=&amp;GameEventID=19&amp;GameID=0021300965&amp;Season=2013-14&amp;flag=1&amp;title=Leonard%2018'%20Pullup%20Jump%20Shot%20(4%20PTS)%20(Duncan%201%20AST)", "Leonard 18' Pullup Jump Shot (4 PTS) (Duncan 1 AST)")</f>
        <v>Leonard 18' Pullup Jump Shot (4 PTS) (Duncan 1 AST)</v>
      </c>
      <c r="L3202" s="2" t="str">
        <f>HYPERLINK("https://www.nba.com/game/...-vs-...-0021300965/play-by-play?watchFullGame=true", "SAS vs POR - Q1 09:37.00")</f>
        <v>SAS vs POR - Q1 09:37.00</v>
      </c>
      <c r="M3202">
        <v>18</v>
      </c>
      <c r="N3202">
        <v>125</v>
      </c>
      <c r="O3202">
        <v>135</v>
      </c>
      <c r="P3202">
        <v>125</v>
      </c>
      <c r="Q3202">
        <v>135</v>
      </c>
      <c r="R3202" t="s">
        <v>21</v>
      </c>
      <c r="S3202" t="s">
        <v>21</v>
      </c>
    </row>
    <row r="3203" spans="1:19" hidden="1" x14ac:dyDescent="0.25">
      <c r="A3203">
        <v>21500090</v>
      </c>
      <c r="B3203" t="s">
        <v>18</v>
      </c>
      <c r="C3203" t="s">
        <v>36</v>
      </c>
      <c r="D3203">
        <v>69</v>
      </c>
      <c r="E3203">
        <v>71</v>
      </c>
      <c r="F3203">
        <v>2</v>
      </c>
      <c r="G3203">
        <v>3</v>
      </c>
      <c r="H3203" s="1">
        <v>3.5532407407407409E-3</v>
      </c>
      <c r="I3203">
        <v>2015</v>
      </c>
      <c r="J3203" t="s">
        <v>20</v>
      </c>
      <c r="K3203" s="2" t="str">
        <f>HYPERLINK("https://www.nba.com/stats/events?CFID=&amp;CFPARAMS=&amp;GameEventID=320&amp;GameID=0021500090&amp;Season=2015-16&amp;flag=1&amp;title=Leonard%2017'%20Pullup%20Jump%20Shot%20(14%20PTS)%20(Mills%202%20AST)", "Leonard 17' Pullup Jump Shot (14 PTS) (Mills 2 AST)")</f>
        <v>Leonard 17' Pullup Jump Shot (14 PTS) (Mills 2 AST)</v>
      </c>
      <c r="L3203" s="2" t="str">
        <f>HYPERLINK("https://www.nba.com/game/...-vs-...-0021500090/play-by-play?watchFullGame=true", "SAS vs CHA - Q3 05:07.00")</f>
        <v>SAS vs CHA - Q3 05:07.00</v>
      </c>
      <c r="M3203">
        <v>17</v>
      </c>
      <c r="N3203">
        <v>105</v>
      </c>
      <c r="O3203">
        <v>136</v>
      </c>
      <c r="P3203">
        <v>105</v>
      </c>
      <c r="Q3203">
        <v>136</v>
      </c>
      <c r="R3203" t="s">
        <v>21</v>
      </c>
      <c r="S3203" t="s">
        <v>21</v>
      </c>
    </row>
    <row r="3204" spans="1:19" hidden="1" x14ac:dyDescent="0.25">
      <c r="A3204">
        <v>21800983</v>
      </c>
      <c r="B3204" t="s">
        <v>18</v>
      </c>
      <c r="C3204" t="s">
        <v>36</v>
      </c>
      <c r="D3204">
        <v>23</v>
      </c>
      <c r="E3204">
        <v>21</v>
      </c>
      <c r="F3204">
        <v>2</v>
      </c>
      <c r="G3204">
        <v>1</v>
      </c>
      <c r="H3204" s="1">
        <v>2.2222222222222222E-3</v>
      </c>
      <c r="I3204">
        <v>2018</v>
      </c>
      <c r="J3204" t="s">
        <v>48</v>
      </c>
      <c r="K3204" s="2" t="str">
        <f>HYPERLINK("https://www.nba.com/stats/events?CFID=&amp;CFPARAMS=&amp;GameEventID=111&amp;GameID=0021800983&amp;Season=2018-19&amp;flag=1&amp;title=Leonard%2017'%20Pullup%20Jump%20Shot%20(14%20PTS)", "Leonard 17' Pullup Jump Shot (14 PTS)")</f>
        <v>Leonard 17' Pullup Jump Shot (14 PTS)</v>
      </c>
      <c r="L3204" s="2" t="str">
        <f>HYPERLINK("https://www.nba.com/game/...-vs-...-0021800983/play-by-play?watchFullGame=true", "TOR vs NOP - Q1 03:12.00")</f>
        <v>TOR vs NOP - Q1 03:12.00</v>
      </c>
      <c r="M3204">
        <v>17</v>
      </c>
      <c r="N3204">
        <v>107</v>
      </c>
      <c r="O3204">
        <v>136</v>
      </c>
      <c r="P3204">
        <v>107</v>
      </c>
      <c r="Q3204">
        <v>136</v>
      </c>
      <c r="R3204" t="s">
        <v>21</v>
      </c>
      <c r="S3204" t="s">
        <v>21</v>
      </c>
    </row>
    <row r="3205" spans="1:19" hidden="1" x14ac:dyDescent="0.25">
      <c r="A3205">
        <v>21801098</v>
      </c>
      <c r="B3205" t="s">
        <v>18</v>
      </c>
      <c r="C3205" t="s">
        <v>36</v>
      </c>
      <c r="D3205">
        <v>69</v>
      </c>
      <c r="E3205">
        <v>71</v>
      </c>
      <c r="F3205">
        <v>2</v>
      </c>
      <c r="G3205">
        <v>3</v>
      </c>
      <c r="H3205" s="1">
        <v>4.5254629629629629E-3</v>
      </c>
      <c r="I3205">
        <v>2018</v>
      </c>
      <c r="J3205" t="s">
        <v>48</v>
      </c>
      <c r="K3205" s="2" t="str">
        <f>HYPERLINK("https://www.nba.com/stats/events?CFID=&amp;CFPARAMS=&amp;GameEventID=393&amp;GameID=0021801098&amp;Season=2018-19&amp;flag=1&amp;title=Leonard%2018'%20Pullup%20Jump%20Shot%20(20%20PTS)%20(Gasol%206%20AST)", "Leonard 18' Pullup Jump Shot (20 PTS) (Gasol 6 AST)")</f>
        <v>Leonard 18' Pullup Jump Shot (20 PTS) (Gasol 6 AST)</v>
      </c>
      <c r="L3205" s="2" t="str">
        <f>HYPERLINK("https://www.nba.com/game/...-vs-...-0021801098/play-by-play?watchFullGame=true", "TOR vs CHA - Q3 06:31.00")</f>
        <v>TOR vs CHA - Q3 06:31.00</v>
      </c>
      <c r="M3205">
        <v>18</v>
      </c>
      <c r="N3205">
        <v>119</v>
      </c>
      <c r="O3205">
        <v>136</v>
      </c>
      <c r="P3205">
        <v>119</v>
      </c>
      <c r="Q3205">
        <v>136</v>
      </c>
      <c r="R3205" t="s">
        <v>21</v>
      </c>
      <c r="S3205" t="s">
        <v>21</v>
      </c>
    </row>
    <row r="3206" spans="1:19" hidden="1" x14ac:dyDescent="0.25">
      <c r="A3206">
        <v>21800371</v>
      </c>
      <c r="B3206" t="s">
        <v>18</v>
      </c>
      <c r="C3206" t="s">
        <v>36</v>
      </c>
      <c r="D3206">
        <v>93</v>
      </c>
      <c r="E3206">
        <v>94</v>
      </c>
      <c r="F3206">
        <v>1</v>
      </c>
      <c r="G3206">
        <v>4</v>
      </c>
      <c r="H3206" s="1">
        <v>2.3263888888888887E-3</v>
      </c>
      <c r="I3206">
        <v>2018</v>
      </c>
      <c r="J3206" t="s">
        <v>48</v>
      </c>
      <c r="K3206" s="2" t="str">
        <f>HYPERLINK("https://www.nba.com/stats/events?CFID=&amp;CFPARAMS=&amp;GameEventID=612&amp;GameID=0021800371&amp;Season=2018-19&amp;flag=1&amp;title=Leonard%2016'%20Pullup%20Jump%20Shot%20(22%20PTS)%20(Siakam%202%20AST)", "Leonard 16' Pullup Jump Shot (22 PTS) (Siakam 2 AST)")</f>
        <v>Leonard 16' Pullup Jump Shot (22 PTS) (Siakam 2 AST)</v>
      </c>
      <c r="L3206" s="2" t="str">
        <f>HYPERLINK("https://www.nba.com/game/...-vs-...-0021800371/play-by-play?watchFullGame=true", "TOR vs BKN - Q4 03:21.00")</f>
        <v>TOR vs BKN - Q4 03:21.00</v>
      </c>
      <c r="M3206">
        <v>16</v>
      </c>
      <c r="N3206">
        <v>-90</v>
      </c>
      <c r="O3206">
        <v>137</v>
      </c>
      <c r="P3206">
        <v>-90</v>
      </c>
      <c r="Q3206">
        <v>137</v>
      </c>
      <c r="R3206" t="s">
        <v>21</v>
      </c>
      <c r="S3206" t="s">
        <v>21</v>
      </c>
    </row>
    <row r="3207" spans="1:19" hidden="1" x14ac:dyDescent="0.25">
      <c r="A3207">
        <v>41400162</v>
      </c>
      <c r="B3207" t="s">
        <v>18</v>
      </c>
      <c r="C3207" t="s">
        <v>34</v>
      </c>
      <c r="D3207">
        <v>88</v>
      </c>
      <c r="E3207">
        <v>78</v>
      </c>
      <c r="F3207">
        <v>10</v>
      </c>
      <c r="G3207">
        <v>4</v>
      </c>
      <c r="H3207" s="1">
        <v>4.6412037037037038E-3</v>
      </c>
      <c r="I3207" t="s">
        <v>56</v>
      </c>
      <c r="J3207" t="s">
        <v>20</v>
      </c>
      <c r="K3207" s="2" t="str">
        <f>HYPERLINK("https://www.nba.com/stats/events?CFID=&amp;CFPARAMS=&amp;GameEventID=438&amp;GameID=0041400162&amp;Season=2014-15&amp;flag=1&amp;title=Leonard%2016'%20Turnaround%20Jump%20Shot%20(21%20PTS)", "Leonard 16' Turnaround Jump Shot (21 PTS)")</f>
        <v>Leonard 16' Turnaround Jump Shot (21 PTS)</v>
      </c>
      <c r="L3207" s="2" t="str">
        <f>HYPERLINK("https://www.nba.com/game/...-vs-...-0041400162/play-by-play?watchFullGame=true", "SAS vs LAC - Q4 06:41.00")</f>
        <v>SAS vs LAC - Q4 06:41.00</v>
      </c>
      <c r="M3207">
        <v>16</v>
      </c>
      <c r="N3207">
        <v>-90</v>
      </c>
      <c r="O3207">
        <v>137</v>
      </c>
      <c r="P3207">
        <v>-90</v>
      </c>
      <c r="Q3207">
        <v>137</v>
      </c>
      <c r="R3207" t="s">
        <v>21</v>
      </c>
      <c r="S3207" t="s">
        <v>21</v>
      </c>
    </row>
    <row r="3208" spans="1:19" hidden="1" x14ac:dyDescent="0.25">
      <c r="A3208">
        <v>41300141</v>
      </c>
      <c r="B3208" t="s">
        <v>18</v>
      </c>
      <c r="C3208" t="s">
        <v>39</v>
      </c>
      <c r="D3208">
        <v>36</v>
      </c>
      <c r="E3208">
        <v>38</v>
      </c>
      <c r="F3208">
        <v>2</v>
      </c>
      <c r="G3208">
        <v>2</v>
      </c>
      <c r="H3208" s="1">
        <v>2.4652777777777776E-3</v>
      </c>
      <c r="I3208" t="s">
        <v>55</v>
      </c>
      <c r="J3208" t="s">
        <v>20</v>
      </c>
      <c r="K3208" s="2" t="str">
        <f>HYPERLINK("https://www.nba.com/stats/events?CFID=&amp;CFPARAMS=&amp;GameEventID=179&amp;GameID=0041300141&amp;Season=2013-14&amp;flag=1&amp;title=Leonard%2016'%20Step%20Back%20Jump%20Shot%20(6%20PTS)", "Leonard 16' Step Back Jump Shot (6 PTS)")</f>
        <v>Leonard 16' Step Back Jump Shot (6 PTS)</v>
      </c>
      <c r="L3208" s="2" t="str">
        <f>HYPERLINK("https://www.nba.com/game/...-vs-...-0041300141/play-by-play?watchFullGame=true", "SAS vs DAL - Q2 03:33.00")</f>
        <v>SAS vs DAL - Q2 03:33.00</v>
      </c>
      <c r="M3208">
        <v>16</v>
      </c>
      <c r="N3208">
        <v>-73</v>
      </c>
      <c r="O3208">
        <v>137</v>
      </c>
      <c r="P3208">
        <v>-73</v>
      </c>
      <c r="Q3208">
        <v>137</v>
      </c>
      <c r="R3208" t="s">
        <v>21</v>
      </c>
      <c r="S3208" t="s">
        <v>21</v>
      </c>
    </row>
    <row r="3209" spans="1:19" hidden="1" x14ac:dyDescent="0.25">
      <c r="A3209">
        <v>21401057</v>
      </c>
      <c r="B3209" t="s">
        <v>18</v>
      </c>
      <c r="C3209" t="s">
        <v>19</v>
      </c>
      <c r="D3209">
        <v>27</v>
      </c>
      <c r="E3209">
        <v>15</v>
      </c>
      <c r="F3209">
        <v>12</v>
      </c>
      <c r="G3209">
        <v>1</v>
      </c>
      <c r="H3209" s="1">
        <v>7.5231481481481482E-4</v>
      </c>
      <c r="I3209">
        <v>2014</v>
      </c>
      <c r="J3209" t="s">
        <v>20</v>
      </c>
      <c r="K3209" s="2" t="str">
        <f>HYPERLINK("https://www.nba.com/stats/events?CFID=&amp;CFPARAMS=&amp;GameEventID=99&amp;GameID=0021401057&amp;Season=2014-15&amp;flag=1&amp;title=Leonard%2016'%20Jump%20Shot%20(8%20PTS)%20(Mills%201%20AST)", "Leonard 16' Jump Shot (8 PTS) (Mills 1 AST)")</f>
        <v>Leonard 16' Jump Shot (8 PTS) (Mills 1 AST)</v>
      </c>
      <c r="L3209" s="2" t="str">
        <f>HYPERLINK("https://www.nba.com/game/...-vs-...-0021401057/play-by-play?watchFullGame=true", "SAS vs DAL - Q1 01:05.00")</f>
        <v>SAS vs DAL - Q1 01:05.00</v>
      </c>
      <c r="M3209">
        <v>16</v>
      </c>
      <c r="N3209">
        <v>83</v>
      </c>
      <c r="O3209">
        <v>137</v>
      </c>
      <c r="P3209">
        <v>83</v>
      </c>
      <c r="Q3209">
        <v>137</v>
      </c>
      <c r="R3209" t="s">
        <v>21</v>
      </c>
      <c r="S3209" t="s">
        <v>21</v>
      </c>
    </row>
    <row r="3210" spans="1:19" hidden="1" x14ac:dyDescent="0.25">
      <c r="A3210">
        <v>21800842</v>
      </c>
      <c r="B3210" t="s">
        <v>18</v>
      </c>
      <c r="C3210" t="s">
        <v>36</v>
      </c>
      <c r="D3210">
        <v>127</v>
      </c>
      <c r="E3210">
        <v>125</v>
      </c>
      <c r="F3210">
        <v>2</v>
      </c>
      <c r="G3210">
        <v>4</v>
      </c>
      <c r="H3210" s="1">
        <v>5.0925925925925929E-5</v>
      </c>
      <c r="I3210">
        <v>2018</v>
      </c>
      <c r="J3210" t="s">
        <v>48</v>
      </c>
      <c r="K3210" s="2" t="str">
        <f>HYPERLINK("https://www.nba.com/stats/events?CFID=&amp;CFPARAMS=&amp;GameEventID=617&amp;GameID=0021800842&amp;Season=2018-19&amp;flag=1&amp;title=Leonard%2016'%20Pullup%20Jump%20Shot%20(30%20PTS)%20(Lowry%207%20AST)", "Leonard 16' Pullup Jump Shot (30 PTS) (Lowry 7 AST)")</f>
        <v>Leonard 16' Pullup Jump Shot (30 PTS) (Lowry 7 AST)</v>
      </c>
      <c r="L3210" s="2" t="str">
        <f>HYPERLINK("https://www.nba.com/game/...-vs-...-0021800842/play-by-play?watchFullGame=true", "TOR vs BKN - Q4 00:04.40")</f>
        <v>TOR vs BKN - Q4 00:04.40</v>
      </c>
      <c r="M3210">
        <v>16</v>
      </c>
      <c r="N3210">
        <v>90</v>
      </c>
      <c r="O3210">
        <v>137</v>
      </c>
      <c r="P3210">
        <v>90</v>
      </c>
      <c r="Q3210">
        <v>137</v>
      </c>
      <c r="R3210" t="s">
        <v>21</v>
      </c>
      <c r="S3210" t="s">
        <v>21</v>
      </c>
    </row>
    <row r="3211" spans="1:19" hidden="1" x14ac:dyDescent="0.25">
      <c r="A3211">
        <v>21600037</v>
      </c>
      <c r="B3211" t="s">
        <v>18</v>
      </c>
      <c r="C3211" t="s">
        <v>37</v>
      </c>
      <c r="D3211">
        <v>4</v>
      </c>
      <c r="E3211">
        <v>3</v>
      </c>
      <c r="F3211">
        <v>1</v>
      </c>
      <c r="G3211">
        <v>1</v>
      </c>
      <c r="H3211" s="1">
        <v>7.1875000000000003E-3</v>
      </c>
      <c r="I3211">
        <v>2016</v>
      </c>
      <c r="J3211" t="s">
        <v>20</v>
      </c>
      <c r="K3211" s="2" t="str">
        <f>HYPERLINK("https://www.nba.com/stats/events?CFID=&amp;CFPARAMS=&amp;GameEventID=11&amp;GameID=0021600037&amp;Season=2016-17&amp;flag=1&amp;title=Leonard%2017'%20Fadeaway%20Jumper%20(2%20PTS)", "Leonard 17' Fadeaway Jumper (2 PTS)")</f>
        <v>Leonard 17' Fadeaway Jumper (2 PTS)</v>
      </c>
      <c r="L3211" s="2" t="str">
        <f>HYPERLINK("https://www.nba.com/game/...-vs-...-0021600037/play-by-play?watchFullGame=true", "SAS vs MIA - Q1 10:21.00")</f>
        <v>SAS vs MIA - Q1 10:21.00</v>
      </c>
      <c r="M3211">
        <v>17</v>
      </c>
      <c r="N3211">
        <v>-99</v>
      </c>
      <c r="O3211">
        <v>139</v>
      </c>
      <c r="P3211">
        <v>-99</v>
      </c>
      <c r="Q3211">
        <v>139</v>
      </c>
      <c r="R3211" t="s">
        <v>21</v>
      </c>
      <c r="S3211" t="s">
        <v>21</v>
      </c>
    </row>
    <row r="3212" spans="1:19" hidden="1" x14ac:dyDescent="0.25">
      <c r="A3212">
        <v>21501118</v>
      </c>
      <c r="B3212" t="s">
        <v>18</v>
      </c>
      <c r="C3212" t="s">
        <v>19</v>
      </c>
      <c r="D3212">
        <v>48</v>
      </c>
      <c r="E3212">
        <v>41</v>
      </c>
      <c r="F3212">
        <v>7</v>
      </c>
      <c r="G3212">
        <v>3</v>
      </c>
      <c r="H3212" s="1">
        <v>7.3148148148148148E-3</v>
      </c>
      <c r="I3212">
        <v>2015</v>
      </c>
      <c r="J3212" t="s">
        <v>20</v>
      </c>
      <c r="K3212" s="2" t="str">
        <f>HYPERLINK("https://www.nba.com/stats/events?CFID=&amp;CFPARAMS=&amp;GameEventID=253&amp;GameID=0021501118&amp;Season=2015-16&amp;flag=1&amp;title=Leonard%2016'%20Jump%20Shot%20(16%20PTS)%20(Parker%204%20AST)", "Leonard 16' Jump Shot (16 PTS) (Parker 4 AST)")</f>
        <v>Leonard 16' Jump Shot (16 PTS) (Parker 4 AST)</v>
      </c>
      <c r="L3212" s="2" t="str">
        <f>HYPERLINK("https://www.nba.com/game/...-vs-...-0021501118/play-by-play?watchFullGame=true", "SAS vs NOP - Q3 10:32.00")</f>
        <v>SAS vs NOP - Q3 10:32.00</v>
      </c>
      <c r="M3212">
        <v>16</v>
      </c>
      <c r="N3212">
        <v>81</v>
      </c>
      <c r="O3212">
        <v>139</v>
      </c>
      <c r="P3212">
        <v>81</v>
      </c>
      <c r="Q3212">
        <v>139</v>
      </c>
      <c r="R3212" t="s">
        <v>21</v>
      </c>
      <c r="S3212" t="s">
        <v>21</v>
      </c>
    </row>
    <row r="3213" spans="1:19" hidden="1" x14ac:dyDescent="0.25">
      <c r="A3213">
        <v>21500090</v>
      </c>
      <c r="B3213" t="s">
        <v>18</v>
      </c>
      <c r="C3213" t="s">
        <v>36</v>
      </c>
      <c r="D3213">
        <v>15</v>
      </c>
      <c r="E3213">
        <v>17</v>
      </c>
      <c r="F3213">
        <v>2</v>
      </c>
      <c r="G3213">
        <v>1</v>
      </c>
      <c r="H3213" s="1">
        <v>2.476851851851852E-3</v>
      </c>
      <c r="I3213">
        <v>2015</v>
      </c>
      <c r="J3213" t="s">
        <v>20</v>
      </c>
      <c r="K3213" s="2" t="str">
        <f>HYPERLINK("https://www.nba.com/stats/events?CFID=&amp;CFPARAMS=&amp;GameEventID=89&amp;GameID=0021500090&amp;Season=2015-16&amp;flag=1&amp;title=Leonard%2017'%20Pullup%20Jump%20Shot%20(2%20PTS)%20(Parker%203%20AST)", "Leonard 17' Pullup Jump Shot (2 PTS) (Parker 3 AST)")</f>
        <v>Leonard 17' Pullup Jump Shot (2 PTS) (Parker 3 AST)</v>
      </c>
      <c r="L3213" s="2" t="str">
        <f>HYPERLINK("https://www.nba.com/game/...-vs-...-0021500090/play-by-play?watchFullGame=true", "SAS vs CHA - Q1 03:34.00")</f>
        <v>SAS vs CHA - Q1 03:34.00</v>
      </c>
      <c r="M3213">
        <v>17</v>
      </c>
      <c r="N3213">
        <v>102</v>
      </c>
      <c r="O3213">
        <v>139</v>
      </c>
      <c r="P3213">
        <v>102</v>
      </c>
      <c r="Q3213">
        <v>139</v>
      </c>
      <c r="R3213" t="s">
        <v>21</v>
      </c>
      <c r="S3213" t="s">
        <v>21</v>
      </c>
    </row>
    <row r="3214" spans="1:19" hidden="1" x14ac:dyDescent="0.25">
      <c r="A3214">
        <v>21500689</v>
      </c>
      <c r="B3214" t="s">
        <v>18</v>
      </c>
      <c r="C3214" t="s">
        <v>36</v>
      </c>
      <c r="D3214">
        <v>84</v>
      </c>
      <c r="E3214">
        <v>60</v>
      </c>
      <c r="F3214">
        <v>24</v>
      </c>
      <c r="G3214">
        <v>3</v>
      </c>
      <c r="H3214" s="1">
        <v>4.9537037037037041E-3</v>
      </c>
      <c r="I3214">
        <v>2015</v>
      </c>
      <c r="J3214" t="s">
        <v>20</v>
      </c>
      <c r="K3214" s="2" t="str">
        <f>HYPERLINK("https://www.nba.com/stats/events?CFID=&amp;CFPARAMS=&amp;GameEventID=367&amp;GameID=0021500689&amp;Season=2015-16&amp;flag=1&amp;title=Leonard%2018'%20Pullup%20Jump%20Shot%20(16%20PTS)", "Leonard 18' Pullup Jump Shot (16 PTS)")</f>
        <v>Leonard 18' Pullup Jump Shot (16 PTS)</v>
      </c>
      <c r="L3214" s="2" t="str">
        <f>HYPERLINK("https://www.nba.com/game/...-vs-...-0021500689/play-by-play?watchFullGame=true", "SAS vs HOU - Q3 07:08.00")</f>
        <v>SAS vs HOU - Q3 07:08.00</v>
      </c>
      <c r="M3214">
        <v>18</v>
      </c>
      <c r="N3214">
        <v>114</v>
      </c>
      <c r="O3214">
        <v>139</v>
      </c>
      <c r="P3214">
        <v>114</v>
      </c>
      <c r="Q3214">
        <v>139</v>
      </c>
      <c r="R3214" t="s">
        <v>21</v>
      </c>
      <c r="S3214" t="s">
        <v>21</v>
      </c>
    </row>
    <row r="3215" spans="1:19" hidden="1" x14ac:dyDescent="0.25">
      <c r="A3215">
        <v>41800213</v>
      </c>
      <c r="B3215" t="s">
        <v>18</v>
      </c>
      <c r="C3215" t="s">
        <v>36</v>
      </c>
      <c r="D3215">
        <v>59</v>
      </c>
      <c r="E3215">
        <v>75</v>
      </c>
      <c r="F3215">
        <v>16</v>
      </c>
      <c r="G3215">
        <v>3</v>
      </c>
      <c r="H3215" s="1">
        <v>5.5324074074074078E-3</v>
      </c>
      <c r="I3215" t="s">
        <v>60</v>
      </c>
      <c r="J3215" t="s">
        <v>48</v>
      </c>
      <c r="K3215" s="2" t="str">
        <f>HYPERLINK("https://www.nba.com/stats/events?CFID=&amp;CFPARAMS=&amp;GameEventID=387&amp;GameID=0041800213&amp;Season=2018-19&amp;flag=1&amp;title=Leonard%2020'%20Pullup%20Jump%20Shot%20(19%20PTS)", "Leonard 20' Pullup Jump Shot (19 PTS)")</f>
        <v>Leonard 20' Pullup Jump Shot (19 PTS)</v>
      </c>
      <c r="L3215" s="2" t="str">
        <f>HYPERLINK("https://www.nba.com/game/...-vs-...-0041800213/play-by-play?watchFullGame=true", "TOR vs PHI - Q3 07:58.00")</f>
        <v>TOR vs PHI - Q3 07:58.00</v>
      </c>
      <c r="M3215">
        <v>20</v>
      </c>
      <c r="N3215">
        <v>137</v>
      </c>
      <c r="O3215">
        <v>140</v>
      </c>
      <c r="P3215">
        <v>137</v>
      </c>
      <c r="Q3215">
        <v>140</v>
      </c>
      <c r="R3215" t="s">
        <v>21</v>
      </c>
      <c r="S3215" t="s">
        <v>21</v>
      </c>
    </row>
    <row r="3216" spans="1:19" hidden="1" x14ac:dyDescent="0.25">
      <c r="A3216">
        <v>21401181</v>
      </c>
      <c r="B3216" t="s">
        <v>18</v>
      </c>
      <c r="C3216" t="s">
        <v>36</v>
      </c>
      <c r="D3216">
        <v>96</v>
      </c>
      <c r="E3216">
        <v>93</v>
      </c>
      <c r="F3216">
        <v>3</v>
      </c>
      <c r="G3216">
        <v>4</v>
      </c>
      <c r="H3216" s="1">
        <v>4.0740740740740737E-3</v>
      </c>
      <c r="I3216">
        <v>2014</v>
      </c>
      <c r="J3216" t="s">
        <v>20</v>
      </c>
      <c r="K3216" s="2" t="str">
        <f>HYPERLINK("https://www.nba.com/stats/events?CFID=&amp;CFPARAMS=&amp;GameEventID=542&amp;GameID=0021401181&amp;Season=2014-15&amp;flag=1&amp;title=Leonard%2021'%20Pullup%20Jump%20Shot%20(14%20PTS)%20(Green%204%20AST)", "Leonard 21' Pullup Jump Shot (14 PTS) (Green 4 AST)")</f>
        <v>Leonard 21' Pullup Jump Shot (14 PTS) (Green 4 AST)</v>
      </c>
      <c r="L3216" s="2" t="str">
        <f>HYPERLINK("https://www.nba.com/game/...-vs-...-0021401181/play-by-play?watchFullGame=true", "SAS vs HOU - Q4 05:52.00")</f>
        <v>SAS vs HOU - Q4 05:52.00</v>
      </c>
      <c r="M3216">
        <v>21</v>
      </c>
      <c r="N3216">
        <v>159</v>
      </c>
      <c r="O3216">
        <v>140</v>
      </c>
      <c r="P3216">
        <v>159</v>
      </c>
      <c r="Q3216">
        <v>140</v>
      </c>
      <c r="R3216" t="s">
        <v>21</v>
      </c>
      <c r="S3216" t="s">
        <v>21</v>
      </c>
    </row>
    <row r="3217" spans="1:19" hidden="1" x14ac:dyDescent="0.25">
      <c r="A3217">
        <v>21600657</v>
      </c>
      <c r="B3217" t="s">
        <v>18</v>
      </c>
      <c r="C3217" t="s">
        <v>36</v>
      </c>
      <c r="D3217">
        <v>4</v>
      </c>
      <c r="E3217">
        <v>8</v>
      </c>
      <c r="F3217">
        <v>4</v>
      </c>
      <c r="G3217">
        <v>1</v>
      </c>
      <c r="H3217" s="1">
        <v>6.3888888888888893E-3</v>
      </c>
      <c r="I3217">
        <v>2016</v>
      </c>
      <c r="J3217" t="s">
        <v>20</v>
      </c>
      <c r="K3217" s="2" t="str">
        <f>HYPERLINK("https://www.nba.com/stats/events?CFID=&amp;CFPARAMS=&amp;GameEventID=23&amp;GameID=0021600657&amp;Season=2016-17&amp;flag=1&amp;title=Leonard%2017'%20Pullup%20Jump%20Shot%20(2%20PTS)%20(Aldridge%201%20AST)", "Leonard 17' Pullup Jump Shot (2 PTS) (Aldridge 1 AST)")</f>
        <v>Leonard 17' Pullup Jump Shot (2 PTS) (Aldridge 1 AST)</v>
      </c>
      <c r="L3217" s="2" t="str">
        <f>HYPERLINK("https://www.nba.com/game/...-vs-...-0021600657/play-by-play?watchFullGame=true", "SAS vs CLE - Q1 09:12.00")</f>
        <v>SAS vs CLE - Q1 09:12.00</v>
      </c>
      <c r="M3217">
        <v>17</v>
      </c>
      <c r="N3217">
        <v>-102</v>
      </c>
      <c r="O3217">
        <v>141</v>
      </c>
      <c r="P3217">
        <v>-102</v>
      </c>
      <c r="Q3217">
        <v>141</v>
      </c>
      <c r="R3217" t="s">
        <v>21</v>
      </c>
      <c r="S3217" t="s">
        <v>21</v>
      </c>
    </row>
    <row r="3218" spans="1:19" hidden="1" x14ac:dyDescent="0.25">
      <c r="A3218">
        <v>21500048</v>
      </c>
      <c r="B3218" t="s">
        <v>18</v>
      </c>
      <c r="C3218" t="s">
        <v>19</v>
      </c>
      <c r="D3218">
        <v>16</v>
      </c>
      <c r="E3218">
        <v>15</v>
      </c>
      <c r="F3218">
        <v>1</v>
      </c>
      <c r="G3218">
        <v>1</v>
      </c>
      <c r="H3218" s="1">
        <v>2.3611111111111111E-3</v>
      </c>
      <c r="I3218">
        <v>2015</v>
      </c>
      <c r="J3218" t="s">
        <v>20</v>
      </c>
      <c r="K3218" s="2" t="str">
        <f>HYPERLINK("https://www.nba.com/stats/events?CFID=&amp;CFPARAMS=&amp;GameEventID=76&amp;GameID=0021500048&amp;Season=2015-16&amp;flag=1&amp;title=Leonard%2017'%20Jump%20Shot%20(5%20PTS)%20(Mills%201%20AST)", "Leonard 17' Jump Shot (5 PTS) (Mills 1 AST)")</f>
        <v>Leonard 17' Jump Shot (5 PTS) (Mills 1 AST)</v>
      </c>
      <c r="L3218" s="2" t="str">
        <f>HYPERLINK("https://www.nba.com/game/...-vs-...-0021500048/play-by-play?watchFullGame=true", "SAS vs NYK - Q1 03:24.00")</f>
        <v>SAS vs NYK - Q1 03:24.00</v>
      </c>
      <c r="M3218">
        <v>17</v>
      </c>
      <c r="N3218">
        <v>-99</v>
      </c>
      <c r="O3218">
        <v>141</v>
      </c>
      <c r="P3218">
        <v>-99</v>
      </c>
      <c r="Q3218">
        <v>141</v>
      </c>
      <c r="R3218" t="s">
        <v>21</v>
      </c>
      <c r="S3218" t="s">
        <v>21</v>
      </c>
    </row>
    <row r="3219" spans="1:19" hidden="1" x14ac:dyDescent="0.25">
      <c r="A3219">
        <v>21500364</v>
      </c>
      <c r="B3219" t="s">
        <v>18</v>
      </c>
      <c r="C3219" t="s">
        <v>34</v>
      </c>
      <c r="D3219">
        <v>47</v>
      </c>
      <c r="E3219">
        <v>24</v>
      </c>
      <c r="F3219">
        <v>23</v>
      </c>
      <c r="G3219">
        <v>2</v>
      </c>
      <c r="H3219" s="1">
        <v>3.6574074074074074E-3</v>
      </c>
      <c r="I3219">
        <v>2015</v>
      </c>
      <c r="J3219" t="s">
        <v>20</v>
      </c>
      <c r="K3219" s="2" t="str">
        <f>HYPERLINK("https://www.nba.com/stats/events?CFID=&amp;CFPARAMS=&amp;GameEventID=191&amp;GameID=0021500364&amp;Season=2015-16&amp;flag=1&amp;title=Leonard%2016'%20Turnaround%20Jump%20Shot%20(6%20PTS)", "Leonard 16' Turnaround Jump Shot (6 PTS)")</f>
        <v>Leonard 16' Turnaround Jump Shot (6 PTS)</v>
      </c>
      <c r="L3219" s="2" t="str">
        <f>HYPERLINK("https://www.nba.com/game/...-vs-...-0021500364/play-by-play?watchFullGame=true", "SAS vs UTA - Q2 05:16.00")</f>
        <v>SAS vs UTA - Q2 05:16.00</v>
      </c>
      <c r="M3219">
        <v>16</v>
      </c>
      <c r="N3219">
        <v>-78</v>
      </c>
      <c r="O3219">
        <v>141</v>
      </c>
      <c r="P3219">
        <v>-78</v>
      </c>
      <c r="Q3219">
        <v>141</v>
      </c>
      <c r="R3219" t="s">
        <v>21</v>
      </c>
      <c r="S3219" t="s">
        <v>21</v>
      </c>
    </row>
    <row r="3220" spans="1:19" hidden="1" x14ac:dyDescent="0.25">
      <c r="A3220">
        <v>21800506</v>
      </c>
      <c r="B3220" t="s">
        <v>18</v>
      </c>
      <c r="C3220" t="s">
        <v>36</v>
      </c>
      <c r="D3220">
        <v>103</v>
      </c>
      <c r="E3220">
        <v>102</v>
      </c>
      <c r="F3220">
        <v>1</v>
      </c>
      <c r="G3220">
        <v>4</v>
      </c>
      <c r="H3220" s="1">
        <v>6.226851851851851E-4</v>
      </c>
      <c r="I3220">
        <v>2018</v>
      </c>
      <c r="J3220" t="s">
        <v>48</v>
      </c>
      <c r="K3220" s="2" t="str">
        <f>HYPERLINK("https://www.nba.com/stats/events?CFID=&amp;CFPARAMS=&amp;GameEventID=584&amp;GameID=0021800506&amp;Season=2018-19&amp;flag=1&amp;title=Leonard%2018'%20Pullup%20Jump%20Shot%20(30%20PTS)", "Leonard 18' Pullup Jump Shot (30 PTS)")</f>
        <v>Leonard 18' Pullup Jump Shot (30 PTS)</v>
      </c>
      <c r="L3220" s="2" t="str">
        <f>HYPERLINK("https://www.nba.com/game/...-vs-...-0021800506/play-by-play?watchFullGame=true", "TOR vs MIA - Q4 00:53.80")</f>
        <v>TOR vs MIA - Q4 00:53.80</v>
      </c>
      <c r="M3220">
        <v>18</v>
      </c>
      <c r="N3220">
        <v>110</v>
      </c>
      <c r="O3220">
        <v>141</v>
      </c>
      <c r="P3220">
        <v>110</v>
      </c>
      <c r="Q3220">
        <v>141</v>
      </c>
      <c r="R3220" t="s">
        <v>21</v>
      </c>
      <c r="S3220" t="s">
        <v>21</v>
      </c>
    </row>
    <row r="3221" spans="1:19" hidden="1" x14ac:dyDescent="0.25">
      <c r="A3221">
        <v>21600925</v>
      </c>
      <c r="B3221" t="s">
        <v>18</v>
      </c>
      <c r="C3221" t="s">
        <v>19</v>
      </c>
      <c r="D3221">
        <v>5</v>
      </c>
      <c r="E3221">
        <v>7</v>
      </c>
      <c r="F3221">
        <v>2</v>
      </c>
      <c r="G3221">
        <v>1</v>
      </c>
      <c r="H3221" s="1">
        <v>5.9606481481481481E-3</v>
      </c>
      <c r="I3221">
        <v>2016</v>
      </c>
      <c r="J3221" t="s">
        <v>20</v>
      </c>
      <c r="K3221" s="2" t="str">
        <f>HYPERLINK("https://www.nba.com/stats/events?CFID=&amp;CFPARAMS=&amp;GameEventID=30&amp;GameID=0021600925&amp;Season=2016-17&amp;flag=1&amp;title=Leonard%2019'%20Jump%20Shot%20(2%20PTS)%20(Dedmon%201%20AST)", "Leonard 19' Jump Shot (2 PTS) (Dedmon 1 AST)")</f>
        <v>Leonard 19' Jump Shot (2 PTS) (Dedmon 1 AST)</v>
      </c>
      <c r="L3221" s="2" t="str">
        <f>HYPERLINK("https://www.nba.com/game/...-vs-...-0021600925/play-by-play?watchFullGame=true", "SAS vs MIN - Q1 08:35.00")</f>
        <v>SAS vs MIN - Q1 08:35.00</v>
      </c>
      <c r="M3221">
        <v>19</v>
      </c>
      <c r="N3221">
        <v>127</v>
      </c>
      <c r="O3221">
        <v>141</v>
      </c>
      <c r="P3221">
        <v>127</v>
      </c>
      <c r="Q3221">
        <v>141</v>
      </c>
      <c r="R3221" t="s">
        <v>21</v>
      </c>
      <c r="S3221" t="s">
        <v>21</v>
      </c>
    </row>
    <row r="3222" spans="1:19" hidden="1" x14ac:dyDescent="0.25">
      <c r="A3222">
        <v>21600588</v>
      </c>
      <c r="B3222" t="s">
        <v>18</v>
      </c>
      <c r="C3222" t="s">
        <v>36</v>
      </c>
      <c r="D3222">
        <v>78</v>
      </c>
      <c r="E3222">
        <v>57</v>
      </c>
      <c r="F3222">
        <v>21</v>
      </c>
      <c r="G3222">
        <v>3</v>
      </c>
      <c r="H3222" s="1">
        <v>6.5972222222222222E-3</v>
      </c>
      <c r="I3222">
        <v>2016</v>
      </c>
      <c r="J3222" t="s">
        <v>20</v>
      </c>
      <c r="K3222" s="2" t="str">
        <f>HYPERLINK("https://www.nba.com/stats/events?CFID=&amp;CFPARAMS=&amp;GameEventID=314&amp;GameID=0021600588&amp;Season=2016-17&amp;flag=1&amp;title=Leonard%2021'%20Pullup%20Jump%20Shot%20(25%20PTS)", "Leonard 21' Pullup Jump Shot (25 PTS)")</f>
        <v>Leonard 21' Pullup Jump Shot (25 PTS)</v>
      </c>
      <c r="L3222" s="2" t="str">
        <f>HYPERLINK("https://www.nba.com/game/...-vs-...-0021600588/play-by-play?watchFullGame=true", "SAS vs LAL - Q3 09:30.00")</f>
        <v>SAS vs LAL - Q3 09:30.00</v>
      </c>
      <c r="M3222">
        <v>21</v>
      </c>
      <c r="N3222">
        <v>151</v>
      </c>
      <c r="O3222">
        <v>141</v>
      </c>
      <c r="P3222">
        <v>151</v>
      </c>
      <c r="Q3222">
        <v>141</v>
      </c>
      <c r="R3222" t="s">
        <v>21</v>
      </c>
      <c r="S3222" t="s">
        <v>21</v>
      </c>
    </row>
    <row r="3223" spans="1:19" hidden="1" x14ac:dyDescent="0.25">
      <c r="A3223">
        <v>41300316</v>
      </c>
      <c r="B3223" t="s">
        <v>18</v>
      </c>
      <c r="C3223" t="s">
        <v>39</v>
      </c>
      <c r="D3223">
        <v>58</v>
      </c>
      <c r="E3223">
        <v>56</v>
      </c>
      <c r="F3223">
        <v>2</v>
      </c>
      <c r="G3223">
        <v>3</v>
      </c>
      <c r="H3223" s="1">
        <v>5.0000000000000001E-3</v>
      </c>
      <c r="I3223" t="s">
        <v>55</v>
      </c>
      <c r="J3223" t="s">
        <v>20</v>
      </c>
      <c r="K3223" s="2" t="str">
        <f>HYPERLINK("https://www.nba.com/stats/events?CFID=&amp;CFPARAMS=&amp;GameEventID=285&amp;GameID=0041300316&amp;Season=2013-14&amp;flag=1&amp;title=Leonard%2020'%20Step%20Back%20Jump%20Shot%20(15%20PTS)", "Leonard 20' Step Back Jump Shot (15 PTS)")</f>
        <v>Leonard 20' Step Back Jump Shot (15 PTS)</v>
      </c>
      <c r="L3223" s="2" t="str">
        <f>HYPERLINK("https://www.nba.com/game/...-vs-...-0041300316/play-by-play?watchFullGame=true", "SAS vs OKC - Q3 07:12.00")</f>
        <v>SAS vs OKC - Q3 07:12.00</v>
      </c>
      <c r="M3223">
        <v>20</v>
      </c>
      <c r="N3223">
        <v>-141</v>
      </c>
      <c r="O3223">
        <v>142</v>
      </c>
      <c r="P3223">
        <v>-141</v>
      </c>
      <c r="Q3223">
        <v>142</v>
      </c>
      <c r="R3223" t="s">
        <v>21</v>
      </c>
      <c r="S3223" t="s">
        <v>21</v>
      </c>
    </row>
    <row r="3224" spans="1:19" hidden="1" x14ac:dyDescent="0.25">
      <c r="A3224">
        <v>21400906</v>
      </c>
      <c r="B3224" t="s">
        <v>18</v>
      </c>
      <c r="C3224" t="s">
        <v>19</v>
      </c>
      <c r="D3224">
        <v>20</v>
      </c>
      <c r="E3224">
        <v>18</v>
      </c>
      <c r="F3224">
        <v>2</v>
      </c>
      <c r="G3224">
        <v>1</v>
      </c>
      <c r="H3224" s="1">
        <v>2.488425925925926E-3</v>
      </c>
      <c r="I3224">
        <v>2014</v>
      </c>
      <c r="J3224" t="s">
        <v>20</v>
      </c>
      <c r="K3224" s="2" t="str">
        <f>HYPERLINK("https://www.nba.com/stats/events?CFID=&amp;CFPARAMS=&amp;GameEventID=81&amp;GameID=0021400906&amp;Season=2014-15&amp;flag=1&amp;title=Leonard%2017'%20Jump%20Shot%20(11%20PTS)%20(Mills%201%20AST)", "Leonard 17' Jump Shot (11 PTS) (Mills 1 AST)")</f>
        <v>Leonard 17' Jump Shot (11 PTS) (Mills 1 AST)</v>
      </c>
      <c r="L3224" s="2" t="str">
        <f>HYPERLINK("https://www.nba.com/game/...-vs-...-0021400906/play-by-play?watchFullGame=true", "SAS vs SAC - Q1 03:35.00")</f>
        <v>SAS vs SAC - Q1 03:35.00</v>
      </c>
      <c r="M3224">
        <v>17</v>
      </c>
      <c r="N3224">
        <v>89</v>
      </c>
      <c r="O3224">
        <v>142</v>
      </c>
      <c r="P3224">
        <v>89</v>
      </c>
      <c r="Q3224">
        <v>142</v>
      </c>
      <c r="R3224" t="s">
        <v>21</v>
      </c>
      <c r="S3224" t="s">
        <v>21</v>
      </c>
    </row>
    <row r="3225" spans="1:19" hidden="1" x14ac:dyDescent="0.25">
      <c r="A3225">
        <v>21800206</v>
      </c>
      <c r="B3225" t="s">
        <v>18</v>
      </c>
      <c r="C3225" t="s">
        <v>39</v>
      </c>
      <c r="D3225">
        <v>79</v>
      </c>
      <c r="E3225">
        <v>60</v>
      </c>
      <c r="F3225">
        <v>19</v>
      </c>
      <c r="G3225">
        <v>3</v>
      </c>
      <c r="H3225" s="1">
        <v>4.1435185185185186E-3</v>
      </c>
      <c r="I3225">
        <v>2018</v>
      </c>
      <c r="J3225" t="s">
        <v>48</v>
      </c>
      <c r="K3225" s="2" t="str">
        <f>HYPERLINK("https://www.nba.com/stats/events?CFID=&amp;CFPARAMS=&amp;GameEventID=406&amp;GameID=0021800206&amp;Season=2018-19&amp;flag=1&amp;title=Leonard%2018'%20Step%20Back%20Jump%20Shot%20(19%20PTS)", "Leonard 18' Step Back Jump Shot (19 PTS)")</f>
        <v>Leonard 18' Step Back Jump Shot (19 PTS)</v>
      </c>
      <c r="L3225" s="2" t="str">
        <f>HYPERLINK("https://www.nba.com/game/...-vs-...-0021800206/play-by-play?watchFullGame=true", "TOR vs DET - Q3 05:58.00")</f>
        <v>TOR vs DET - Q3 05:58.00</v>
      </c>
      <c r="M3225">
        <v>18</v>
      </c>
      <c r="N3225">
        <v>105</v>
      </c>
      <c r="O3225">
        <v>142</v>
      </c>
      <c r="P3225">
        <v>105</v>
      </c>
      <c r="Q3225">
        <v>142</v>
      </c>
      <c r="R3225" t="s">
        <v>21</v>
      </c>
      <c r="S3225" t="s">
        <v>21</v>
      </c>
    </row>
    <row r="3226" spans="1:19" hidden="1" x14ac:dyDescent="0.25">
      <c r="A3226">
        <v>21700550</v>
      </c>
      <c r="B3226" t="s">
        <v>18</v>
      </c>
      <c r="C3226" t="s">
        <v>19</v>
      </c>
      <c r="D3226">
        <v>31</v>
      </c>
      <c r="E3226">
        <v>37</v>
      </c>
      <c r="F3226">
        <v>6</v>
      </c>
      <c r="G3226">
        <v>2</v>
      </c>
      <c r="H3226" s="1">
        <v>5.7870370370370367E-3</v>
      </c>
      <c r="I3226">
        <v>2017</v>
      </c>
      <c r="J3226" t="s">
        <v>20</v>
      </c>
      <c r="K3226" s="2" t="str">
        <f>HYPERLINK("https://www.nba.com/stats/events?CFID=&amp;CFPARAMS=&amp;GameEventID=204&amp;GameID=0021700550&amp;Season=2017-18&amp;flag=1&amp;title=Leonard%2018'%20Jump%20Shot%20(9%20PTS)", "Leonard 18' Jump Shot (9 PTS)")</f>
        <v>Leonard 18' Jump Shot (9 PTS)</v>
      </c>
      <c r="L3226" s="2" t="str">
        <f>HYPERLINK("https://www.nba.com/game/...-vs-...-0021700550/play-by-play?watchFullGame=true", "SAS vs NYK - Q2 08:20.00")</f>
        <v>SAS vs NYK - Q2 08:20.00</v>
      </c>
      <c r="M3226">
        <v>18</v>
      </c>
      <c r="N3226">
        <v>117</v>
      </c>
      <c r="O3226">
        <v>142</v>
      </c>
      <c r="P3226">
        <v>117</v>
      </c>
      <c r="Q3226">
        <v>142</v>
      </c>
      <c r="R3226" t="s">
        <v>21</v>
      </c>
      <c r="S3226" t="s">
        <v>21</v>
      </c>
    </row>
    <row r="3227" spans="1:19" hidden="1" x14ac:dyDescent="0.25">
      <c r="A3227">
        <v>41300147</v>
      </c>
      <c r="B3227" t="s">
        <v>18</v>
      </c>
      <c r="C3227" t="s">
        <v>19</v>
      </c>
      <c r="D3227">
        <v>75</v>
      </c>
      <c r="E3227">
        <v>54</v>
      </c>
      <c r="F3227">
        <v>21</v>
      </c>
      <c r="G3227">
        <v>3</v>
      </c>
      <c r="H3227" s="1">
        <v>6.8055555555555551E-3</v>
      </c>
      <c r="I3227" t="s">
        <v>55</v>
      </c>
      <c r="J3227" t="s">
        <v>20</v>
      </c>
      <c r="K3227" s="2" t="str">
        <f>HYPERLINK("https://www.nba.com/stats/events?CFID=&amp;CFPARAMS=&amp;GameEventID=291&amp;GameID=0041300147&amp;Season=2013-14&amp;flag=1&amp;title=Leonard%2019'%20Jump%20Shot%20(10%20PTS)%20(Diaw%204%20AST)", "Leonard 19' Jump Shot (10 PTS) (Diaw 4 AST)")</f>
        <v>Leonard 19' Jump Shot (10 PTS) (Diaw 4 AST)</v>
      </c>
      <c r="L3227" s="2" t="str">
        <f>HYPERLINK("https://www.nba.com/game/...-vs-...-0041300147/play-by-play?watchFullGame=true", "SAS vs DAL - Q3 09:48.00")</f>
        <v>SAS vs DAL - Q3 09:48.00</v>
      </c>
      <c r="M3227">
        <v>19</v>
      </c>
      <c r="N3227">
        <v>121</v>
      </c>
      <c r="O3227">
        <v>142</v>
      </c>
      <c r="P3227">
        <v>121</v>
      </c>
      <c r="Q3227">
        <v>142</v>
      </c>
      <c r="R3227" t="s">
        <v>21</v>
      </c>
      <c r="S3227" t="s">
        <v>21</v>
      </c>
    </row>
    <row r="3228" spans="1:19" hidden="1" x14ac:dyDescent="0.25">
      <c r="A3228">
        <v>21300993</v>
      </c>
      <c r="B3228" t="s">
        <v>18</v>
      </c>
      <c r="C3228" t="s">
        <v>36</v>
      </c>
      <c r="D3228">
        <v>104</v>
      </c>
      <c r="E3228">
        <v>88</v>
      </c>
      <c r="F3228">
        <v>16</v>
      </c>
      <c r="G3228">
        <v>4</v>
      </c>
      <c r="H3228" s="1">
        <v>5.115740740740741E-3</v>
      </c>
      <c r="I3228">
        <v>2013</v>
      </c>
      <c r="J3228" t="s">
        <v>20</v>
      </c>
      <c r="K3228" s="2" t="str">
        <f>HYPERLINK("https://www.nba.com/stats/events?CFID=&amp;CFPARAMS=&amp;GameEventID=391&amp;GameID=0021300993&amp;Season=2013-14&amp;flag=1&amp;title=Leonard%2017'%20Pullup%20Jump%20Shot%20(11%20PTS)%20(Parker%207%20AST)", "Leonard 17' Pullup Jump Shot (11 PTS) (Parker 7 AST)")</f>
        <v>Leonard 17' Pullup Jump Shot (11 PTS) (Parker 7 AST)</v>
      </c>
      <c r="L3228" s="2" t="str">
        <f>HYPERLINK("https://www.nba.com/game/...-vs-...-0021300993/play-by-play?watchFullGame=true", "SAS vs UTA - Q4 07:22.00")</f>
        <v>SAS vs UTA - Q4 07:22.00</v>
      </c>
      <c r="M3228">
        <v>17</v>
      </c>
      <c r="N3228">
        <v>92</v>
      </c>
      <c r="O3228">
        <v>143</v>
      </c>
      <c r="P3228">
        <v>92</v>
      </c>
      <c r="Q3228">
        <v>143</v>
      </c>
      <c r="R3228" t="s">
        <v>21</v>
      </c>
      <c r="S3228" t="s">
        <v>21</v>
      </c>
    </row>
    <row r="3229" spans="1:19" hidden="1" x14ac:dyDescent="0.25">
      <c r="A3229">
        <v>21601170</v>
      </c>
      <c r="B3229" t="s">
        <v>18</v>
      </c>
      <c r="C3229" t="s">
        <v>19</v>
      </c>
      <c r="D3229">
        <v>31</v>
      </c>
      <c r="E3229">
        <v>46</v>
      </c>
      <c r="F3229">
        <v>15</v>
      </c>
      <c r="G3229">
        <v>2</v>
      </c>
      <c r="H3229" s="1">
        <v>3.6458333333333334E-3</v>
      </c>
      <c r="I3229">
        <v>2016</v>
      </c>
      <c r="J3229" t="s">
        <v>20</v>
      </c>
      <c r="K3229" s="2" t="str">
        <f>HYPERLINK("https://www.nba.com/stats/events?CFID=&amp;CFPARAMS=&amp;GameEventID=172&amp;GameID=0021601170&amp;Season=2016-17&amp;flag=1&amp;title=Leonard%2019'%20Jump%20Shot%20(8%20PTS)%20(Mills%201%20AST)", "Leonard 19' Jump Shot (8 PTS) (Mills 1 AST)")</f>
        <v>Leonard 19' Jump Shot (8 PTS) (Mills 1 AST)</v>
      </c>
      <c r="L3229" s="2" t="str">
        <f>HYPERLINK("https://www.nba.com/game/...-vs-...-0021601170/play-by-play?watchFullGame=true", "SAS vs LAL - Q2 05:15.00")</f>
        <v>SAS vs LAL - Q2 05:15.00</v>
      </c>
      <c r="M3229">
        <v>19</v>
      </c>
      <c r="N3229">
        <v>-129</v>
      </c>
      <c r="O3229">
        <v>144</v>
      </c>
      <c r="P3229">
        <v>-129</v>
      </c>
      <c r="Q3229">
        <v>144</v>
      </c>
      <c r="R3229" t="s">
        <v>21</v>
      </c>
      <c r="S3229" t="s">
        <v>21</v>
      </c>
    </row>
    <row r="3230" spans="1:19" hidden="1" x14ac:dyDescent="0.25">
      <c r="A3230">
        <v>21500123</v>
      </c>
      <c r="B3230" t="s">
        <v>18</v>
      </c>
      <c r="C3230" t="s">
        <v>34</v>
      </c>
      <c r="D3230">
        <v>2</v>
      </c>
      <c r="E3230">
        <v>0</v>
      </c>
      <c r="F3230">
        <v>2</v>
      </c>
      <c r="G3230">
        <v>1</v>
      </c>
      <c r="H3230" s="1">
        <v>7.951388888888888E-3</v>
      </c>
      <c r="I3230">
        <v>2015</v>
      </c>
      <c r="J3230" t="s">
        <v>20</v>
      </c>
      <c r="K3230" s="2" t="str">
        <f>HYPERLINK("https://www.nba.com/stats/events?CFID=&amp;CFPARAMS=&amp;GameEventID=4&amp;GameID=0021500123&amp;Season=2015-16&amp;flag=1&amp;title=Leonard%2018'%20Turnaround%20Jump%20Shot%20(2%20PTS)%20(Parker%201%20AST)", "Leonard 18' Turnaround Jump Shot (2 PTS) (Parker 1 AST)")</f>
        <v>Leonard 18' Turnaround Jump Shot (2 PTS) (Parker 1 AST)</v>
      </c>
      <c r="L3230" s="2" t="str">
        <f>HYPERLINK("https://www.nba.com/game/...-vs-...-0021500123/play-by-play?watchFullGame=true", "SAS vs POR - Q1 11:27.00")</f>
        <v>SAS vs POR - Q1 11:27.00</v>
      </c>
      <c r="M3230">
        <v>18</v>
      </c>
      <c r="N3230">
        <v>-104</v>
      </c>
      <c r="O3230">
        <v>144</v>
      </c>
      <c r="P3230">
        <v>-104</v>
      </c>
      <c r="Q3230">
        <v>144</v>
      </c>
      <c r="R3230" t="s">
        <v>21</v>
      </c>
      <c r="S3230" t="s">
        <v>21</v>
      </c>
    </row>
    <row r="3231" spans="1:19" hidden="1" x14ac:dyDescent="0.25">
      <c r="A3231">
        <v>21600727</v>
      </c>
      <c r="B3231" t="s">
        <v>18</v>
      </c>
      <c r="C3231" t="s">
        <v>36</v>
      </c>
      <c r="D3231">
        <v>88</v>
      </c>
      <c r="E3231">
        <v>77</v>
      </c>
      <c r="F3231">
        <v>11</v>
      </c>
      <c r="G3231">
        <v>4</v>
      </c>
      <c r="H3231" s="1">
        <v>6.4236111111111108E-3</v>
      </c>
      <c r="I3231">
        <v>2016</v>
      </c>
      <c r="J3231" t="s">
        <v>20</v>
      </c>
      <c r="K3231" s="2" t="str">
        <f>HYPERLINK("https://www.nba.com/stats/events?CFID=&amp;CFPARAMS=&amp;GameEventID=532&amp;GameID=0021600727&amp;Season=2016-17&amp;flag=1&amp;title=Leonard%2017'%20Pullup%20Jump%20Shot%20(26%20PTS)", "Leonard 17' Pullup Jump Shot (26 PTS)")</f>
        <v>Leonard 17' Pullup Jump Shot (26 PTS)</v>
      </c>
      <c r="L3231" s="2" t="str">
        <f>HYPERLINK("https://www.nba.com/game/...-vs-...-0021600727/play-by-play?watchFullGame=true", "SAS vs OKC - Q4 09:15.00")</f>
        <v>SAS vs OKC - Q4 09:15.00</v>
      </c>
      <c r="M3231">
        <v>17</v>
      </c>
      <c r="N3231">
        <v>-94</v>
      </c>
      <c r="O3231">
        <v>144</v>
      </c>
      <c r="P3231">
        <v>-94</v>
      </c>
      <c r="Q3231">
        <v>144</v>
      </c>
      <c r="R3231" t="s">
        <v>21</v>
      </c>
      <c r="S3231" t="s">
        <v>21</v>
      </c>
    </row>
    <row r="3232" spans="1:19" hidden="1" x14ac:dyDescent="0.25">
      <c r="A3232">
        <v>21600319</v>
      </c>
      <c r="B3232" t="s">
        <v>18</v>
      </c>
      <c r="C3232" t="s">
        <v>19</v>
      </c>
      <c r="D3232">
        <v>59</v>
      </c>
      <c r="E3232">
        <v>55</v>
      </c>
      <c r="F3232">
        <v>4</v>
      </c>
      <c r="G3232">
        <v>3</v>
      </c>
      <c r="H3232" s="1">
        <v>3.6458333333333334E-3</v>
      </c>
      <c r="I3232">
        <v>2016</v>
      </c>
      <c r="J3232" t="s">
        <v>20</v>
      </c>
      <c r="K3232" s="2" t="str">
        <f>HYPERLINK("https://www.nba.com/stats/events?CFID=&amp;CFPARAMS=&amp;GameEventID=281&amp;GameID=0021600319&amp;Season=2016-17&amp;flag=1&amp;title=Leonard%2017'%20Jump%20Shot%20(18%20PTS)%20(Green%202%20AST)", "Leonard 17' Jump Shot (18 PTS) (Green 2 AST)")</f>
        <v>Leonard 17' Jump Shot (18 PTS) (Green 2 AST)</v>
      </c>
      <c r="L3232" s="2" t="str">
        <f>HYPERLINK("https://www.nba.com/game/...-vs-...-0021600319/play-by-play?watchFullGame=true", "SAS vs MIN - Q3 05:15.00")</f>
        <v>SAS vs MIN - Q3 05:15.00</v>
      </c>
      <c r="M3232">
        <v>17</v>
      </c>
      <c r="N3232">
        <v>-86</v>
      </c>
      <c r="O3232">
        <v>144</v>
      </c>
      <c r="P3232">
        <v>-86</v>
      </c>
      <c r="Q3232">
        <v>144</v>
      </c>
      <c r="R3232" t="s">
        <v>21</v>
      </c>
      <c r="S3232" t="s">
        <v>21</v>
      </c>
    </row>
    <row r="3233" spans="1:19" hidden="1" x14ac:dyDescent="0.25">
      <c r="A3233">
        <v>21601099</v>
      </c>
      <c r="B3233" t="s">
        <v>18</v>
      </c>
      <c r="C3233" t="s">
        <v>36</v>
      </c>
      <c r="D3233">
        <v>42</v>
      </c>
      <c r="E3233">
        <v>32</v>
      </c>
      <c r="F3233">
        <v>10</v>
      </c>
      <c r="G3233">
        <v>2</v>
      </c>
      <c r="H3233" s="1">
        <v>4.3981481481481484E-3</v>
      </c>
      <c r="I3233">
        <v>2016</v>
      </c>
      <c r="J3233" t="s">
        <v>20</v>
      </c>
      <c r="K3233" s="2" t="str">
        <f>HYPERLINK("https://www.nba.com/stats/events?CFID=&amp;CFPARAMS=&amp;GameEventID=191&amp;GameID=0021601099&amp;Season=2016-17&amp;flag=1&amp;title=Leonard%2017'%20Pullup%20Jump%20Shot%20(8%20PTS)", "Leonard 17' Pullup Jump Shot (8 PTS)")</f>
        <v>Leonard 17' Pullup Jump Shot (8 PTS)</v>
      </c>
      <c r="L3233" s="2" t="str">
        <f>HYPERLINK("https://www.nba.com/game/...-vs-...-0021601099/play-by-play?watchFullGame=true", "SAS vs CLE - Q2 06:20.00")</f>
        <v>SAS vs CLE - Q2 06:20.00</v>
      </c>
      <c r="M3233">
        <v>17</v>
      </c>
      <c r="N3233">
        <v>-81</v>
      </c>
      <c r="O3233">
        <v>144</v>
      </c>
      <c r="P3233">
        <v>-81</v>
      </c>
      <c r="Q3233">
        <v>144</v>
      </c>
      <c r="R3233" t="s">
        <v>21</v>
      </c>
      <c r="S3233" t="s">
        <v>21</v>
      </c>
    </row>
    <row r="3234" spans="1:19" hidden="1" x14ac:dyDescent="0.25">
      <c r="A3234">
        <v>21500979</v>
      </c>
      <c r="B3234" t="s">
        <v>18</v>
      </c>
      <c r="C3234" t="s">
        <v>36</v>
      </c>
      <c r="D3234">
        <v>87</v>
      </c>
      <c r="E3234">
        <v>81</v>
      </c>
      <c r="F3234">
        <v>6</v>
      </c>
      <c r="G3234">
        <v>4</v>
      </c>
      <c r="H3234" s="1">
        <v>2.476851851851852E-3</v>
      </c>
      <c r="I3234">
        <v>2015</v>
      </c>
      <c r="J3234" t="s">
        <v>20</v>
      </c>
      <c r="K3234" s="2" t="str">
        <f>HYPERLINK("https://www.nba.com/stats/events?CFID=&amp;CFPARAMS=&amp;GameEventID=480&amp;GameID=0021500979&amp;Season=2015-16&amp;flag=1&amp;title=Leonard%2016'%20Pullup%20Jump%20Shot%20(24%20PTS)", "Leonard 16' Pullup Jump Shot (24 PTS)")</f>
        <v>Leonard 16' Pullup Jump Shot (24 PTS)</v>
      </c>
      <c r="L3234" s="2" t="str">
        <f>HYPERLINK("https://www.nba.com/game/...-vs-...-0021500979/play-by-play?watchFullGame=true", "SAS vs OKC - Q4 03:34.00")</f>
        <v>SAS vs OKC - Q4 03:34.00</v>
      </c>
      <c r="M3234">
        <v>16</v>
      </c>
      <c r="N3234">
        <v>60</v>
      </c>
      <c r="O3234">
        <v>144</v>
      </c>
      <c r="P3234">
        <v>60</v>
      </c>
      <c r="Q3234">
        <v>144</v>
      </c>
      <c r="R3234" t="s">
        <v>21</v>
      </c>
      <c r="S3234" t="s">
        <v>21</v>
      </c>
    </row>
    <row r="3235" spans="1:19" hidden="1" x14ac:dyDescent="0.25">
      <c r="A3235">
        <v>21500235</v>
      </c>
      <c r="B3235" t="s">
        <v>18</v>
      </c>
      <c r="C3235" t="s">
        <v>19</v>
      </c>
      <c r="D3235">
        <v>48</v>
      </c>
      <c r="E3235">
        <v>42</v>
      </c>
      <c r="F3235">
        <v>6</v>
      </c>
      <c r="G3235">
        <v>3</v>
      </c>
      <c r="H3235" s="1">
        <v>7.4999999999999997E-3</v>
      </c>
      <c r="I3235">
        <v>2015</v>
      </c>
      <c r="J3235" t="s">
        <v>20</v>
      </c>
      <c r="K3235" s="2" t="str">
        <f>HYPERLINK("https://www.nba.com/stats/events?CFID=&amp;CFPARAMS=&amp;GameEventID=251&amp;GameID=0021500235&amp;Season=2015-16&amp;flag=1&amp;title=Leonard%2019'%20Jump%20Shot%20(14%20PTS)%20(Aldridge%201%20AST)", "Leonard 19' Jump Shot (14 PTS) (Aldridge 1 AST)")</f>
        <v>Leonard 19' Jump Shot (14 PTS) (Aldridge 1 AST)</v>
      </c>
      <c r="L3235" s="2" t="str">
        <f>HYPERLINK("https://www.nba.com/game/...-vs-...-0021500235/play-by-play?watchFullGame=true", "SAS vs DEN - Q3 10:48.00")</f>
        <v>SAS vs DEN - Q3 10:48.00</v>
      </c>
      <c r="M3235">
        <v>19</v>
      </c>
      <c r="N3235">
        <v>127</v>
      </c>
      <c r="O3235">
        <v>144</v>
      </c>
      <c r="P3235">
        <v>127</v>
      </c>
      <c r="Q3235">
        <v>144</v>
      </c>
      <c r="R3235" t="s">
        <v>21</v>
      </c>
      <c r="S3235" t="s">
        <v>21</v>
      </c>
    </row>
    <row r="3236" spans="1:19" hidden="1" x14ac:dyDescent="0.25">
      <c r="A3236">
        <v>21801156</v>
      </c>
      <c r="B3236" t="s">
        <v>18</v>
      </c>
      <c r="C3236" t="s">
        <v>36</v>
      </c>
      <c r="D3236">
        <v>68</v>
      </c>
      <c r="E3236">
        <v>52</v>
      </c>
      <c r="F3236">
        <v>16</v>
      </c>
      <c r="G3236">
        <v>3</v>
      </c>
      <c r="H3236" s="1">
        <v>7.2222222222222219E-3</v>
      </c>
      <c r="I3236">
        <v>2018</v>
      </c>
      <c r="J3236" t="s">
        <v>48</v>
      </c>
      <c r="K3236" s="2" t="str">
        <f>HYPERLINK("https://www.nba.com/stats/events?CFID=&amp;CFPARAMS=&amp;GameEventID=360&amp;GameID=0021801156&amp;Season=2018-19&amp;flag=1&amp;title=Leonard%2018'%20Pullup%20Jump%20Shot%20(12%20PTS)%20(Siakam%201%20AST)", "Leonard 18' Pullup Jump Shot (12 PTS) (Siakam 1 AST)")</f>
        <v>Leonard 18' Pullup Jump Shot (12 PTS) (Siakam 1 AST)</v>
      </c>
      <c r="L3236" s="2" t="str">
        <f>HYPERLINK("https://www.nba.com/game/...-vs-...-0021801156/play-by-play?watchFullGame=true", "TOR vs ORL - Q3 10:24.00")</f>
        <v>TOR vs ORL - Q3 10:24.00</v>
      </c>
      <c r="M3236">
        <v>18</v>
      </c>
      <c r="N3236">
        <v>-106</v>
      </c>
      <c r="O3236">
        <v>145</v>
      </c>
      <c r="P3236">
        <v>-106</v>
      </c>
      <c r="Q3236">
        <v>145</v>
      </c>
      <c r="R3236" t="s">
        <v>21</v>
      </c>
      <c r="S3236" t="s">
        <v>21</v>
      </c>
    </row>
    <row r="3237" spans="1:19" hidden="1" x14ac:dyDescent="0.25">
      <c r="A3237">
        <v>21800602</v>
      </c>
      <c r="B3237" t="s">
        <v>18</v>
      </c>
      <c r="C3237" t="s">
        <v>36</v>
      </c>
      <c r="D3237">
        <v>90</v>
      </c>
      <c r="E3237">
        <v>88</v>
      </c>
      <c r="F3237">
        <v>2</v>
      </c>
      <c r="G3237">
        <v>4</v>
      </c>
      <c r="H3237" s="1">
        <v>5.347222222222222E-3</v>
      </c>
      <c r="I3237">
        <v>2018</v>
      </c>
      <c r="J3237" t="s">
        <v>48</v>
      </c>
      <c r="K3237" s="2" t="str">
        <f>HYPERLINK("https://www.nba.com/stats/events?CFID=&amp;CFPARAMS=&amp;GameEventID=604&amp;GameID=0021800602&amp;Season=2018-19&amp;flag=1&amp;title=Leonard%2018'%20Pullup%20Jump%20Shot%20(25%20PTS)", "Leonard 18' Pullup Jump Shot (25 PTS)")</f>
        <v>Leonard 18' Pullup Jump Shot (25 PTS)</v>
      </c>
      <c r="L3237" s="2" t="str">
        <f>HYPERLINK("https://www.nba.com/game/...-vs-...-0021800602/play-by-play?watchFullGame=true", "TOR vs ATL - Q4 07:42.00")</f>
        <v>TOR vs ATL - Q4 07:42.00</v>
      </c>
      <c r="M3237">
        <v>18</v>
      </c>
      <c r="N3237">
        <v>98</v>
      </c>
      <c r="O3237">
        <v>145</v>
      </c>
      <c r="P3237">
        <v>98</v>
      </c>
      <c r="Q3237">
        <v>145</v>
      </c>
      <c r="R3237" t="s">
        <v>21</v>
      </c>
      <c r="S3237" t="s">
        <v>21</v>
      </c>
    </row>
    <row r="3238" spans="1:19" hidden="1" x14ac:dyDescent="0.25">
      <c r="A3238">
        <v>21401134</v>
      </c>
      <c r="B3238" t="s">
        <v>18</v>
      </c>
      <c r="C3238" t="s">
        <v>36</v>
      </c>
      <c r="D3238">
        <v>16</v>
      </c>
      <c r="E3238">
        <v>9</v>
      </c>
      <c r="F3238">
        <v>7</v>
      </c>
      <c r="G3238">
        <v>1</v>
      </c>
      <c r="H3238" s="1">
        <v>5.7175925925925927E-3</v>
      </c>
      <c r="I3238">
        <v>2014</v>
      </c>
      <c r="J3238" t="s">
        <v>20</v>
      </c>
      <c r="K3238" s="2" t="str">
        <f>HYPERLINK("https://www.nba.com/stats/events?CFID=&amp;CFPARAMS=&amp;GameEventID=27&amp;GameID=0021401134&amp;Season=2014-15&amp;flag=1&amp;title=Leonard%2018'%20Pullup%20Jump%20Shot%20(8%20PTS)%20(Parker%203%20AST)", "Leonard 18' Pullup Jump Shot (8 PTS) (Parker 3 AST)")</f>
        <v>Leonard 18' Pullup Jump Shot (8 PTS) (Parker 3 AST)</v>
      </c>
      <c r="L3238" s="2" t="str">
        <f>HYPERLINK("https://www.nba.com/game/...-vs-...-0021401134/play-by-play?watchFullGame=true", "SAS vs DEN - Q1 08:14.00")</f>
        <v>SAS vs DEN - Q1 08:14.00</v>
      </c>
      <c r="M3238">
        <v>18</v>
      </c>
      <c r="N3238">
        <v>110</v>
      </c>
      <c r="O3238">
        <v>145</v>
      </c>
      <c r="P3238">
        <v>110</v>
      </c>
      <c r="Q3238">
        <v>145</v>
      </c>
      <c r="R3238" t="s">
        <v>21</v>
      </c>
      <c r="S3238" t="s">
        <v>21</v>
      </c>
    </row>
    <row r="3239" spans="1:19" hidden="1" x14ac:dyDescent="0.25">
      <c r="A3239">
        <v>21400291</v>
      </c>
      <c r="B3239" t="s">
        <v>18</v>
      </c>
      <c r="C3239" t="s">
        <v>36</v>
      </c>
      <c r="D3239">
        <v>83</v>
      </c>
      <c r="E3239">
        <v>61</v>
      </c>
      <c r="F3239">
        <v>22</v>
      </c>
      <c r="G3239">
        <v>3</v>
      </c>
      <c r="H3239" s="1">
        <v>4.386574074074074E-3</v>
      </c>
      <c r="I3239">
        <v>2014</v>
      </c>
      <c r="J3239" t="s">
        <v>20</v>
      </c>
      <c r="K3239" s="2" t="str">
        <f>HYPERLINK("https://www.nba.com/stats/events?CFID=&amp;CFPARAMS=&amp;GameEventID=335&amp;GameID=0021400291&amp;Season=2014-15&amp;flag=1&amp;title=Leonard%2019'%20Pullup%20Jump%20Shot%20(14%20PTS)%20(Joseph%203%20AST)", "Leonard 19' Pullup Jump Shot (14 PTS) (Joseph 3 AST)")</f>
        <v>Leonard 19' Pullup Jump Shot (14 PTS) (Joseph 3 AST)</v>
      </c>
      <c r="L3239" s="2" t="str">
        <f>HYPERLINK("https://www.nba.com/game/...-vs-...-0021400291/play-by-play?watchFullGame=true", "SAS vs MIN - Q3 06:19.00")</f>
        <v>SAS vs MIN - Q3 06:19.00</v>
      </c>
      <c r="M3239">
        <v>19</v>
      </c>
      <c r="N3239">
        <v>130</v>
      </c>
      <c r="O3239">
        <v>145</v>
      </c>
      <c r="P3239">
        <v>130</v>
      </c>
      <c r="Q3239">
        <v>145</v>
      </c>
      <c r="R3239" t="s">
        <v>21</v>
      </c>
      <c r="S3239" t="s">
        <v>21</v>
      </c>
    </row>
    <row r="3240" spans="1:19" hidden="1" x14ac:dyDescent="0.25">
      <c r="A3240">
        <v>21400139</v>
      </c>
      <c r="B3240" t="s">
        <v>18</v>
      </c>
      <c r="C3240" t="s">
        <v>19</v>
      </c>
      <c r="D3240">
        <v>66</v>
      </c>
      <c r="E3240">
        <v>69</v>
      </c>
      <c r="F3240">
        <v>3</v>
      </c>
      <c r="G3240">
        <v>3</v>
      </c>
      <c r="H3240" s="1">
        <v>9.9537037037037042E-4</v>
      </c>
      <c r="I3240">
        <v>2014</v>
      </c>
      <c r="J3240" t="s">
        <v>20</v>
      </c>
      <c r="K3240" s="2" t="str">
        <f>HYPERLINK("https://www.nba.com/stats/events?CFID=&amp;CFPARAMS=&amp;GameEventID=340&amp;GameID=0021400139&amp;Season=2014-15&amp;flag=1&amp;title=Leonard%2021'%20Jump%20Shot%20(11%20PTS)%20(Joseph%202%20AST)", "Leonard 21' Jump Shot (11 PTS) (Joseph 2 AST)")</f>
        <v>Leonard 21' Jump Shot (11 PTS) (Joseph 2 AST)</v>
      </c>
      <c r="L3240" s="2" t="str">
        <f>HYPERLINK("https://www.nba.com/game/...-vs-...-0021400139/play-by-play?watchFullGame=true", "SAS vs SAC - Q3 01:26.00")</f>
        <v>SAS vs SAC - Q3 01:26.00</v>
      </c>
      <c r="M3240">
        <v>21</v>
      </c>
      <c r="N3240">
        <v>151</v>
      </c>
      <c r="O3240">
        <v>145</v>
      </c>
      <c r="P3240">
        <v>151</v>
      </c>
      <c r="Q3240">
        <v>145</v>
      </c>
      <c r="R3240" t="s">
        <v>21</v>
      </c>
      <c r="S3240" t="s">
        <v>21</v>
      </c>
    </row>
    <row r="3241" spans="1:19" hidden="1" x14ac:dyDescent="0.25">
      <c r="A3241">
        <v>21601011</v>
      </c>
      <c r="B3241" t="s">
        <v>18</v>
      </c>
      <c r="C3241" t="s">
        <v>36</v>
      </c>
      <c r="D3241">
        <v>97</v>
      </c>
      <c r="E3241">
        <v>100</v>
      </c>
      <c r="F3241">
        <v>3</v>
      </c>
      <c r="G3241">
        <v>4</v>
      </c>
      <c r="H3241" s="1">
        <v>2.6157407407407405E-3</v>
      </c>
      <c r="I3241">
        <v>2016</v>
      </c>
      <c r="J3241" t="s">
        <v>20</v>
      </c>
      <c r="K3241" s="2" t="str">
        <f>HYPERLINK("https://www.nba.com/stats/events?CFID=&amp;CFPARAMS=&amp;GameEventID=430&amp;GameID=0021601011&amp;Season=2016-17&amp;flag=1&amp;title=Leonard%2020'%20Pullup%20Jump%20Shot%20(34%20PTS)", "Leonard 20' Pullup Jump Shot (34 PTS)")</f>
        <v>Leonard 20' Pullup Jump Shot (34 PTS)</v>
      </c>
      <c r="L3241" s="2" t="str">
        <f>HYPERLINK("https://www.nba.com/game/...-vs-...-0021601011/play-by-play?watchFullGame=true", "SAS vs POR - Q4 03:46.00")</f>
        <v>SAS vs POR - Q4 03:46.00</v>
      </c>
      <c r="M3241">
        <v>20</v>
      </c>
      <c r="N3241">
        <v>-142</v>
      </c>
      <c r="O3241">
        <v>146</v>
      </c>
      <c r="P3241">
        <v>-142</v>
      </c>
      <c r="Q3241">
        <v>146</v>
      </c>
      <c r="R3241" t="s">
        <v>21</v>
      </c>
      <c r="S3241" t="s">
        <v>21</v>
      </c>
    </row>
    <row r="3242" spans="1:19" hidden="1" x14ac:dyDescent="0.25">
      <c r="A3242">
        <v>21500090</v>
      </c>
      <c r="B3242" t="s">
        <v>18</v>
      </c>
      <c r="C3242" t="s">
        <v>36</v>
      </c>
      <c r="D3242">
        <v>73</v>
      </c>
      <c r="E3242">
        <v>73</v>
      </c>
      <c r="F3242">
        <v>0</v>
      </c>
      <c r="G3242">
        <v>3</v>
      </c>
      <c r="H3242" s="1">
        <v>2.662037037037037E-3</v>
      </c>
      <c r="I3242">
        <v>2015</v>
      </c>
      <c r="J3242" t="s">
        <v>20</v>
      </c>
      <c r="K3242" s="2" t="str">
        <f>HYPERLINK("https://www.nba.com/stats/events?CFID=&amp;CFPARAMS=&amp;GameEventID=329&amp;GameID=0021500090&amp;Season=2015-16&amp;flag=1&amp;title=Leonard%2020'%20Pullup%20Jump%20Shot%20(16%20PTS)", "Leonard 20' Pullup Jump Shot (16 PTS)")</f>
        <v>Leonard 20' Pullup Jump Shot (16 PTS)</v>
      </c>
      <c r="L3242" s="2" t="str">
        <f>HYPERLINK("https://www.nba.com/game/...-vs-...-0021500090/play-by-play?watchFullGame=true", "SAS vs CHA - Q3 03:50.00")</f>
        <v>SAS vs CHA - Q3 03:50.00</v>
      </c>
      <c r="M3242">
        <v>20</v>
      </c>
      <c r="N3242">
        <v>-142</v>
      </c>
      <c r="O3242">
        <v>146</v>
      </c>
      <c r="P3242">
        <v>-142</v>
      </c>
      <c r="Q3242">
        <v>146</v>
      </c>
      <c r="R3242" t="s">
        <v>21</v>
      </c>
      <c r="S3242" t="s">
        <v>21</v>
      </c>
    </row>
    <row r="3243" spans="1:19" hidden="1" x14ac:dyDescent="0.25">
      <c r="A3243">
        <v>41800217</v>
      </c>
      <c r="B3243" t="s">
        <v>18</v>
      </c>
      <c r="C3243" t="s">
        <v>36</v>
      </c>
      <c r="D3243">
        <v>82</v>
      </c>
      <c r="E3243">
        <v>80</v>
      </c>
      <c r="F3243">
        <v>2</v>
      </c>
      <c r="G3243">
        <v>4</v>
      </c>
      <c r="H3243" s="1">
        <v>3.7152777777777778E-3</v>
      </c>
      <c r="I3243" t="s">
        <v>60</v>
      </c>
      <c r="J3243" t="s">
        <v>48</v>
      </c>
      <c r="K3243" s="2" t="str">
        <f>HYPERLINK("https://www.nba.com/stats/events?CFID=&amp;CFPARAMS=&amp;GameEventID=529&amp;GameID=0041800217&amp;Season=2018-19&amp;flag=1&amp;title=Leonard%2020'%20Pullup%20Jump%20Shot%20(33%20PTS)", "Leonard 20' Pullup Jump Shot (33 PTS)")</f>
        <v>Leonard 20' Pullup Jump Shot (33 PTS)</v>
      </c>
      <c r="L3243" s="2" t="str">
        <f>HYPERLINK("https://www.nba.com/game/...-vs-...-0041800217/play-by-play?watchFullGame=true", "TOR vs PHI - Q4 05:21.00")</f>
        <v>TOR vs PHI - Q4 05:21.00</v>
      </c>
      <c r="M3243">
        <v>20</v>
      </c>
      <c r="N3243">
        <v>-131</v>
      </c>
      <c r="O3243">
        <v>146</v>
      </c>
      <c r="P3243">
        <v>-131</v>
      </c>
      <c r="Q3243">
        <v>146</v>
      </c>
      <c r="R3243" t="s">
        <v>21</v>
      </c>
      <c r="S3243" t="s">
        <v>21</v>
      </c>
    </row>
    <row r="3244" spans="1:19" hidden="1" x14ac:dyDescent="0.25">
      <c r="A3244">
        <v>41800302</v>
      </c>
      <c r="B3244" t="s">
        <v>18</v>
      </c>
      <c r="C3244" t="s">
        <v>39</v>
      </c>
      <c r="D3244">
        <v>49</v>
      </c>
      <c r="E3244">
        <v>70</v>
      </c>
      <c r="F3244">
        <v>21</v>
      </c>
      <c r="G3244">
        <v>3</v>
      </c>
      <c r="H3244" s="1">
        <v>5.7986111111111112E-3</v>
      </c>
      <c r="I3244" t="s">
        <v>60</v>
      </c>
      <c r="J3244" t="s">
        <v>48</v>
      </c>
      <c r="K3244" s="2" t="str">
        <f>HYPERLINK("https://www.nba.com/stats/events?CFID=&amp;CFPARAMS=&amp;GameEventID=401&amp;GameID=0041800302&amp;Season=2018-19&amp;flag=1&amp;title=Leonard%2017'%20Step%20Back%20Jump%20Shot%20(16%20PTS)", "Leonard 17' Step Back Jump Shot (16 PTS)")</f>
        <v>Leonard 17' Step Back Jump Shot (16 PTS)</v>
      </c>
      <c r="L3244" s="2" t="str">
        <f>HYPERLINK("https://www.nba.com/game/...-vs-...-0041800302/play-by-play?watchFullGame=true", "TOR vs MIL - Q3 08:21.00")</f>
        <v>TOR vs MIL - Q3 08:21.00</v>
      </c>
      <c r="M3244">
        <v>17</v>
      </c>
      <c r="N3244">
        <v>-83</v>
      </c>
      <c r="O3244">
        <v>146</v>
      </c>
      <c r="P3244">
        <v>-83</v>
      </c>
      <c r="Q3244">
        <v>146</v>
      </c>
      <c r="R3244" t="s">
        <v>21</v>
      </c>
      <c r="S3244" t="s">
        <v>21</v>
      </c>
    </row>
    <row r="3245" spans="1:19" hidden="1" x14ac:dyDescent="0.25">
      <c r="A3245">
        <v>21800008</v>
      </c>
      <c r="B3245" t="s">
        <v>18</v>
      </c>
      <c r="C3245" t="s">
        <v>36</v>
      </c>
      <c r="D3245">
        <v>24</v>
      </c>
      <c r="E3245">
        <v>23</v>
      </c>
      <c r="F3245">
        <v>1</v>
      </c>
      <c r="G3245">
        <v>1</v>
      </c>
      <c r="H3245" s="1">
        <v>7.8703703703703705E-4</v>
      </c>
      <c r="I3245">
        <v>2018</v>
      </c>
      <c r="J3245" t="s">
        <v>48</v>
      </c>
      <c r="K3245" s="2" t="str">
        <f>HYPERLINK("https://www.nba.com/stats/events?CFID=&amp;CFPARAMS=&amp;GameEventID=143&amp;GameID=0021800008&amp;Season=2018-19&amp;flag=1&amp;title=Leonard%2016'%20Pullup%20Jump%20Shot%20(6%20PTS)", "Leonard 16' Pullup Jump Shot (6 PTS)")</f>
        <v>Leonard 16' Pullup Jump Shot (6 PTS)</v>
      </c>
      <c r="L3245" s="2" t="str">
        <f>HYPERLINK("https://www.nba.com/game/...-vs-...-0021800008/play-by-play?watchFullGame=true", "TOR vs CLE - Q1 01:08.00")</f>
        <v>TOR vs CLE - Q1 01:08.00</v>
      </c>
      <c r="M3245">
        <v>16</v>
      </c>
      <c r="N3245">
        <v>73</v>
      </c>
      <c r="O3245">
        <v>146</v>
      </c>
      <c r="P3245">
        <v>73</v>
      </c>
      <c r="Q3245">
        <v>146</v>
      </c>
      <c r="R3245" t="s">
        <v>21</v>
      </c>
      <c r="S3245" t="s">
        <v>21</v>
      </c>
    </row>
    <row r="3246" spans="1:19" hidden="1" x14ac:dyDescent="0.25">
      <c r="A3246">
        <v>21800724</v>
      </c>
      <c r="B3246" t="s">
        <v>18</v>
      </c>
      <c r="C3246" t="s">
        <v>36</v>
      </c>
      <c r="D3246">
        <v>8</v>
      </c>
      <c r="E3246">
        <v>8</v>
      </c>
      <c r="F3246">
        <v>0</v>
      </c>
      <c r="G3246">
        <v>1</v>
      </c>
      <c r="H3246" s="1">
        <v>6.0185185185185185E-3</v>
      </c>
      <c r="I3246">
        <v>2018</v>
      </c>
      <c r="J3246" t="s">
        <v>48</v>
      </c>
      <c r="K3246" s="2" t="str">
        <f>HYPERLINK("https://www.nba.com/stats/events?CFID=&amp;CFPARAMS=&amp;GameEventID=44&amp;GameID=0021800724&amp;Season=2018-19&amp;flag=1&amp;title=Leonard%2017'%20Pullup%20Jump%20Shot%20(2%20PTS)", "Leonard 17' Pullup Jump Shot (2 PTS)")</f>
        <v>Leonard 17' Pullup Jump Shot (2 PTS)</v>
      </c>
      <c r="L3246" s="2" t="str">
        <f>HYPERLINK("https://www.nba.com/game/...-vs-...-0021800724/play-by-play?watchFullGame=true", "TOR vs HOU - Q1 08:40.00")</f>
        <v>TOR vs HOU - Q1 08:40.00</v>
      </c>
      <c r="M3246">
        <v>17</v>
      </c>
      <c r="N3246">
        <v>84</v>
      </c>
      <c r="O3246">
        <v>146</v>
      </c>
      <c r="P3246">
        <v>84</v>
      </c>
      <c r="Q3246">
        <v>146</v>
      </c>
      <c r="R3246" t="s">
        <v>21</v>
      </c>
      <c r="S3246" t="s">
        <v>21</v>
      </c>
    </row>
    <row r="3247" spans="1:19" hidden="1" x14ac:dyDescent="0.25">
      <c r="A3247">
        <v>21801044</v>
      </c>
      <c r="B3247" t="s">
        <v>18</v>
      </c>
      <c r="C3247" t="s">
        <v>36</v>
      </c>
      <c r="D3247">
        <v>49</v>
      </c>
      <c r="E3247">
        <v>50</v>
      </c>
      <c r="F3247">
        <v>1</v>
      </c>
      <c r="G3247">
        <v>3</v>
      </c>
      <c r="H3247" s="1">
        <v>8.1944444444444452E-3</v>
      </c>
      <c r="I3247">
        <v>2018</v>
      </c>
      <c r="J3247" t="s">
        <v>48</v>
      </c>
      <c r="K3247" s="2" t="str">
        <f>HYPERLINK("https://www.nba.com/stats/events?CFID=&amp;CFPARAMS=&amp;GameEventID=287&amp;GameID=0021801044&amp;Season=2018-19&amp;flag=1&amp;title=Leonard%2019'%20Pullup%20Jump%20Shot%20(16%20PTS)%20(Gasol%204%20AST)", "Leonard 19' Pullup Jump Shot (16 PTS) (Gasol 4 AST)")</f>
        <v>Leonard 19' Pullup Jump Shot (16 PTS) (Gasol 4 AST)</v>
      </c>
      <c r="L3247" s="2" t="str">
        <f>HYPERLINK("https://www.nba.com/game/...-vs-...-0021801044/play-by-play?watchFullGame=true", "TOR vs DET - Q3 11:48.00")</f>
        <v>TOR vs DET - Q3 11:48.00</v>
      </c>
      <c r="M3247">
        <v>19</v>
      </c>
      <c r="N3247">
        <v>126</v>
      </c>
      <c r="O3247">
        <v>146</v>
      </c>
      <c r="P3247">
        <v>126</v>
      </c>
      <c r="Q3247">
        <v>146</v>
      </c>
      <c r="R3247" t="s">
        <v>21</v>
      </c>
      <c r="S3247" t="s">
        <v>21</v>
      </c>
    </row>
    <row r="3248" spans="1:19" hidden="1" x14ac:dyDescent="0.25">
      <c r="A3248">
        <v>21300296</v>
      </c>
      <c r="B3248" t="s">
        <v>18</v>
      </c>
      <c r="C3248" t="s">
        <v>19</v>
      </c>
      <c r="D3248">
        <v>50</v>
      </c>
      <c r="E3248">
        <v>59</v>
      </c>
      <c r="F3248">
        <v>9</v>
      </c>
      <c r="G3248">
        <v>3</v>
      </c>
      <c r="H3248" s="1">
        <v>7.1990740740740739E-3</v>
      </c>
      <c r="I3248">
        <v>2013</v>
      </c>
      <c r="J3248" t="s">
        <v>20</v>
      </c>
      <c r="K3248" s="2" t="str">
        <f>HYPERLINK("https://www.nba.com/stats/events?CFID=&amp;CFPARAMS=&amp;GameEventID=227&amp;GameID=0021300296&amp;Season=2013-14&amp;flag=1&amp;title=Leonard%2021'%20Jump%20Shot%20(9%20PTS)%20(Bonner%201%20AST)", "Leonard 21' Jump Shot (9 PTS) (Bonner 1 AST)")</f>
        <v>Leonard 21' Jump Shot (9 PTS) (Bonner 1 AST)</v>
      </c>
      <c r="L3248" s="2" t="str">
        <f>HYPERLINK("https://www.nba.com/game/...-vs-...-0021300296/play-by-play?watchFullGame=true", "SAS vs IND - Q3 10:22.00")</f>
        <v>SAS vs IND - Q3 10:22.00</v>
      </c>
      <c r="M3248">
        <v>21</v>
      </c>
      <c r="N3248">
        <v>152</v>
      </c>
      <c r="O3248">
        <v>146</v>
      </c>
      <c r="P3248">
        <v>152</v>
      </c>
      <c r="Q3248">
        <v>146</v>
      </c>
      <c r="R3248" t="s">
        <v>21</v>
      </c>
      <c r="S3248" t="s">
        <v>21</v>
      </c>
    </row>
    <row r="3249" spans="1:19" hidden="1" x14ac:dyDescent="0.25">
      <c r="A3249">
        <v>21700502</v>
      </c>
      <c r="B3249" t="s">
        <v>18</v>
      </c>
      <c r="C3249" t="s">
        <v>36</v>
      </c>
      <c r="D3249">
        <v>2</v>
      </c>
      <c r="E3249">
        <v>2</v>
      </c>
      <c r="F3249">
        <v>0</v>
      </c>
      <c r="G3249">
        <v>1</v>
      </c>
      <c r="H3249" s="1">
        <v>7.7314814814814815E-3</v>
      </c>
      <c r="I3249">
        <v>2017</v>
      </c>
      <c r="J3249" t="s">
        <v>20</v>
      </c>
      <c r="K3249" s="2" t="str">
        <f>HYPERLINK("https://www.nba.com/stats/events?CFID=&amp;CFPARAMS=&amp;GameEventID=11&amp;GameID=0021700502&amp;Season=2017-18&amp;flag=1&amp;title=Leonard%2016'%20Pullup%20Jump%20Shot%20(2%20PTS)", "Leonard 16' Pullup Jump Shot (2 PTS)")</f>
        <v>Leonard 16' Pullup Jump Shot (2 PTS)</v>
      </c>
      <c r="L3249" s="2" t="str">
        <f>HYPERLINK("https://www.nba.com/game/...-vs-...-0021700502/play-by-play?watchFullGame=true", "SAS vs BKN - Q1 11:08.00")</f>
        <v>SAS vs BKN - Q1 11:08.00</v>
      </c>
      <c r="M3249">
        <v>16</v>
      </c>
      <c r="N3249">
        <v>56</v>
      </c>
      <c r="O3249">
        <v>147</v>
      </c>
      <c r="P3249">
        <v>56</v>
      </c>
      <c r="Q3249">
        <v>147</v>
      </c>
      <c r="R3249" t="s">
        <v>21</v>
      </c>
      <c r="S3249" t="s">
        <v>21</v>
      </c>
    </row>
    <row r="3250" spans="1:19" hidden="1" x14ac:dyDescent="0.25">
      <c r="A3250">
        <v>21800442</v>
      </c>
      <c r="B3250" t="s">
        <v>18</v>
      </c>
      <c r="C3250" t="s">
        <v>36</v>
      </c>
      <c r="D3250">
        <v>32</v>
      </c>
      <c r="E3250">
        <v>33</v>
      </c>
      <c r="F3250">
        <v>1</v>
      </c>
      <c r="G3250">
        <v>2</v>
      </c>
      <c r="H3250" s="1">
        <v>5.347222222222222E-3</v>
      </c>
      <c r="I3250">
        <v>2018</v>
      </c>
      <c r="J3250" t="s">
        <v>48</v>
      </c>
      <c r="K3250" s="2" t="str">
        <f>HYPERLINK("https://www.nba.com/stats/events?CFID=&amp;CFPARAMS=&amp;GameEventID=207&amp;GameID=0021800442&amp;Season=2018-19&amp;flag=1&amp;title=Leonard%2019'%20Pullup%20Jump%20Shot%20(6%20PTS)", "Leonard 19' Pullup Jump Shot (6 PTS)")</f>
        <v>Leonard 19' Pullup Jump Shot (6 PTS)</v>
      </c>
      <c r="L3250" s="2" t="str">
        <f>HYPERLINK("https://www.nba.com/game/...-vs-...-0021800442/play-by-play?watchFullGame=true", "TOR vs DEN - Q2 07:42.00")</f>
        <v>TOR vs DEN - Q2 07:42.00</v>
      </c>
      <c r="M3250">
        <v>19</v>
      </c>
      <c r="N3250">
        <v>119</v>
      </c>
      <c r="O3250">
        <v>147</v>
      </c>
      <c r="P3250">
        <v>119</v>
      </c>
      <c r="Q3250">
        <v>147</v>
      </c>
      <c r="R3250" t="s">
        <v>21</v>
      </c>
      <c r="S3250" t="s">
        <v>21</v>
      </c>
    </row>
    <row r="3251" spans="1:19" hidden="1" x14ac:dyDescent="0.25">
      <c r="A3251">
        <v>41300404</v>
      </c>
      <c r="B3251" t="s">
        <v>18</v>
      </c>
      <c r="C3251" t="s">
        <v>19</v>
      </c>
      <c r="D3251">
        <v>89</v>
      </c>
      <c r="E3251">
        <v>66</v>
      </c>
      <c r="F3251">
        <v>23</v>
      </c>
      <c r="G3251">
        <v>4</v>
      </c>
      <c r="H3251" s="1">
        <v>5.4050925925925924E-3</v>
      </c>
      <c r="I3251" t="s">
        <v>55</v>
      </c>
      <c r="J3251" t="s">
        <v>20</v>
      </c>
      <c r="K3251" s="2" t="str">
        <f>HYPERLINK("https://www.nba.com/stats/events?CFID=&amp;CFPARAMS=&amp;GameEventID=410&amp;GameID=0041300404&amp;Season=2013-14&amp;flag=1&amp;title=Leonard%2017'%20Jump%20Shot%20(18%20PTS)%20(Ginobili%202%20AST)", "Leonard 17' Jump Shot (18 PTS) (Ginobili 2 AST)")</f>
        <v>Leonard 17' Jump Shot (18 PTS) (Ginobili 2 AST)</v>
      </c>
      <c r="L3251" s="2" t="str">
        <f>HYPERLINK("https://www.nba.com/game/...-vs-...-0041300404/play-by-play?watchFullGame=true", "SAS vs MIA - Q4 07:47.00")</f>
        <v>SAS vs MIA - Q4 07:47.00</v>
      </c>
      <c r="M3251">
        <v>17</v>
      </c>
      <c r="N3251">
        <v>-78</v>
      </c>
      <c r="O3251">
        <v>148</v>
      </c>
      <c r="P3251">
        <v>-78</v>
      </c>
      <c r="Q3251">
        <v>148</v>
      </c>
      <c r="R3251" t="s">
        <v>21</v>
      </c>
      <c r="S3251" t="s">
        <v>21</v>
      </c>
    </row>
    <row r="3252" spans="1:19" hidden="1" x14ac:dyDescent="0.25">
      <c r="A3252">
        <v>41800301</v>
      </c>
      <c r="B3252" t="s">
        <v>18</v>
      </c>
      <c r="C3252" t="s">
        <v>36</v>
      </c>
      <c r="D3252">
        <v>61</v>
      </c>
      <c r="E3252">
        <v>53</v>
      </c>
      <c r="F3252">
        <v>8</v>
      </c>
      <c r="G3252">
        <v>3</v>
      </c>
      <c r="H3252" s="1">
        <v>7.7777777777777776E-3</v>
      </c>
      <c r="I3252" t="s">
        <v>60</v>
      </c>
      <c r="J3252" t="s">
        <v>48</v>
      </c>
      <c r="K3252" s="2" t="str">
        <f>HYPERLINK("https://www.nba.com/stats/events?CFID=&amp;CFPARAMS=&amp;GameEventID=327&amp;GameID=0041800301&amp;Season=2018-19&amp;flag=1&amp;title=Leonard%2018'%20Pullup%20Jump%20Shot%20(17%20PTS)", "Leonard 18' Pullup Jump Shot (17 PTS)")</f>
        <v>Leonard 18' Pullup Jump Shot (17 PTS)</v>
      </c>
      <c r="L3252" s="2" t="str">
        <f>HYPERLINK("https://www.nba.com/game/...-vs-...-0041800301/play-by-play?watchFullGame=true", "TOR vs MIL - Q3 11:12.00")</f>
        <v>TOR vs MIL - Q3 11:12.00</v>
      </c>
      <c r="M3252">
        <v>18</v>
      </c>
      <c r="N3252">
        <v>-104</v>
      </c>
      <c r="O3252">
        <v>149</v>
      </c>
      <c r="P3252">
        <v>-104</v>
      </c>
      <c r="Q3252">
        <v>149</v>
      </c>
      <c r="R3252" t="s">
        <v>21</v>
      </c>
      <c r="S3252" t="s">
        <v>21</v>
      </c>
    </row>
    <row r="3253" spans="1:19" hidden="1" x14ac:dyDescent="0.25">
      <c r="A3253">
        <v>21600319</v>
      </c>
      <c r="B3253" t="s">
        <v>18</v>
      </c>
      <c r="C3253" t="s">
        <v>36</v>
      </c>
      <c r="D3253">
        <v>21</v>
      </c>
      <c r="E3253">
        <v>29</v>
      </c>
      <c r="F3253">
        <v>8</v>
      </c>
      <c r="G3253">
        <v>2</v>
      </c>
      <c r="H3253" s="1">
        <v>7.1875000000000003E-3</v>
      </c>
      <c r="I3253">
        <v>2016</v>
      </c>
      <c r="J3253" t="s">
        <v>20</v>
      </c>
      <c r="K3253" s="2" t="str">
        <f>HYPERLINK("https://www.nba.com/stats/events?CFID=&amp;CFPARAMS=&amp;GameEventID=127&amp;GameID=0021600319&amp;Season=2016-17&amp;flag=1&amp;title=Leonard%2017'%20Pullup%20Jump%20Shot%20(2%20PTS)", "Leonard 17' Pullup Jump Shot (2 PTS)")</f>
        <v>Leonard 17' Pullup Jump Shot (2 PTS)</v>
      </c>
      <c r="L3253" s="2" t="str">
        <f>HYPERLINK("https://www.nba.com/game/...-vs-...-0021600319/play-by-play?watchFullGame=true", "SAS vs MIN - Q2 10:21.00")</f>
        <v>SAS vs MIN - Q2 10:21.00</v>
      </c>
      <c r="M3253">
        <v>17</v>
      </c>
      <c r="N3253">
        <v>-71</v>
      </c>
      <c r="O3253">
        <v>149</v>
      </c>
      <c r="P3253">
        <v>-71</v>
      </c>
      <c r="Q3253">
        <v>149</v>
      </c>
      <c r="R3253" t="s">
        <v>21</v>
      </c>
      <c r="S3253" t="s">
        <v>21</v>
      </c>
    </row>
    <row r="3254" spans="1:19" hidden="1" x14ac:dyDescent="0.25">
      <c r="A3254">
        <v>21800347</v>
      </c>
      <c r="B3254" t="s">
        <v>18</v>
      </c>
      <c r="C3254" t="s">
        <v>36</v>
      </c>
      <c r="D3254">
        <v>22</v>
      </c>
      <c r="E3254">
        <v>18</v>
      </c>
      <c r="F3254">
        <v>4</v>
      </c>
      <c r="G3254">
        <v>1</v>
      </c>
      <c r="H3254" s="1">
        <v>2.5925925925925925E-3</v>
      </c>
      <c r="I3254">
        <v>2018</v>
      </c>
      <c r="J3254" t="s">
        <v>48</v>
      </c>
      <c r="K3254" s="2" t="str">
        <f>HYPERLINK("https://www.nba.com/stats/events?CFID=&amp;CFPARAMS=&amp;GameEventID=102&amp;GameID=0021800347&amp;Season=2018-19&amp;flag=1&amp;title=Leonard%2016'%20Pullup%20Jump%20Shot%20(8%20PTS)", "Leonard 16' Pullup Jump Shot (8 PTS)")</f>
        <v>Leonard 16' Pullup Jump Shot (8 PTS)</v>
      </c>
      <c r="L3254" s="2" t="str">
        <f>HYPERLINK("https://www.nba.com/game/...-vs-...-0021800347/play-by-play?watchFullGame=true", "TOR vs DEN - Q1 03:44.00")</f>
        <v>TOR vs DEN - Q1 03:44.00</v>
      </c>
      <c r="M3254">
        <v>16</v>
      </c>
      <c r="N3254">
        <v>-51</v>
      </c>
      <c r="O3254">
        <v>149</v>
      </c>
      <c r="P3254">
        <v>-51</v>
      </c>
      <c r="Q3254">
        <v>149</v>
      </c>
      <c r="R3254" t="s">
        <v>21</v>
      </c>
      <c r="S3254" t="s">
        <v>21</v>
      </c>
    </row>
    <row r="3255" spans="1:19" hidden="1" x14ac:dyDescent="0.25">
      <c r="A3255">
        <v>21500393</v>
      </c>
      <c r="B3255" t="s">
        <v>18</v>
      </c>
      <c r="C3255" t="s">
        <v>39</v>
      </c>
      <c r="D3255">
        <v>71</v>
      </c>
      <c r="E3255">
        <v>72</v>
      </c>
      <c r="F3255">
        <v>1</v>
      </c>
      <c r="G3255">
        <v>3</v>
      </c>
      <c r="H3255" s="1">
        <v>4.3981481481481484E-3</v>
      </c>
      <c r="I3255">
        <v>2015</v>
      </c>
      <c r="J3255" t="s">
        <v>20</v>
      </c>
      <c r="K3255" s="2" t="str">
        <f>HYPERLINK("https://www.nba.com/stats/events?CFID=&amp;CFPARAMS=&amp;GameEventID=285&amp;GameID=0021500393&amp;Season=2015-16&amp;flag=1&amp;title=Leonard%2016'%20Step%20Back%20Jump%20Shot%20(14%20PTS)", "Leonard 16' Step Back Jump Shot (14 PTS)")</f>
        <v>Leonard 16' Step Back Jump Shot (14 PTS)</v>
      </c>
      <c r="L3255" s="2" t="str">
        <f>HYPERLINK("https://www.nba.com/game/...-vs-...-0021500393/play-by-play?watchFullGame=true", "SAS vs LAC - Q3 06:20.00")</f>
        <v>SAS vs LAC - Q3 06:20.00</v>
      </c>
      <c r="M3255">
        <v>16</v>
      </c>
      <c r="N3255">
        <v>45</v>
      </c>
      <c r="O3255">
        <v>149</v>
      </c>
      <c r="P3255">
        <v>45</v>
      </c>
      <c r="Q3255">
        <v>149</v>
      </c>
      <c r="R3255" t="s">
        <v>21</v>
      </c>
      <c r="S3255" t="s">
        <v>21</v>
      </c>
    </row>
    <row r="3256" spans="1:19" hidden="1" x14ac:dyDescent="0.25">
      <c r="A3256">
        <v>21600240</v>
      </c>
      <c r="B3256" t="s">
        <v>18</v>
      </c>
      <c r="C3256" t="s">
        <v>36</v>
      </c>
      <c r="D3256">
        <v>87</v>
      </c>
      <c r="E3256">
        <v>73</v>
      </c>
      <c r="F3256">
        <v>14</v>
      </c>
      <c r="G3256">
        <v>3</v>
      </c>
      <c r="H3256" s="1">
        <v>8.564814814814815E-4</v>
      </c>
      <c r="I3256">
        <v>2016</v>
      </c>
      <c r="J3256" t="s">
        <v>20</v>
      </c>
      <c r="K3256" s="2" t="str">
        <f>HYPERLINK("https://www.nba.com/stats/events?CFID=&amp;CFPARAMS=&amp;GameEventID=411&amp;GameID=0021600240&amp;Season=2016-17&amp;flag=1&amp;title=Leonard%2017'%20Pullup%20Jump%20Shot%20(16%20PTS)", "Leonard 17' Pullup Jump Shot (16 PTS)")</f>
        <v>Leonard 17' Pullup Jump Shot (16 PTS)</v>
      </c>
      <c r="L3256" s="2" t="str">
        <f>HYPERLINK("https://www.nba.com/game/...-vs-...-0021600240/play-by-play?watchFullGame=true", "SAS vs WAS - Q3 01:14.00")</f>
        <v>SAS vs WAS - Q3 01:14.00</v>
      </c>
      <c r="M3256">
        <v>17</v>
      </c>
      <c r="N3256">
        <v>74</v>
      </c>
      <c r="O3256">
        <v>149</v>
      </c>
      <c r="P3256">
        <v>74</v>
      </c>
      <c r="Q3256">
        <v>149</v>
      </c>
      <c r="R3256" t="s">
        <v>21</v>
      </c>
      <c r="S3256" t="s">
        <v>21</v>
      </c>
    </row>
    <row r="3257" spans="1:19" hidden="1" x14ac:dyDescent="0.25">
      <c r="A3257">
        <v>21301054</v>
      </c>
      <c r="B3257" t="s">
        <v>18</v>
      </c>
      <c r="C3257" t="s">
        <v>19</v>
      </c>
      <c r="D3257">
        <v>64</v>
      </c>
      <c r="E3257">
        <v>49</v>
      </c>
      <c r="F3257">
        <v>15</v>
      </c>
      <c r="G3257">
        <v>3</v>
      </c>
      <c r="H3257" s="1">
        <v>6.5740740740740742E-3</v>
      </c>
      <c r="I3257">
        <v>2013</v>
      </c>
      <c r="J3257" t="s">
        <v>20</v>
      </c>
      <c r="K3257" s="2" t="str">
        <f>HYPERLINK("https://www.nba.com/stats/events?CFID=&amp;CFPARAMS=&amp;GameEventID=264&amp;GameID=0021301054&amp;Season=2013-14&amp;flag=1&amp;title=Leonard%2018'%20Jump%20Shot%20(10%20PTS)", "Leonard 18' Jump Shot (10 PTS)")</f>
        <v>Leonard 18' Jump Shot (10 PTS)</v>
      </c>
      <c r="L3257" s="2" t="str">
        <f>HYPERLINK("https://www.nba.com/game/...-vs-...-0021301054/play-by-play?watchFullGame=true", "SAS vs PHI - Q3 09:28.00")</f>
        <v>SAS vs PHI - Q3 09:28.00</v>
      </c>
      <c r="M3257">
        <v>18</v>
      </c>
      <c r="N3257">
        <v>97</v>
      </c>
      <c r="O3257">
        <v>149</v>
      </c>
      <c r="P3257">
        <v>97</v>
      </c>
      <c r="Q3257">
        <v>149</v>
      </c>
      <c r="R3257" t="s">
        <v>21</v>
      </c>
      <c r="S3257" t="s">
        <v>21</v>
      </c>
    </row>
    <row r="3258" spans="1:19" hidden="1" x14ac:dyDescent="0.25">
      <c r="A3258">
        <v>21600037</v>
      </c>
      <c r="B3258" t="s">
        <v>18</v>
      </c>
      <c r="C3258" t="s">
        <v>36</v>
      </c>
      <c r="D3258">
        <v>98</v>
      </c>
      <c r="E3258">
        <v>93</v>
      </c>
      <c r="F3258">
        <v>5</v>
      </c>
      <c r="G3258">
        <v>4</v>
      </c>
      <c r="H3258" s="1">
        <v>2.3842592592592591E-3</v>
      </c>
      <c r="I3258">
        <v>2016</v>
      </c>
      <c r="J3258" t="s">
        <v>20</v>
      </c>
      <c r="K3258" s="2" t="str">
        <f>HYPERLINK("https://www.nba.com/stats/events?CFID=&amp;CFPARAMS=&amp;GameEventID=520&amp;GameID=0021600037&amp;Season=2016-17&amp;flag=1&amp;title=Leonard%2018'%20Pullup%20Jump%20Shot%20(19%20PTS)", "Leonard 18' Pullup Jump Shot (19 PTS)")</f>
        <v>Leonard 18' Pullup Jump Shot (19 PTS)</v>
      </c>
      <c r="L3258" s="2" t="str">
        <f>HYPERLINK("https://www.nba.com/game/...-vs-...-0021600037/play-by-play?watchFullGame=true", "SAS vs MIA - Q4 03:26.00")</f>
        <v>SAS vs MIA - Q4 03:26.00</v>
      </c>
      <c r="M3258">
        <v>18</v>
      </c>
      <c r="N3258">
        <v>101</v>
      </c>
      <c r="O3258">
        <v>149</v>
      </c>
      <c r="P3258">
        <v>101</v>
      </c>
      <c r="Q3258">
        <v>149</v>
      </c>
      <c r="R3258" t="s">
        <v>21</v>
      </c>
      <c r="S3258" t="s">
        <v>21</v>
      </c>
    </row>
    <row r="3259" spans="1:19" hidden="1" x14ac:dyDescent="0.25">
      <c r="A3259">
        <v>21301221</v>
      </c>
      <c r="B3259" t="s">
        <v>18</v>
      </c>
      <c r="C3259" t="s">
        <v>36</v>
      </c>
      <c r="D3259">
        <v>20</v>
      </c>
      <c r="E3259">
        <v>31</v>
      </c>
      <c r="F3259">
        <v>11</v>
      </c>
      <c r="G3259">
        <v>1</v>
      </c>
      <c r="H3259" s="1">
        <v>4.7916666666666664E-4</v>
      </c>
      <c r="I3259">
        <v>2013</v>
      </c>
      <c r="J3259" t="s">
        <v>20</v>
      </c>
      <c r="K3259" s="2" t="str">
        <f>HYPERLINK("https://www.nba.com/stats/events?CFID=&amp;CFPARAMS=&amp;GameEventID=119&amp;GameID=0021301221&amp;Season=2013-14&amp;flag=1&amp;title=Leonard%2019'%20Pullup%20Jump%20Shot%20(2%20PTS)%20(Mills%201%20AST)", "Leonard 19' Pullup Jump Shot (2 PTS) (Mills 1 AST)")</f>
        <v>Leonard 19' Pullup Jump Shot (2 PTS) (Mills 1 AST)</v>
      </c>
      <c r="L3259" s="2" t="str">
        <f>HYPERLINK("https://www.nba.com/game/...-vs-...-0021301221/play-by-play?watchFullGame=true", "SAS vs LAL - Q1 00:41.40")</f>
        <v>SAS vs LAL - Q1 00:41.40</v>
      </c>
      <c r="M3259">
        <v>19</v>
      </c>
      <c r="N3259">
        <v>111</v>
      </c>
      <c r="O3259">
        <v>149</v>
      </c>
      <c r="P3259">
        <v>111</v>
      </c>
      <c r="Q3259">
        <v>149</v>
      </c>
      <c r="R3259" t="s">
        <v>21</v>
      </c>
      <c r="S3259" t="s">
        <v>21</v>
      </c>
    </row>
    <row r="3260" spans="1:19" hidden="1" x14ac:dyDescent="0.25">
      <c r="A3260">
        <v>21601151</v>
      </c>
      <c r="B3260" t="s">
        <v>18</v>
      </c>
      <c r="C3260" t="s">
        <v>36</v>
      </c>
      <c r="D3260">
        <v>17</v>
      </c>
      <c r="E3260">
        <v>11</v>
      </c>
      <c r="F3260">
        <v>6</v>
      </c>
      <c r="G3260">
        <v>1</v>
      </c>
      <c r="H3260" s="1">
        <v>4.1319444444444442E-3</v>
      </c>
      <c r="I3260">
        <v>2016</v>
      </c>
      <c r="J3260" t="s">
        <v>20</v>
      </c>
      <c r="K3260" s="2" t="str">
        <f>HYPERLINK("https://www.nba.com/stats/events?CFID=&amp;CFPARAMS=&amp;GameEventID=46&amp;GameID=0021601151&amp;Season=2016-17&amp;flag=1&amp;title=Leonard%2019'%20Pullup%20Jump%20Shot%20(4%20PTS)%20(Parker%201%20AST)", "Leonard 19' Pullup Jump Shot (4 PTS) (Parker 1 AST)")</f>
        <v>Leonard 19' Pullup Jump Shot (4 PTS) (Parker 1 AST)</v>
      </c>
      <c r="L3260" s="2" t="str">
        <f>HYPERLINK("https://www.nba.com/game/...-vs-...-0021601151/play-by-play?watchFullGame=true", "SAS vs UTA - Q1 05:57.00")</f>
        <v>SAS vs UTA - Q1 05:57.00</v>
      </c>
      <c r="M3260">
        <v>19</v>
      </c>
      <c r="N3260">
        <v>117</v>
      </c>
      <c r="O3260">
        <v>149</v>
      </c>
      <c r="P3260">
        <v>117</v>
      </c>
      <c r="Q3260">
        <v>149</v>
      </c>
      <c r="R3260" t="s">
        <v>21</v>
      </c>
      <c r="S3260" t="s">
        <v>21</v>
      </c>
    </row>
    <row r="3261" spans="1:19" hidden="1" x14ac:dyDescent="0.25">
      <c r="A3261">
        <v>21600003</v>
      </c>
      <c r="B3261" t="s">
        <v>18</v>
      </c>
      <c r="C3261" t="s">
        <v>19</v>
      </c>
      <c r="D3261">
        <v>91</v>
      </c>
      <c r="E3261">
        <v>73</v>
      </c>
      <c r="F3261">
        <v>18</v>
      </c>
      <c r="G3261">
        <v>3</v>
      </c>
      <c r="H3261" s="1">
        <v>6.9444444444444447E-4</v>
      </c>
      <c r="I3261">
        <v>2016</v>
      </c>
      <c r="J3261" t="s">
        <v>20</v>
      </c>
      <c r="K3261" s="2" t="str">
        <f>HYPERLINK("https://www.nba.com/stats/events?CFID=&amp;CFPARAMS=&amp;GameEventID=385&amp;GameID=0021600003&amp;Season=2016-17&amp;flag=1&amp;title=Leonard%2019'%20Jump%20Shot%20(25%20PTS)", "Leonard 19' Jump Shot (25 PTS)")</f>
        <v>Leonard 19' Jump Shot (25 PTS)</v>
      </c>
      <c r="L3261" s="2" t="str">
        <f>HYPERLINK("https://www.nba.com/game/...-vs-...-0021600003/play-by-play?watchFullGame=true", "SAS vs GSW - Q3 01:00.00")</f>
        <v>SAS vs GSW - Q3 01:00.00</v>
      </c>
      <c r="M3261">
        <v>19</v>
      </c>
      <c r="N3261">
        <v>125</v>
      </c>
      <c r="O3261">
        <v>149</v>
      </c>
      <c r="P3261">
        <v>125</v>
      </c>
      <c r="Q3261">
        <v>149</v>
      </c>
      <c r="R3261" t="s">
        <v>21</v>
      </c>
      <c r="S3261" t="s">
        <v>21</v>
      </c>
    </row>
    <row r="3262" spans="1:19" hidden="1" x14ac:dyDescent="0.25">
      <c r="A3262">
        <v>41500231</v>
      </c>
      <c r="B3262" t="s">
        <v>18</v>
      </c>
      <c r="C3262" t="s">
        <v>36</v>
      </c>
      <c r="D3262">
        <v>8</v>
      </c>
      <c r="E3262">
        <v>4</v>
      </c>
      <c r="F3262">
        <v>4</v>
      </c>
      <c r="G3262">
        <v>1</v>
      </c>
      <c r="H3262" s="1">
        <v>6.7824074074074071E-3</v>
      </c>
      <c r="I3262" t="s">
        <v>57</v>
      </c>
      <c r="J3262" t="s">
        <v>20</v>
      </c>
      <c r="K3262" s="2" t="str">
        <f>HYPERLINK("https://www.nba.com/stats/events?CFID=&amp;CFPARAMS=&amp;GameEventID=14&amp;GameID=0041500231&amp;Season=2015-16&amp;flag=1&amp;title=Leonard%2019'%20Pullup%20Jump%20Shot%20(4%20PTS)", "Leonard 19' Pullup Jump Shot (4 PTS)")</f>
        <v>Leonard 19' Pullup Jump Shot (4 PTS)</v>
      </c>
      <c r="L3262" s="2" t="str">
        <f>HYPERLINK("https://www.nba.com/game/...-vs-...-0041500231/play-by-play?watchFullGame=true", "SAS vs OKC - Q1 09:46.00")</f>
        <v>SAS vs OKC - Q1 09:46.00</v>
      </c>
      <c r="M3262">
        <v>19</v>
      </c>
      <c r="N3262">
        <v>125</v>
      </c>
      <c r="O3262">
        <v>149</v>
      </c>
      <c r="P3262">
        <v>125</v>
      </c>
      <c r="Q3262">
        <v>149</v>
      </c>
      <c r="R3262" t="s">
        <v>21</v>
      </c>
      <c r="S3262" t="s">
        <v>21</v>
      </c>
    </row>
    <row r="3263" spans="1:19" hidden="1" x14ac:dyDescent="0.25">
      <c r="A3263">
        <v>21400610</v>
      </c>
      <c r="B3263" t="s">
        <v>18</v>
      </c>
      <c r="C3263" t="s">
        <v>36</v>
      </c>
      <c r="D3263">
        <v>8</v>
      </c>
      <c r="E3263">
        <v>2</v>
      </c>
      <c r="F3263">
        <v>6</v>
      </c>
      <c r="G3263">
        <v>1</v>
      </c>
      <c r="H3263" s="1">
        <v>6.122685185185185E-3</v>
      </c>
      <c r="I3263">
        <v>2014</v>
      </c>
      <c r="J3263" t="s">
        <v>20</v>
      </c>
      <c r="K3263" s="2" t="str">
        <f>HYPERLINK("https://www.nba.com/stats/events?CFID=&amp;CFPARAMS=&amp;GameEventID=20&amp;GameID=0021400610&amp;Season=2014-15&amp;flag=1&amp;title=Leonard%2020'%20Pullup%20Jump%20Shot%20(2%20PTS)", "Leonard 20' Pullup Jump Shot (2 PTS)")</f>
        <v>Leonard 20' Pullup Jump Shot (2 PTS)</v>
      </c>
      <c r="L3263" s="2" t="str">
        <f>HYPERLINK("https://www.nba.com/game/...-vs-...-0021400610/play-by-play?watchFullGame=true", "SAS vs UTA - Q1 08:49.00")</f>
        <v>SAS vs UTA - Q1 08:49.00</v>
      </c>
      <c r="M3263">
        <v>20</v>
      </c>
      <c r="N3263">
        <v>127</v>
      </c>
      <c r="O3263">
        <v>149</v>
      </c>
      <c r="P3263">
        <v>127</v>
      </c>
      <c r="Q3263">
        <v>149</v>
      </c>
      <c r="R3263" t="s">
        <v>21</v>
      </c>
      <c r="S3263" t="s">
        <v>21</v>
      </c>
    </row>
    <row r="3264" spans="1:19" hidden="1" x14ac:dyDescent="0.25">
      <c r="A3264">
        <v>21600319</v>
      </c>
      <c r="B3264" t="s">
        <v>18</v>
      </c>
      <c r="C3264" t="s">
        <v>36</v>
      </c>
      <c r="D3264">
        <v>25</v>
      </c>
      <c r="E3264">
        <v>32</v>
      </c>
      <c r="F3264">
        <v>7</v>
      </c>
      <c r="G3264">
        <v>2</v>
      </c>
      <c r="H3264" s="1">
        <v>6.5162037037037037E-3</v>
      </c>
      <c r="I3264">
        <v>2016</v>
      </c>
      <c r="J3264" t="s">
        <v>20</v>
      </c>
      <c r="K3264" s="2" t="str">
        <f>HYPERLINK("https://www.nba.com/stats/events?CFID=&amp;CFPARAMS=&amp;GameEventID=132&amp;GameID=0021600319&amp;Season=2016-17&amp;flag=1&amp;title=Leonard%2018'%20Pullup%20Jump%20Shot%20(4%20PTS)", "Leonard 18' Pullup Jump Shot (4 PTS)")</f>
        <v>Leonard 18' Pullup Jump Shot (4 PTS)</v>
      </c>
      <c r="L3264" s="2" t="str">
        <f>HYPERLINK("https://www.nba.com/game/...-vs-...-0021600319/play-by-play?watchFullGame=true", "SAS vs MIN - Q2 09:23.00")</f>
        <v>SAS vs MIN - Q2 09:23.00</v>
      </c>
      <c r="M3264">
        <v>18</v>
      </c>
      <c r="N3264">
        <v>-101</v>
      </c>
      <c r="O3264">
        <v>151</v>
      </c>
      <c r="P3264">
        <v>-101</v>
      </c>
      <c r="Q3264">
        <v>151</v>
      </c>
      <c r="R3264" t="s">
        <v>21</v>
      </c>
      <c r="S3264" t="s">
        <v>21</v>
      </c>
    </row>
    <row r="3265" spans="1:19" hidden="1" x14ac:dyDescent="0.25">
      <c r="A3265">
        <v>21601118</v>
      </c>
      <c r="B3265" t="s">
        <v>18</v>
      </c>
      <c r="C3265" t="s">
        <v>36</v>
      </c>
      <c r="D3265">
        <v>43</v>
      </c>
      <c r="E3265">
        <v>29</v>
      </c>
      <c r="F3265">
        <v>14</v>
      </c>
      <c r="G3265">
        <v>2</v>
      </c>
      <c r="H3265" s="1">
        <v>4.6990740740740743E-3</v>
      </c>
      <c r="I3265">
        <v>2016</v>
      </c>
      <c r="J3265" t="s">
        <v>20</v>
      </c>
      <c r="K3265" s="2" t="str">
        <f>HYPERLINK("https://www.nba.com/stats/events?CFID=&amp;CFPARAMS=&amp;GameEventID=184&amp;GameID=0021601118&amp;Season=2016-17&amp;flag=1&amp;title=Leonard%2017'%20Pullup%20Jump%20Shot%20(10%20PTS)", "Leonard 17' Pullup Jump Shot (10 PTS)")</f>
        <v>Leonard 17' Pullup Jump Shot (10 PTS)</v>
      </c>
      <c r="L3265" s="2" t="str">
        <f>HYPERLINK("https://www.nba.com/game/...-vs-...-0021601118/play-by-play?watchFullGame=true", "SAS vs GSW - Q2 06:46.00")</f>
        <v>SAS vs GSW - Q2 06:46.00</v>
      </c>
      <c r="M3265">
        <v>17</v>
      </c>
      <c r="N3265">
        <v>-86</v>
      </c>
      <c r="O3265">
        <v>151</v>
      </c>
      <c r="P3265">
        <v>-86</v>
      </c>
      <c r="Q3265">
        <v>151</v>
      </c>
      <c r="R3265" t="s">
        <v>21</v>
      </c>
      <c r="S3265" t="s">
        <v>21</v>
      </c>
    </row>
    <row r="3266" spans="1:19" hidden="1" x14ac:dyDescent="0.25">
      <c r="A3266">
        <v>21800008</v>
      </c>
      <c r="B3266" t="s">
        <v>18</v>
      </c>
      <c r="C3266" t="s">
        <v>38</v>
      </c>
      <c r="D3266">
        <v>54</v>
      </c>
      <c r="E3266">
        <v>41</v>
      </c>
      <c r="F3266">
        <v>13</v>
      </c>
      <c r="G3266">
        <v>2</v>
      </c>
      <c r="H3266" s="1">
        <v>1.8749999999999999E-3</v>
      </c>
      <c r="I3266">
        <v>2018</v>
      </c>
      <c r="J3266" t="s">
        <v>48</v>
      </c>
      <c r="K3266" s="2" t="str">
        <f>HYPERLINK("https://www.nba.com/stats/events?CFID=&amp;CFPARAMS=&amp;GameEventID=300&amp;GameID=0021800008&amp;Season=2018-19&amp;flag=1&amp;title=Leonard%2017'%20Turnaround%20Fadeaway%20(12%20PTS)", "Leonard 17' Turnaround Fadeaway (12 PTS)")</f>
        <v>Leonard 17' Turnaround Fadeaway (12 PTS)</v>
      </c>
      <c r="L3266" s="2" t="str">
        <f>HYPERLINK("https://www.nba.com/game/...-vs-...-0021800008/play-by-play?watchFullGame=true", "TOR vs CLE - Q2 02:42.00")</f>
        <v>TOR vs CLE - Q2 02:42.00</v>
      </c>
      <c r="M3266">
        <v>17</v>
      </c>
      <c r="N3266">
        <v>68</v>
      </c>
      <c r="O3266">
        <v>151</v>
      </c>
      <c r="P3266">
        <v>68</v>
      </c>
      <c r="Q3266">
        <v>151</v>
      </c>
      <c r="R3266" t="s">
        <v>21</v>
      </c>
      <c r="S3266" t="s">
        <v>21</v>
      </c>
    </row>
    <row r="3267" spans="1:19" hidden="1" x14ac:dyDescent="0.25">
      <c r="A3267">
        <v>41600153</v>
      </c>
      <c r="B3267" t="s">
        <v>18</v>
      </c>
      <c r="C3267" t="s">
        <v>19</v>
      </c>
      <c r="D3267">
        <v>39</v>
      </c>
      <c r="E3267">
        <v>36</v>
      </c>
      <c r="F3267">
        <v>3</v>
      </c>
      <c r="G3267">
        <v>2</v>
      </c>
      <c r="H3267" s="1">
        <v>2.5810185185185185E-3</v>
      </c>
      <c r="I3267" t="s">
        <v>58</v>
      </c>
      <c r="J3267" t="s">
        <v>20</v>
      </c>
      <c r="K3267" s="2" t="str">
        <f>HYPERLINK("https://www.nba.com/stats/events?CFID=&amp;CFPARAMS=&amp;GameEventID=187&amp;GameID=0041600153&amp;Season=2016-17&amp;flag=1&amp;title=Leonard%2017'%20Jump%20Shot%20(16%20PTS)", "Leonard 17' Jump Shot (16 PTS)")</f>
        <v>Leonard 17' Jump Shot (16 PTS)</v>
      </c>
      <c r="L3267" s="2" t="str">
        <f>HYPERLINK("https://www.nba.com/game/...-vs-...-0041600153/play-by-play?watchFullGame=true", "SAS vs MEM - Q2 03:43.00")</f>
        <v>SAS vs MEM - Q2 03:43.00</v>
      </c>
      <c r="M3267">
        <v>17</v>
      </c>
      <c r="N3267">
        <v>84</v>
      </c>
      <c r="O3267">
        <v>151</v>
      </c>
      <c r="P3267">
        <v>84</v>
      </c>
      <c r="Q3267">
        <v>151</v>
      </c>
      <c r="R3267" t="s">
        <v>21</v>
      </c>
      <c r="S3267" t="s">
        <v>21</v>
      </c>
    </row>
    <row r="3268" spans="1:19" hidden="1" x14ac:dyDescent="0.25">
      <c r="A3268">
        <v>21301038</v>
      </c>
      <c r="B3268" t="s">
        <v>18</v>
      </c>
      <c r="C3268" t="s">
        <v>39</v>
      </c>
      <c r="D3268">
        <v>13</v>
      </c>
      <c r="E3268">
        <v>7</v>
      </c>
      <c r="F3268">
        <v>6</v>
      </c>
      <c r="G3268">
        <v>1</v>
      </c>
      <c r="H3268" s="1">
        <v>5.6134259259259262E-3</v>
      </c>
      <c r="I3268">
        <v>2013</v>
      </c>
      <c r="J3268" t="s">
        <v>20</v>
      </c>
      <c r="K3268" s="2" t="str">
        <f>HYPERLINK("https://www.nba.com/stats/events?CFID=&amp;CFPARAMS=&amp;GameEventID=28&amp;GameID=0021301038&amp;Season=2013-14&amp;flag=1&amp;title=Leonard%2017'%20Step%20Back%20Jump%20Shot%20(5%20PTS)", "Leonard 17' Step Back Jump Shot (5 PTS)")</f>
        <v>Leonard 17' Step Back Jump Shot (5 PTS)</v>
      </c>
      <c r="L3268" s="2" t="str">
        <f>HYPERLINK("https://www.nba.com/game/...-vs-...-0021301038/play-by-play?watchFullGame=true", "SAS vs GSW - Q1 08:05.00")</f>
        <v>SAS vs GSW - Q1 08:05.00</v>
      </c>
      <c r="M3268">
        <v>17</v>
      </c>
      <c r="N3268">
        <v>86</v>
      </c>
      <c r="O3268">
        <v>151</v>
      </c>
      <c r="P3268">
        <v>86</v>
      </c>
      <c r="Q3268">
        <v>151</v>
      </c>
      <c r="R3268" t="s">
        <v>21</v>
      </c>
      <c r="S3268" t="s">
        <v>21</v>
      </c>
    </row>
    <row r="3269" spans="1:19" hidden="1" x14ac:dyDescent="0.25">
      <c r="A3269">
        <v>21600032</v>
      </c>
      <c r="B3269" t="s">
        <v>18</v>
      </c>
      <c r="C3269" t="s">
        <v>19</v>
      </c>
      <c r="D3269">
        <v>76</v>
      </c>
      <c r="E3269">
        <v>58</v>
      </c>
      <c r="F3269">
        <v>18</v>
      </c>
      <c r="G3269">
        <v>3</v>
      </c>
      <c r="H3269" s="1">
        <v>3.1944444444444446E-3</v>
      </c>
      <c r="I3269">
        <v>2016</v>
      </c>
      <c r="J3269" t="s">
        <v>20</v>
      </c>
      <c r="K3269" s="2" t="str">
        <f>HYPERLINK("https://www.nba.com/stats/events?CFID=&amp;CFPARAMS=&amp;GameEventID=329&amp;GameID=0021600032&amp;Season=2016-17&amp;flag=1&amp;title=Leonard%2018'%20Jump%20Shot%20(18%20PTS)%20(Gasol%205%20AST)", "Leonard 18' Jump Shot (18 PTS) (Gasol 5 AST)")</f>
        <v>Leonard 18' Jump Shot (18 PTS) (Gasol 5 AST)</v>
      </c>
      <c r="L3269" s="2" t="str">
        <f>HYPERLINK("https://www.nba.com/game/...-vs-...-0021600032/play-by-play?watchFullGame=true", "SAS vs NOP - Q3 04:36.00")</f>
        <v>SAS vs NOP - Q3 04:36.00</v>
      </c>
      <c r="M3269">
        <v>18</v>
      </c>
      <c r="N3269">
        <v>89</v>
      </c>
      <c r="O3269">
        <v>151</v>
      </c>
      <c r="P3269">
        <v>89</v>
      </c>
      <c r="Q3269">
        <v>151</v>
      </c>
      <c r="R3269" t="s">
        <v>21</v>
      </c>
      <c r="S3269" t="s">
        <v>21</v>
      </c>
    </row>
    <row r="3270" spans="1:19" hidden="1" x14ac:dyDescent="0.25">
      <c r="A3270">
        <v>21601118</v>
      </c>
      <c r="B3270" t="s">
        <v>18</v>
      </c>
      <c r="C3270" t="s">
        <v>39</v>
      </c>
      <c r="D3270">
        <v>19</v>
      </c>
      <c r="E3270">
        <v>3</v>
      </c>
      <c r="F3270">
        <v>16</v>
      </c>
      <c r="G3270">
        <v>1</v>
      </c>
      <c r="H3270" s="1">
        <v>4.1898148148148146E-3</v>
      </c>
      <c r="I3270">
        <v>2016</v>
      </c>
      <c r="J3270" t="s">
        <v>20</v>
      </c>
      <c r="K3270" s="2" t="str">
        <f>HYPERLINK("https://www.nba.com/stats/events?CFID=&amp;CFPARAMS=&amp;GameEventID=66&amp;GameID=0021601118&amp;Season=2016-17&amp;flag=1&amp;title=Leonard%2020'%20Step%20Back%20Jump%20Shot%20(6%20PTS)", "Leonard 20' Step Back Jump Shot (6 PTS)")</f>
        <v>Leonard 20' Step Back Jump Shot (6 PTS)</v>
      </c>
      <c r="L3270" s="2" t="str">
        <f>HYPERLINK("https://www.nba.com/game/...-vs-...-0021601118/play-by-play?watchFullGame=true", "SAS vs GSW - Q1 06:02.00")</f>
        <v>SAS vs GSW - Q1 06:02.00</v>
      </c>
      <c r="M3270">
        <v>20</v>
      </c>
      <c r="N3270">
        <v>125</v>
      </c>
      <c r="O3270">
        <v>151</v>
      </c>
      <c r="P3270">
        <v>125</v>
      </c>
      <c r="Q3270">
        <v>151</v>
      </c>
      <c r="R3270" t="s">
        <v>21</v>
      </c>
      <c r="S3270" t="s">
        <v>21</v>
      </c>
    </row>
    <row r="3271" spans="1:19" hidden="1" x14ac:dyDescent="0.25">
      <c r="A3271">
        <v>21300465</v>
      </c>
      <c r="B3271" t="s">
        <v>18</v>
      </c>
      <c r="C3271" t="s">
        <v>19</v>
      </c>
      <c r="D3271">
        <v>86</v>
      </c>
      <c r="E3271">
        <v>60</v>
      </c>
      <c r="F3271">
        <v>26</v>
      </c>
      <c r="G3271">
        <v>3</v>
      </c>
      <c r="H3271" s="1">
        <v>1.4814814814814814E-3</v>
      </c>
      <c r="I3271">
        <v>2013</v>
      </c>
      <c r="J3271" t="s">
        <v>20</v>
      </c>
      <c r="K3271" s="2" t="str">
        <f>HYPERLINK("https://www.nba.com/stats/events?CFID=&amp;CFPARAMS=&amp;GameEventID=365&amp;GameID=0021300465&amp;Season=2013-14&amp;flag=1&amp;title=Leonard%2022'%20Jump%20Shot%20(6%20PTS)%20(Ayres%201%20AST)", "Leonard 22' Jump Shot (6 PTS) (Ayres 1 AST)")</f>
        <v>Leonard 22' Jump Shot (6 PTS) (Ayres 1 AST)</v>
      </c>
      <c r="L3271" s="2" t="str">
        <f>HYPERLINK("https://www.nba.com/game/...-vs-...-0021300465/play-by-play?watchFullGame=true", "SAS vs BKN - Q3 02:08.00")</f>
        <v>SAS vs BKN - Q3 02:08.00</v>
      </c>
      <c r="M3271">
        <v>22</v>
      </c>
      <c r="N3271">
        <v>166</v>
      </c>
      <c r="O3271">
        <v>151</v>
      </c>
      <c r="P3271">
        <v>166</v>
      </c>
      <c r="Q3271">
        <v>151</v>
      </c>
      <c r="R3271" t="s">
        <v>21</v>
      </c>
      <c r="S3271" t="s">
        <v>21</v>
      </c>
    </row>
    <row r="3272" spans="1:19" hidden="1" x14ac:dyDescent="0.25">
      <c r="A3272">
        <v>41800216</v>
      </c>
      <c r="B3272" t="s">
        <v>18</v>
      </c>
      <c r="C3272" t="s">
        <v>37</v>
      </c>
      <c r="D3272">
        <v>19</v>
      </c>
      <c r="E3272">
        <v>25</v>
      </c>
      <c r="F3272">
        <v>6</v>
      </c>
      <c r="G3272">
        <v>1</v>
      </c>
      <c r="H3272" s="1">
        <v>1.0416666666666667E-3</v>
      </c>
      <c r="I3272" t="s">
        <v>60</v>
      </c>
      <c r="J3272" t="s">
        <v>48</v>
      </c>
      <c r="K3272" s="2" t="str">
        <f>HYPERLINK("https://www.nba.com/stats/events?CFID=&amp;CFPARAMS=&amp;GameEventID=136&amp;GameID=0041800216&amp;Season=2018-19&amp;flag=1&amp;title=Leonard%2017'%20Fadeaway%20Jumper%20(8%20PTS)", "Leonard 17' Fadeaway Jumper (8 PTS)")</f>
        <v>Leonard 17' Fadeaway Jumper (8 PTS)</v>
      </c>
      <c r="L3272" s="2" t="str">
        <f>HYPERLINK("https://www.nba.com/game/...-vs-...-0041800216/play-by-play?watchFullGame=true", "TOR vs PHI - Q1 01:30.00")</f>
        <v>TOR vs PHI - Q1 01:30.00</v>
      </c>
      <c r="M3272">
        <v>17</v>
      </c>
      <c r="N3272">
        <v>85</v>
      </c>
      <c r="O3272">
        <v>152</v>
      </c>
      <c r="P3272">
        <v>85</v>
      </c>
      <c r="Q3272">
        <v>152</v>
      </c>
      <c r="R3272" t="s">
        <v>21</v>
      </c>
      <c r="S3272" t="s">
        <v>21</v>
      </c>
    </row>
    <row r="3273" spans="1:19" hidden="1" x14ac:dyDescent="0.25">
      <c r="A3273">
        <v>21800470</v>
      </c>
      <c r="B3273" t="s">
        <v>18</v>
      </c>
      <c r="C3273" t="s">
        <v>36</v>
      </c>
      <c r="D3273">
        <v>2</v>
      </c>
      <c r="E3273">
        <v>0</v>
      </c>
      <c r="F3273">
        <v>2</v>
      </c>
      <c r="G3273">
        <v>1</v>
      </c>
      <c r="H3273" s="1">
        <v>7.8935185185185185E-3</v>
      </c>
      <c r="I3273">
        <v>2018</v>
      </c>
      <c r="J3273" t="s">
        <v>48</v>
      </c>
      <c r="K3273" s="2" t="str">
        <f>HYPERLINK("https://www.nba.com/stats/events?CFID=&amp;CFPARAMS=&amp;GameEventID=10&amp;GameID=0021800470&amp;Season=2018-19&amp;flag=1&amp;title=Leonard%2018'%20Pullup%20Jump%20Shot%20(2%20PTS)%20(Siakam%201%20AST)", "Leonard 18' Pullup Jump Shot (2 PTS) (Siakam 1 AST)")</f>
        <v>Leonard 18' Pullup Jump Shot (2 PTS) (Siakam 1 AST)</v>
      </c>
      <c r="L3273" s="2" t="str">
        <f>HYPERLINK("https://www.nba.com/game/...-vs-...-0021800470/play-by-play?watchFullGame=true", "TOR vs CLE - Q1 11:22.00")</f>
        <v>TOR vs CLE - Q1 11:22.00</v>
      </c>
      <c r="M3273">
        <v>18</v>
      </c>
      <c r="N3273">
        <v>100</v>
      </c>
      <c r="O3273">
        <v>152</v>
      </c>
      <c r="P3273">
        <v>100</v>
      </c>
      <c r="Q3273">
        <v>152</v>
      </c>
      <c r="R3273" t="s">
        <v>21</v>
      </c>
      <c r="S3273" t="s">
        <v>21</v>
      </c>
    </row>
    <row r="3274" spans="1:19" hidden="1" x14ac:dyDescent="0.25">
      <c r="A3274">
        <v>21600874</v>
      </c>
      <c r="B3274" t="s">
        <v>18</v>
      </c>
      <c r="C3274" t="s">
        <v>19</v>
      </c>
      <c r="D3274">
        <v>15</v>
      </c>
      <c r="E3274">
        <v>7</v>
      </c>
      <c r="F3274">
        <v>8</v>
      </c>
      <c r="G3274">
        <v>1</v>
      </c>
      <c r="H3274" s="1">
        <v>4.3981481481481484E-3</v>
      </c>
      <c r="I3274">
        <v>2016</v>
      </c>
      <c r="J3274" t="s">
        <v>20</v>
      </c>
      <c r="K3274" s="2" t="str">
        <f>HYPERLINK("https://www.nba.com/stats/events?CFID=&amp;CFPARAMS=&amp;GameEventID=44&amp;GameID=0021600874&amp;Season=2016-17&amp;flag=1&amp;title=Leonard%2017'%20Jump%20Shot%20(7%20PTS)%20(Dedmon%202%20AST)", "Leonard 17' Jump Shot (7 PTS) (Dedmon 2 AST)")</f>
        <v>Leonard 17' Jump Shot (7 PTS) (Dedmon 2 AST)</v>
      </c>
      <c r="L3274" s="2" t="str">
        <f>HYPERLINK("https://www.nba.com/game/...-vs-...-0021600874/play-by-play?watchFullGame=true", "SAS vs LAL - Q1 06:20.00")</f>
        <v>SAS vs LAL - Q1 06:20.00</v>
      </c>
      <c r="M3274">
        <v>17</v>
      </c>
      <c r="N3274">
        <v>67</v>
      </c>
      <c r="O3274">
        <v>153</v>
      </c>
      <c r="P3274">
        <v>67</v>
      </c>
      <c r="Q3274">
        <v>153</v>
      </c>
      <c r="R3274" t="s">
        <v>21</v>
      </c>
      <c r="S3274" t="s">
        <v>21</v>
      </c>
    </row>
    <row r="3275" spans="1:19" hidden="1" x14ac:dyDescent="0.25">
      <c r="A3275">
        <v>41200152</v>
      </c>
      <c r="B3275" t="s">
        <v>18</v>
      </c>
      <c r="C3275" t="s">
        <v>36</v>
      </c>
      <c r="D3275">
        <v>4</v>
      </c>
      <c r="E3275">
        <v>2</v>
      </c>
      <c r="F3275">
        <v>2</v>
      </c>
      <c r="G3275">
        <v>1</v>
      </c>
      <c r="H3275" s="1">
        <v>7.2453703703703708E-3</v>
      </c>
      <c r="I3275" t="s">
        <v>53</v>
      </c>
      <c r="J3275" t="s">
        <v>20</v>
      </c>
      <c r="K3275" s="2" t="str">
        <f>HYPERLINK("https://www.nba.com/stats/events?CFID=&amp;CFPARAMS=&amp;GameEventID=13&amp;GameID=0041200152&amp;Season=2012-13&amp;flag=1&amp;title=Leonard%2017'%20Pullup%20Jump%20Shot%20(2%20PTS)%20(Parker%201%20AST)", "Leonard 17' Pullup Jump Shot (2 PTS) (Parker 1 AST)")</f>
        <v>Leonard 17' Pullup Jump Shot (2 PTS) (Parker 1 AST)</v>
      </c>
      <c r="L3275" s="2" t="str">
        <f>HYPERLINK("https://www.nba.com/game/...-vs-...-0041200152/play-by-play?watchFullGame=true", "SAS vs LAL - Q1 10:26.00")</f>
        <v>SAS vs LAL - Q1 10:26.00</v>
      </c>
      <c r="M3275">
        <v>17</v>
      </c>
      <c r="N3275">
        <v>78</v>
      </c>
      <c r="O3275">
        <v>153</v>
      </c>
      <c r="P3275">
        <v>78</v>
      </c>
      <c r="Q3275">
        <v>153</v>
      </c>
      <c r="R3275" t="s">
        <v>21</v>
      </c>
      <c r="S3275" t="s">
        <v>21</v>
      </c>
    </row>
    <row r="3276" spans="1:19" hidden="1" x14ac:dyDescent="0.25">
      <c r="A3276">
        <v>41800306</v>
      </c>
      <c r="B3276" t="s">
        <v>18</v>
      </c>
      <c r="C3276" t="s">
        <v>36</v>
      </c>
      <c r="D3276">
        <v>34</v>
      </c>
      <c r="E3276">
        <v>41</v>
      </c>
      <c r="F3276">
        <v>7</v>
      </c>
      <c r="G3276">
        <v>2</v>
      </c>
      <c r="H3276" s="1">
        <v>2.2569444444444442E-3</v>
      </c>
      <c r="I3276" t="s">
        <v>60</v>
      </c>
      <c r="J3276" t="s">
        <v>48</v>
      </c>
      <c r="K3276" s="2" t="str">
        <f>HYPERLINK("https://www.nba.com/stats/events?CFID=&amp;CFPARAMS=&amp;GameEventID=270&amp;GameID=0041800306&amp;Season=2018-19&amp;flag=1&amp;title=Leonard%2023'%20Pullup%20Jump%20Shot%20(8%20PTS)", "Leonard 23' Pullup Jump Shot (8 PTS)")</f>
        <v>Leonard 23' Pullup Jump Shot (8 PTS)</v>
      </c>
      <c r="L3276" s="2" t="str">
        <f>HYPERLINK("https://www.nba.com/game/...-vs-...-0041800306/play-by-play?watchFullGame=true", "TOR vs MIL - Q2 03:15.00")</f>
        <v>TOR vs MIL - Q2 03:15.00</v>
      </c>
      <c r="M3276">
        <v>23</v>
      </c>
      <c r="N3276">
        <v>169</v>
      </c>
      <c r="O3276">
        <v>153</v>
      </c>
      <c r="P3276">
        <v>169</v>
      </c>
      <c r="Q3276">
        <v>153</v>
      </c>
      <c r="R3276" t="s">
        <v>21</v>
      </c>
      <c r="S3276" t="s">
        <v>21</v>
      </c>
    </row>
    <row r="3277" spans="1:19" hidden="1" x14ac:dyDescent="0.25">
      <c r="A3277">
        <v>21500945</v>
      </c>
      <c r="B3277" t="s">
        <v>18</v>
      </c>
      <c r="C3277" t="s">
        <v>36</v>
      </c>
      <c r="D3277">
        <v>67</v>
      </c>
      <c r="E3277">
        <v>53</v>
      </c>
      <c r="F3277">
        <v>14</v>
      </c>
      <c r="G3277">
        <v>3</v>
      </c>
      <c r="H3277" s="1">
        <v>6.2847222222222219E-3</v>
      </c>
      <c r="I3277">
        <v>2015</v>
      </c>
      <c r="J3277" t="s">
        <v>20</v>
      </c>
      <c r="K3277" s="2" t="str">
        <f>HYPERLINK("https://www.nba.com/stats/events?CFID=&amp;CFPARAMS=&amp;GameEventID=282&amp;GameID=0021500945&amp;Season=2015-16&amp;flag=1&amp;title=Leonard%2019'%20Pullup%20Jump%20Shot%20(13%20PTS)", "Leonard 19' Pullup Jump Shot (13 PTS)")</f>
        <v>Leonard 19' Pullup Jump Shot (13 PTS)</v>
      </c>
      <c r="L3277" s="2" t="str">
        <f>HYPERLINK("https://www.nba.com/game/...-vs-...-0021500945/play-by-play?watchFullGame=true", "SAS vs MIN - Q3 09:03.00")</f>
        <v>SAS vs MIN - Q3 09:03.00</v>
      </c>
      <c r="M3277">
        <v>19</v>
      </c>
      <c r="N3277">
        <v>-117</v>
      </c>
      <c r="O3277">
        <v>154</v>
      </c>
      <c r="P3277">
        <v>-117</v>
      </c>
      <c r="Q3277">
        <v>154</v>
      </c>
      <c r="R3277" t="s">
        <v>21</v>
      </c>
      <c r="S3277" t="s">
        <v>21</v>
      </c>
    </row>
    <row r="3278" spans="1:19" hidden="1" x14ac:dyDescent="0.25">
      <c r="A3278">
        <v>41600151</v>
      </c>
      <c r="B3278" t="s">
        <v>18</v>
      </c>
      <c r="C3278" t="s">
        <v>36</v>
      </c>
      <c r="D3278">
        <v>52</v>
      </c>
      <c r="E3278">
        <v>49</v>
      </c>
      <c r="F3278">
        <v>3</v>
      </c>
      <c r="G3278">
        <v>2</v>
      </c>
      <c r="H3278" s="1">
        <v>3.3333333333333332E-4</v>
      </c>
      <c r="I3278" t="s">
        <v>58</v>
      </c>
      <c r="J3278" t="s">
        <v>20</v>
      </c>
      <c r="K3278" s="2" t="str">
        <f>HYPERLINK("https://www.nba.com/stats/events?CFID=&amp;CFPARAMS=&amp;GameEventID=218&amp;GameID=0041600151&amp;Season=2016-17&amp;flag=1&amp;title=Leonard%2019'%20Pullup%20Jump%20Shot%20(17%20PTS)", "Leonard 19' Pullup Jump Shot (17 PTS)")</f>
        <v>Leonard 19' Pullup Jump Shot (17 PTS)</v>
      </c>
      <c r="L3278" s="2" t="str">
        <f>HYPERLINK("https://www.nba.com/game/...-vs-...-0041600151/play-by-play?watchFullGame=true", "SAS vs MEM - Q2 00:28.80")</f>
        <v>SAS vs MEM - Q2 00:28.80</v>
      </c>
      <c r="M3278">
        <v>19</v>
      </c>
      <c r="N3278">
        <v>-112</v>
      </c>
      <c r="O3278">
        <v>154</v>
      </c>
      <c r="P3278">
        <v>-112</v>
      </c>
      <c r="Q3278">
        <v>154</v>
      </c>
      <c r="R3278" t="s">
        <v>21</v>
      </c>
      <c r="S3278" t="s">
        <v>21</v>
      </c>
    </row>
    <row r="3279" spans="1:19" hidden="1" x14ac:dyDescent="0.25">
      <c r="A3279">
        <v>21600917</v>
      </c>
      <c r="B3279" t="s">
        <v>18</v>
      </c>
      <c r="C3279" t="s">
        <v>19</v>
      </c>
      <c r="D3279">
        <v>78</v>
      </c>
      <c r="E3279">
        <v>75</v>
      </c>
      <c r="F3279">
        <v>3</v>
      </c>
      <c r="G3279">
        <v>4</v>
      </c>
      <c r="H3279" s="1">
        <v>4.7685185185185183E-3</v>
      </c>
      <c r="I3279">
        <v>2016</v>
      </c>
      <c r="J3279" t="s">
        <v>20</v>
      </c>
      <c r="K3279" s="2" t="str">
        <f>HYPERLINK("https://www.nba.com/stats/events?CFID=&amp;CFPARAMS=&amp;GameEventID=467&amp;GameID=0021600917&amp;Season=2016-17&amp;flag=1&amp;title=Leonard%2017'%20Jump%20Shot%20(26%20PTS)", "Leonard 17' Jump Shot (26 PTS)")</f>
        <v>Leonard 17' Jump Shot (26 PTS)</v>
      </c>
      <c r="L3279" s="2" t="str">
        <f>HYPERLINK("https://www.nba.com/game/...-vs-...-0021600917/play-by-play?watchFullGame=true", "SAS vs NOP - Q4 06:52.00")</f>
        <v>SAS vs NOP - Q4 06:52.00</v>
      </c>
      <c r="M3279">
        <v>17</v>
      </c>
      <c r="N3279">
        <v>-74</v>
      </c>
      <c r="O3279">
        <v>154</v>
      </c>
      <c r="P3279">
        <v>-74</v>
      </c>
      <c r="Q3279">
        <v>154</v>
      </c>
      <c r="R3279" t="s">
        <v>21</v>
      </c>
      <c r="S3279" t="s">
        <v>21</v>
      </c>
    </row>
    <row r="3280" spans="1:19" hidden="1" x14ac:dyDescent="0.25">
      <c r="A3280">
        <v>21600003</v>
      </c>
      <c r="B3280" t="s">
        <v>18</v>
      </c>
      <c r="C3280" t="s">
        <v>36</v>
      </c>
      <c r="D3280">
        <v>97</v>
      </c>
      <c r="E3280">
        <v>75</v>
      </c>
      <c r="F3280">
        <v>22</v>
      </c>
      <c r="G3280">
        <v>3</v>
      </c>
      <c r="H3280" s="1">
        <v>1.2384259259259258E-4</v>
      </c>
      <c r="I3280">
        <v>2016</v>
      </c>
      <c r="J3280" t="s">
        <v>20</v>
      </c>
      <c r="K3280" s="2" t="str">
        <f>HYPERLINK("https://www.nba.com/stats/events?CFID=&amp;CFPARAMS=&amp;GameEventID=397&amp;GameID=0021600003&amp;Season=2016-17&amp;flag=1&amp;title=Leonard%2017'%20Pullup%20Jump%20Shot%20(31%20PTS)", "Leonard 17' Pullup Jump Shot (31 PTS)")</f>
        <v>Leonard 17' Pullup Jump Shot (31 PTS)</v>
      </c>
      <c r="L3280" s="2" t="str">
        <f>HYPERLINK("https://www.nba.com/game/...-vs-...-0021600003/play-by-play?watchFullGame=true", "SAS vs GSW - Q3 00:10.70")</f>
        <v>SAS vs GSW - Q3 00:10.70</v>
      </c>
      <c r="M3280">
        <v>17</v>
      </c>
      <c r="N3280">
        <v>-71</v>
      </c>
      <c r="O3280">
        <v>154</v>
      </c>
      <c r="P3280">
        <v>-71</v>
      </c>
      <c r="Q3280">
        <v>154</v>
      </c>
      <c r="R3280" t="s">
        <v>21</v>
      </c>
      <c r="S3280" t="s">
        <v>21</v>
      </c>
    </row>
    <row r="3281" spans="1:19" hidden="1" x14ac:dyDescent="0.25">
      <c r="A3281">
        <v>21500347</v>
      </c>
      <c r="B3281" t="s">
        <v>18</v>
      </c>
      <c r="C3281" t="s">
        <v>36</v>
      </c>
      <c r="D3281">
        <v>26</v>
      </c>
      <c r="E3281">
        <v>18</v>
      </c>
      <c r="F3281">
        <v>8</v>
      </c>
      <c r="G3281">
        <v>2</v>
      </c>
      <c r="H3281" s="1">
        <v>5.4050925925925924E-3</v>
      </c>
      <c r="I3281">
        <v>2015</v>
      </c>
      <c r="J3281" t="s">
        <v>20</v>
      </c>
      <c r="K3281" s="2" t="str">
        <f>HYPERLINK("https://www.nba.com/stats/events?CFID=&amp;CFPARAMS=&amp;GameEventID=163&amp;GameID=0021500347&amp;Season=2015-16&amp;flag=1&amp;title=Leonard%2016'%20Pullup%20Jump%20Shot%20(6%20PTS)", "Leonard 16' Pullup Jump Shot (6 PTS)")</f>
        <v>Leonard 16' Pullup Jump Shot (6 PTS)</v>
      </c>
      <c r="L3281" s="2" t="str">
        <f>HYPERLINK("https://www.nba.com/game/...-vs-...-0021500347/play-by-play?watchFullGame=true", "SAS vs ATL - Q2 07:47.00")</f>
        <v>SAS vs ATL - Q2 07:47.00</v>
      </c>
      <c r="M3281">
        <v>16</v>
      </c>
      <c r="N3281">
        <v>-43</v>
      </c>
      <c r="O3281">
        <v>154</v>
      </c>
      <c r="P3281">
        <v>-43</v>
      </c>
      <c r="Q3281">
        <v>154</v>
      </c>
      <c r="R3281" t="s">
        <v>21</v>
      </c>
      <c r="S3281" t="s">
        <v>21</v>
      </c>
    </row>
    <row r="3282" spans="1:19" hidden="1" x14ac:dyDescent="0.25">
      <c r="A3282">
        <v>41800112</v>
      </c>
      <c r="B3282" t="s">
        <v>18</v>
      </c>
      <c r="C3282" t="s">
        <v>36</v>
      </c>
      <c r="D3282">
        <v>2</v>
      </c>
      <c r="E3282">
        <v>0</v>
      </c>
      <c r="F3282">
        <v>2</v>
      </c>
      <c r="G3282">
        <v>1</v>
      </c>
      <c r="H3282" s="1">
        <v>8.1828703703703699E-3</v>
      </c>
      <c r="I3282" t="s">
        <v>60</v>
      </c>
      <c r="J3282" t="s">
        <v>48</v>
      </c>
      <c r="K3282" s="2" t="str">
        <f>HYPERLINK("https://www.nba.com/stats/events?CFID=&amp;CFPARAMS=&amp;GameEventID=7&amp;GameID=0041800112&amp;Season=2018-19&amp;flag=1&amp;title=Leonard%2016'%20Pullup%20Jump%20Shot%20(2%20PTS)", "Leonard 16' Pullup Jump Shot (2 PTS)")</f>
        <v>Leonard 16' Pullup Jump Shot (2 PTS)</v>
      </c>
      <c r="L3282" s="2" t="str">
        <f>HYPERLINK("https://www.nba.com/game/...-vs-...-0041800112/play-by-play?watchFullGame=true", "TOR vs ORL - Q1 11:47.00")</f>
        <v>TOR vs ORL - Q1 11:47.00</v>
      </c>
      <c r="M3282">
        <v>16</v>
      </c>
      <c r="N3282">
        <v>-36</v>
      </c>
      <c r="O3282">
        <v>154</v>
      </c>
      <c r="P3282">
        <v>-36</v>
      </c>
      <c r="Q3282">
        <v>154</v>
      </c>
      <c r="R3282" t="s">
        <v>21</v>
      </c>
      <c r="S3282" t="s">
        <v>21</v>
      </c>
    </row>
    <row r="3283" spans="1:19" hidden="1" x14ac:dyDescent="0.25">
      <c r="A3283">
        <v>21300338</v>
      </c>
      <c r="B3283" t="s">
        <v>18</v>
      </c>
      <c r="C3283" t="s">
        <v>36</v>
      </c>
      <c r="D3283">
        <v>73</v>
      </c>
      <c r="E3283">
        <v>72</v>
      </c>
      <c r="F3283">
        <v>1</v>
      </c>
      <c r="G3283">
        <v>3</v>
      </c>
      <c r="H3283" s="1">
        <v>4.386574074074074E-3</v>
      </c>
      <c r="I3283">
        <v>2013</v>
      </c>
      <c r="J3283" t="s">
        <v>20</v>
      </c>
      <c r="K3283" s="2" t="str">
        <f>HYPERLINK("https://www.nba.com/stats/events?CFID=&amp;CFPARAMS=&amp;GameEventID=286&amp;GameID=0021300338&amp;Season=2013-14&amp;flag=1&amp;title=Leonard%2016'%20Pullup%20Jump%20Shot%20(19%20PTS)", "Leonard 16' Pullup Jump Shot (19 PTS)")</f>
        <v>Leonard 16' Pullup Jump Shot (19 PTS)</v>
      </c>
      <c r="L3283" s="2" t="str">
        <f>HYPERLINK("https://www.nba.com/game/...-vs-...-0021300338/play-by-play?watchFullGame=true", "SAS vs MIN - Q3 06:19.00")</f>
        <v>SAS vs MIN - Q3 06:19.00</v>
      </c>
      <c r="M3283">
        <v>16</v>
      </c>
      <c r="N3283">
        <v>48</v>
      </c>
      <c r="O3283">
        <v>154</v>
      </c>
      <c r="P3283">
        <v>48</v>
      </c>
      <c r="Q3283">
        <v>154</v>
      </c>
      <c r="R3283" t="s">
        <v>21</v>
      </c>
      <c r="S3283" t="s">
        <v>21</v>
      </c>
    </row>
    <row r="3284" spans="1:19" hidden="1" x14ac:dyDescent="0.25">
      <c r="A3284">
        <v>41400165</v>
      </c>
      <c r="B3284" t="s">
        <v>18</v>
      </c>
      <c r="C3284" t="s">
        <v>19</v>
      </c>
      <c r="D3284">
        <v>41</v>
      </c>
      <c r="E3284">
        <v>42</v>
      </c>
      <c r="F3284">
        <v>1</v>
      </c>
      <c r="G3284">
        <v>2</v>
      </c>
      <c r="H3284" s="1">
        <v>3.3912037037037036E-3</v>
      </c>
      <c r="I3284" t="s">
        <v>56</v>
      </c>
      <c r="J3284" t="s">
        <v>20</v>
      </c>
      <c r="K3284" s="2" t="str">
        <f>HYPERLINK("https://www.nba.com/stats/events?CFID=&amp;CFPARAMS=&amp;GameEventID=218&amp;GameID=0041400165&amp;Season=2014-15&amp;flag=1&amp;title=Leonard%2017'%20Jump%20Shot%20(10%20PTS)", "Leonard 17' Jump Shot (10 PTS)")</f>
        <v>Leonard 17' Jump Shot (10 PTS)</v>
      </c>
      <c r="L3284" s="2" t="str">
        <f>HYPERLINK("https://www.nba.com/game/...-vs-...-0041400165/play-by-play?watchFullGame=true", "SAS vs LAC - Q2 04:53.00")</f>
        <v>SAS vs LAC - Q2 04:53.00</v>
      </c>
      <c r="M3284">
        <v>17</v>
      </c>
      <c r="N3284">
        <v>65</v>
      </c>
      <c r="O3284">
        <v>154</v>
      </c>
      <c r="P3284">
        <v>65</v>
      </c>
      <c r="Q3284">
        <v>154</v>
      </c>
      <c r="R3284" t="s">
        <v>21</v>
      </c>
      <c r="S3284" t="s">
        <v>21</v>
      </c>
    </row>
    <row r="3285" spans="1:19" hidden="1" x14ac:dyDescent="0.25">
      <c r="A3285">
        <v>21600902</v>
      </c>
      <c r="B3285" t="s">
        <v>18</v>
      </c>
      <c r="C3285" t="s">
        <v>36</v>
      </c>
      <c r="D3285">
        <v>95</v>
      </c>
      <c r="E3285">
        <v>91</v>
      </c>
      <c r="F3285">
        <v>4</v>
      </c>
      <c r="G3285">
        <v>4</v>
      </c>
      <c r="H3285" s="1">
        <v>2.8587962962962963E-3</v>
      </c>
      <c r="I3285">
        <v>2016</v>
      </c>
      <c r="J3285" t="s">
        <v>20</v>
      </c>
      <c r="K3285" s="2" t="str">
        <f>HYPERLINK("https://www.nba.com/stats/events?CFID=&amp;CFPARAMS=&amp;GameEventID=476&amp;GameID=0021600902&amp;Season=2016-17&amp;flag=1&amp;title=Leonard%2018'%20Pullup%20Jump%20Shot%20(26%20PTS)", "Leonard 18' Pullup Jump Shot (26 PTS)")</f>
        <v>Leonard 18' Pullup Jump Shot (26 PTS)</v>
      </c>
      <c r="L3285" s="2" t="str">
        <f>HYPERLINK("https://www.nba.com/game/...-vs-...-0021600902/play-by-play?watchFullGame=true", "SAS vs IND - Q4 04:07.00")</f>
        <v>SAS vs IND - Q4 04:07.00</v>
      </c>
      <c r="M3285">
        <v>18</v>
      </c>
      <c r="N3285">
        <v>84</v>
      </c>
      <c r="O3285">
        <v>154</v>
      </c>
      <c r="P3285">
        <v>84</v>
      </c>
      <c r="Q3285">
        <v>154</v>
      </c>
      <c r="R3285" t="s">
        <v>21</v>
      </c>
      <c r="S3285" t="s">
        <v>21</v>
      </c>
    </row>
    <row r="3286" spans="1:19" hidden="1" x14ac:dyDescent="0.25">
      <c r="A3286">
        <v>21301154</v>
      </c>
      <c r="B3286" t="s">
        <v>18</v>
      </c>
      <c r="C3286" t="s">
        <v>19</v>
      </c>
      <c r="D3286">
        <v>2</v>
      </c>
      <c r="E3286">
        <v>2</v>
      </c>
      <c r="F3286">
        <v>0</v>
      </c>
      <c r="G3286">
        <v>1</v>
      </c>
      <c r="H3286" s="1">
        <v>7.2453703703703708E-3</v>
      </c>
      <c r="I3286">
        <v>2013</v>
      </c>
      <c r="J3286" t="s">
        <v>20</v>
      </c>
      <c r="K3286" s="2" t="str">
        <f>HYPERLINK("https://www.nba.com/stats/events?CFID=&amp;CFPARAMS=&amp;GameEventID=9&amp;GameID=0021301154&amp;Season=2013-14&amp;flag=1&amp;title=Leonard%2021'%20Jump%20Shot%20(2%20PTS)", "Leonard 21' Jump Shot (2 PTS)")</f>
        <v>Leonard 21' Jump Shot (2 PTS)</v>
      </c>
      <c r="L3286" s="2" t="str">
        <f>HYPERLINK("https://www.nba.com/game/...-vs-...-0021301154/play-by-play?watchFullGame=true", "SAS vs MEM - Q1 10:26.00")</f>
        <v>SAS vs MEM - Q1 10:26.00</v>
      </c>
      <c r="M3286">
        <v>21</v>
      </c>
      <c r="N3286">
        <v>136</v>
      </c>
      <c r="O3286">
        <v>154</v>
      </c>
      <c r="P3286">
        <v>136</v>
      </c>
      <c r="Q3286">
        <v>154</v>
      </c>
      <c r="R3286" t="s">
        <v>21</v>
      </c>
      <c r="S3286" t="s">
        <v>21</v>
      </c>
    </row>
    <row r="3287" spans="1:19" hidden="1" x14ac:dyDescent="0.25">
      <c r="A3287">
        <v>21800519</v>
      </c>
      <c r="B3287" t="s">
        <v>18</v>
      </c>
      <c r="C3287" t="s">
        <v>39</v>
      </c>
      <c r="D3287">
        <v>11</v>
      </c>
      <c r="E3287">
        <v>7</v>
      </c>
      <c r="F3287">
        <v>4</v>
      </c>
      <c r="G3287">
        <v>1</v>
      </c>
      <c r="H3287" s="1">
        <v>5.7291666666666663E-3</v>
      </c>
      <c r="I3287">
        <v>2018</v>
      </c>
      <c r="J3287" t="s">
        <v>48</v>
      </c>
      <c r="K3287" s="2" t="str">
        <f>HYPERLINK("https://www.nba.com/stats/events?CFID=&amp;CFPARAMS=&amp;GameEventID=47&amp;GameID=0021800519&amp;Season=2018-19&amp;flag=1&amp;title=Leonard%2021'%20Step%20Back%20Jump%20Shot%20(2%20PTS)", "Leonard 21' Step Back Jump Shot (2 PTS)")</f>
        <v>Leonard 21' Step Back Jump Shot (2 PTS)</v>
      </c>
      <c r="L3287" s="2" t="str">
        <f>HYPERLINK("https://www.nba.com/game/...-vs-...-0021800519/play-by-play?watchFullGame=true", "TOR vs ORL - Q1 08:15.00")</f>
        <v>TOR vs ORL - Q1 08:15.00</v>
      </c>
      <c r="M3287">
        <v>21</v>
      </c>
      <c r="N3287">
        <v>145</v>
      </c>
      <c r="O3287">
        <v>154</v>
      </c>
      <c r="P3287">
        <v>145</v>
      </c>
      <c r="Q3287">
        <v>154</v>
      </c>
      <c r="R3287" t="s">
        <v>21</v>
      </c>
      <c r="S3287" t="s">
        <v>21</v>
      </c>
    </row>
    <row r="3288" spans="1:19" hidden="1" x14ac:dyDescent="0.25">
      <c r="A3288">
        <v>21600762</v>
      </c>
      <c r="B3288" t="s">
        <v>18</v>
      </c>
      <c r="C3288" t="s">
        <v>36</v>
      </c>
      <c r="D3288">
        <v>69</v>
      </c>
      <c r="E3288">
        <v>57</v>
      </c>
      <c r="F3288">
        <v>12</v>
      </c>
      <c r="G3288">
        <v>3</v>
      </c>
      <c r="H3288" s="1">
        <v>6.2615740740740739E-3</v>
      </c>
      <c r="I3288">
        <v>2016</v>
      </c>
      <c r="J3288" t="s">
        <v>20</v>
      </c>
      <c r="K3288" s="2" t="str">
        <f>HYPERLINK("https://www.nba.com/stats/events?CFID=&amp;CFPARAMS=&amp;GameEventID=286&amp;GameID=0021600762&amp;Season=2016-17&amp;flag=1&amp;title=Leonard%2021'%20Pullup%20Jump%20Shot%20(13%20PTS)%20(Green%202%20AST)", "Leonard 21' Pullup Jump Shot (13 PTS) (Green 2 AST)")</f>
        <v>Leonard 21' Pullup Jump Shot (13 PTS) (Green 2 AST)</v>
      </c>
      <c r="L3288" s="2" t="str">
        <f>HYPERLINK("https://www.nba.com/game/...-vs-...-0021600762/play-by-play?watchFullGame=true", "SAS vs DEN - Q3 09:01.00")</f>
        <v>SAS vs DEN - Q3 09:01.00</v>
      </c>
      <c r="M3288">
        <v>21</v>
      </c>
      <c r="N3288">
        <v>146</v>
      </c>
      <c r="O3288">
        <v>154</v>
      </c>
      <c r="P3288">
        <v>146</v>
      </c>
      <c r="Q3288">
        <v>154</v>
      </c>
      <c r="R3288" t="s">
        <v>21</v>
      </c>
      <c r="S3288" t="s">
        <v>21</v>
      </c>
    </row>
    <row r="3289" spans="1:19" hidden="1" x14ac:dyDescent="0.25">
      <c r="A3289">
        <v>41500231</v>
      </c>
      <c r="B3289" t="s">
        <v>18</v>
      </c>
      <c r="C3289" t="s">
        <v>19</v>
      </c>
      <c r="D3289">
        <v>23</v>
      </c>
      <c r="E3289">
        <v>10</v>
      </c>
      <c r="F3289">
        <v>13</v>
      </c>
      <c r="G3289">
        <v>1</v>
      </c>
      <c r="H3289" s="1">
        <v>3.425925925925926E-3</v>
      </c>
      <c r="I3289" t="s">
        <v>57</v>
      </c>
      <c r="J3289" t="s">
        <v>20</v>
      </c>
      <c r="K3289" s="2" t="str">
        <f>HYPERLINK("https://www.nba.com/stats/events?CFID=&amp;CFPARAMS=&amp;GameEventID=61&amp;GameID=0041500231&amp;Season=2015-16&amp;flag=1&amp;title=Leonard%2022'%20Jump%20Shot%20(10%20PTS)%20(Parker%204%20AST)", "Leonard 22' Jump Shot (10 PTS) (Parker 4 AST)")</f>
        <v>Leonard 22' Jump Shot (10 PTS) (Parker 4 AST)</v>
      </c>
      <c r="L3289" s="2" t="str">
        <f>HYPERLINK("https://www.nba.com/game/...-vs-...-0041500231/play-by-play?watchFullGame=true", "SAS vs OKC - Q1 04:56.00")</f>
        <v>SAS vs OKC - Q1 04:56.00</v>
      </c>
      <c r="M3289">
        <v>22</v>
      </c>
      <c r="N3289">
        <v>-161</v>
      </c>
      <c r="O3289">
        <v>156</v>
      </c>
      <c r="P3289">
        <v>-161</v>
      </c>
      <c r="Q3289">
        <v>156</v>
      </c>
      <c r="R3289" t="s">
        <v>21</v>
      </c>
      <c r="S3289" t="s">
        <v>21</v>
      </c>
    </row>
    <row r="3290" spans="1:19" hidden="1" x14ac:dyDescent="0.25">
      <c r="A3290">
        <v>21301127</v>
      </c>
      <c r="B3290" t="s">
        <v>18</v>
      </c>
      <c r="C3290" t="s">
        <v>36</v>
      </c>
      <c r="D3290">
        <v>87</v>
      </c>
      <c r="E3290">
        <v>99</v>
      </c>
      <c r="F3290">
        <v>12</v>
      </c>
      <c r="G3290">
        <v>4</v>
      </c>
      <c r="H3290" s="1">
        <v>2.2685185185185187E-3</v>
      </c>
      <c r="I3290">
        <v>2013</v>
      </c>
      <c r="J3290" t="s">
        <v>20</v>
      </c>
      <c r="K3290" s="2" t="str">
        <f>HYPERLINK("https://www.nba.com/stats/events?CFID=&amp;CFPARAMS=&amp;GameEventID=483&amp;GameID=0021301127&amp;Season=2013-14&amp;flag=1&amp;title=Leonard%2018'%20Pullup%20Jump%20Shot%20(15%20PTS)", "Leonard 18' Pullup Jump Shot (15 PTS)")</f>
        <v>Leonard 18' Pullup Jump Shot (15 PTS)</v>
      </c>
      <c r="L3290" s="2" t="str">
        <f>HYPERLINK("https://www.nba.com/game/...-vs-...-0021301127/play-by-play?watchFullGame=true", "SAS vs OKC - Q4 03:16.00")</f>
        <v>SAS vs OKC - Q4 03:16.00</v>
      </c>
      <c r="M3290">
        <v>18</v>
      </c>
      <c r="N3290">
        <v>-86</v>
      </c>
      <c r="O3290">
        <v>156</v>
      </c>
      <c r="P3290">
        <v>-86</v>
      </c>
      <c r="Q3290">
        <v>156</v>
      </c>
      <c r="R3290" t="s">
        <v>21</v>
      </c>
      <c r="S3290" t="s">
        <v>21</v>
      </c>
    </row>
    <row r="3291" spans="1:19" hidden="1" x14ac:dyDescent="0.25">
      <c r="A3291">
        <v>21800388</v>
      </c>
      <c r="B3291" t="s">
        <v>18</v>
      </c>
      <c r="C3291" t="s">
        <v>36</v>
      </c>
      <c r="D3291">
        <v>20</v>
      </c>
      <c r="E3291">
        <v>15</v>
      </c>
      <c r="F3291">
        <v>5</v>
      </c>
      <c r="G3291">
        <v>1</v>
      </c>
      <c r="H3291" s="1">
        <v>3.3680555555555556E-3</v>
      </c>
      <c r="I3291">
        <v>2018</v>
      </c>
      <c r="J3291" t="s">
        <v>48</v>
      </c>
      <c r="K3291" s="2" t="str">
        <f>HYPERLINK("https://www.nba.com/stats/events?CFID=&amp;CFPARAMS=&amp;GameEventID=71&amp;GameID=0021800388&amp;Season=2018-19&amp;flag=1&amp;title=Leonard%2017'%20Pullup%20Jump%20Shot%20(8%20PTS)%20(Ibaka%203%20AST)", "Leonard 17' Pullup Jump Shot (8 PTS) (Ibaka 3 AST)")</f>
        <v>Leonard 17' Pullup Jump Shot (8 PTS) (Ibaka 3 AST)</v>
      </c>
      <c r="L3291" s="2" t="str">
        <f>HYPERLINK("https://www.nba.com/game/...-vs-...-0021800388/play-by-play?watchFullGame=true", "TOR vs MIL - Q1 04:51.00")</f>
        <v>TOR vs MIL - Q1 04:51.00</v>
      </c>
      <c r="M3291">
        <v>17</v>
      </c>
      <c r="N3291">
        <v>-76</v>
      </c>
      <c r="O3291">
        <v>156</v>
      </c>
      <c r="P3291">
        <v>-76</v>
      </c>
      <c r="Q3291">
        <v>156</v>
      </c>
      <c r="R3291" t="s">
        <v>21</v>
      </c>
      <c r="S3291" t="s">
        <v>21</v>
      </c>
    </row>
    <row r="3292" spans="1:19" hidden="1" x14ac:dyDescent="0.25">
      <c r="A3292">
        <v>41500151</v>
      </c>
      <c r="B3292" t="s">
        <v>18</v>
      </c>
      <c r="C3292" t="s">
        <v>59</v>
      </c>
      <c r="D3292">
        <v>55</v>
      </c>
      <c r="E3292">
        <v>40</v>
      </c>
      <c r="F3292">
        <v>15</v>
      </c>
      <c r="G3292">
        <v>3</v>
      </c>
      <c r="H3292" s="1">
        <v>6.2962962962962964E-3</v>
      </c>
      <c r="I3292" t="s">
        <v>57</v>
      </c>
      <c r="J3292" t="s">
        <v>20</v>
      </c>
      <c r="K3292" s="2" t="str">
        <f>HYPERLINK("https://www.nba.com/stats/events?CFID=&amp;CFPARAMS=&amp;GameEventID=251&amp;GameID=0041500151&amp;Season=2015-16&amp;flag=1&amp;title=Leonard%2017'%20Floating%20Jump%20Shot%20(14%20PTS)", "Leonard 17' Floating Jump Shot (14 PTS)")</f>
        <v>Leonard 17' Floating Jump Shot (14 PTS)</v>
      </c>
      <c r="L3292" s="2" t="str">
        <f>HYPERLINK("https://www.nba.com/game/...-vs-...-0041500151/play-by-play?watchFullGame=true", "SAS vs MEM - Q3 09:04.00")</f>
        <v>SAS vs MEM - Q3 09:04.00</v>
      </c>
      <c r="M3292">
        <v>17</v>
      </c>
      <c r="N3292">
        <v>-58</v>
      </c>
      <c r="O3292">
        <v>156</v>
      </c>
      <c r="P3292">
        <v>-58</v>
      </c>
      <c r="Q3292">
        <v>156</v>
      </c>
      <c r="R3292" t="s">
        <v>21</v>
      </c>
      <c r="S3292" t="s">
        <v>21</v>
      </c>
    </row>
    <row r="3293" spans="1:19" hidden="1" x14ac:dyDescent="0.25">
      <c r="A3293">
        <v>21400964</v>
      </c>
      <c r="B3293" t="s">
        <v>18</v>
      </c>
      <c r="C3293" t="s">
        <v>19</v>
      </c>
      <c r="D3293">
        <v>2</v>
      </c>
      <c r="E3293">
        <v>0</v>
      </c>
      <c r="F3293">
        <v>2</v>
      </c>
      <c r="G3293">
        <v>1</v>
      </c>
      <c r="H3293" s="1">
        <v>8.1250000000000003E-3</v>
      </c>
      <c r="I3293">
        <v>2014</v>
      </c>
      <c r="J3293" t="s">
        <v>20</v>
      </c>
      <c r="K3293" s="2" t="str">
        <f>HYPERLINK("https://www.nba.com/stats/events?CFID=&amp;CFPARAMS=&amp;GameEventID=2&amp;GameID=0021400964&amp;Season=2014-15&amp;flag=1&amp;title=Leonard%2017'%20Jump%20Shot%20(2%20PTS)%20(Duncan%201%20AST)", "Leonard 17' Jump Shot (2 PTS) (Duncan 1 AST)")</f>
        <v>Leonard 17' Jump Shot (2 PTS) (Duncan 1 AST)</v>
      </c>
      <c r="L3293" s="2" t="str">
        <f>HYPERLINK("https://www.nba.com/game/...-vs-...-0021400964/play-by-play?watchFullGame=true", "SAS vs CLE - Q1 11:42.00")</f>
        <v>SAS vs CLE - Q1 11:42.00</v>
      </c>
      <c r="M3293">
        <v>17</v>
      </c>
      <c r="N3293">
        <v>-57</v>
      </c>
      <c r="O3293">
        <v>156</v>
      </c>
      <c r="P3293">
        <v>-57</v>
      </c>
      <c r="Q3293">
        <v>156</v>
      </c>
      <c r="R3293" t="s">
        <v>21</v>
      </c>
      <c r="S3293" t="s">
        <v>21</v>
      </c>
    </row>
    <row r="3294" spans="1:19" hidden="1" x14ac:dyDescent="0.25">
      <c r="A3294">
        <v>21600575</v>
      </c>
      <c r="B3294" t="s">
        <v>18</v>
      </c>
      <c r="C3294" t="s">
        <v>36</v>
      </c>
      <c r="D3294">
        <v>36</v>
      </c>
      <c r="E3294">
        <v>25</v>
      </c>
      <c r="F3294">
        <v>11</v>
      </c>
      <c r="G3294">
        <v>2</v>
      </c>
      <c r="H3294" s="1">
        <v>6.1805555555555555E-3</v>
      </c>
      <c r="I3294">
        <v>2016</v>
      </c>
      <c r="J3294" t="s">
        <v>20</v>
      </c>
      <c r="K3294" s="2" t="str">
        <f>HYPERLINK("https://www.nba.com/stats/events?CFID=&amp;CFPARAMS=&amp;GameEventID=158&amp;GameID=0021600575&amp;Season=2016-17&amp;flag=1&amp;title=Leonard%2016'%20Pullup%20Jump%20Shot%20(15%20PTS)", "Leonard 16' Pullup Jump Shot (15 PTS)")</f>
        <v>Leonard 16' Pullup Jump Shot (15 PTS)</v>
      </c>
      <c r="L3294" s="2" t="str">
        <f>HYPERLINK("https://www.nba.com/game/...-vs-...-0021600575/play-by-play?watchFullGame=true", "SAS vs MIL - Q2 08:54.00")</f>
        <v>SAS vs MIL - Q2 08:54.00</v>
      </c>
      <c r="M3294">
        <v>16</v>
      </c>
      <c r="N3294">
        <v>-37</v>
      </c>
      <c r="O3294">
        <v>156</v>
      </c>
      <c r="P3294">
        <v>-37</v>
      </c>
      <c r="Q3294">
        <v>156</v>
      </c>
      <c r="R3294" t="s">
        <v>21</v>
      </c>
      <c r="S3294" t="s">
        <v>21</v>
      </c>
    </row>
    <row r="3295" spans="1:19" hidden="1" x14ac:dyDescent="0.25">
      <c r="A3295">
        <v>21501140</v>
      </c>
      <c r="B3295" t="s">
        <v>18</v>
      </c>
      <c r="C3295" t="s">
        <v>36</v>
      </c>
      <c r="D3295">
        <v>94</v>
      </c>
      <c r="E3295">
        <v>86</v>
      </c>
      <c r="F3295">
        <v>8</v>
      </c>
      <c r="G3295">
        <v>4</v>
      </c>
      <c r="H3295" s="1">
        <v>4.6064814814814813E-4</v>
      </c>
      <c r="I3295">
        <v>2015</v>
      </c>
      <c r="J3295" t="s">
        <v>20</v>
      </c>
      <c r="K3295" s="2" t="str">
        <f>HYPERLINK("https://www.nba.com/stats/events?CFID=&amp;CFPARAMS=&amp;GameEventID=434&amp;GameID=0021501140&amp;Season=2015-16&amp;flag=1&amp;title=Leonard%2016'%20Pullup%20Jump%20Shot%20(29%20PTS)", "Leonard 16' Pullup Jump Shot (29 PTS)")</f>
        <v>Leonard 16' Pullup Jump Shot (29 PTS)</v>
      </c>
      <c r="L3295" s="2" t="str">
        <f>HYPERLINK("https://www.nba.com/game/...-vs-...-0021501140/play-by-play?watchFullGame=true", "SAS vs TOR - Q4 00:39.80")</f>
        <v>SAS vs TOR - Q4 00:39.80</v>
      </c>
      <c r="M3295">
        <v>16</v>
      </c>
      <c r="N3295">
        <v>30</v>
      </c>
      <c r="O3295">
        <v>156</v>
      </c>
      <c r="P3295">
        <v>30</v>
      </c>
      <c r="Q3295">
        <v>156</v>
      </c>
      <c r="R3295" t="s">
        <v>21</v>
      </c>
      <c r="S3295" t="s">
        <v>21</v>
      </c>
    </row>
    <row r="3296" spans="1:19" hidden="1" x14ac:dyDescent="0.25">
      <c r="A3296">
        <v>21600639</v>
      </c>
      <c r="B3296" t="s">
        <v>18</v>
      </c>
      <c r="C3296" t="s">
        <v>36</v>
      </c>
      <c r="D3296">
        <v>74</v>
      </c>
      <c r="E3296">
        <v>58</v>
      </c>
      <c r="F3296">
        <v>16</v>
      </c>
      <c r="G3296">
        <v>3</v>
      </c>
      <c r="H3296" s="1">
        <v>6.2384259259259259E-3</v>
      </c>
      <c r="I3296">
        <v>2016</v>
      </c>
      <c r="J3296" t="s">
        <v>20</v>
      </c>
      <c r="K3296" s="2" t="str">
        <f>HYPERLINK("https://www.nba.com/stats/events?CFID=&amp;CFPARAMS=&amp;GameEventID=299&amp;GameID=0021600639&amp;Season=2016-17&amp;flag=1&amp;title=Leonard%2017'%20Pullup%20Jump%20Shot%20(17%20PTS)", "Leonard 17' Pullup Jump Shot (17 PTS)")</f>
        <v>Leonard 17' Pullup Jump Shot (17 PTS)</v>
      </c>
      <c r="L3296" s="2" t="str">
        <f>HYPERLINK("https://www.nba.com/game/...-vs-...-0021600639/play-by-play?watchFullGame=true", "SAS vs DEN - Q3 08:59.00")</f>
        <v>SAS vs DEN - Q3 08:59.00</v>
      </c>
      <c r="M3296">
        <v>17</v>
      </c>
      <c r="N3296">
        <v>63</v>
      </c>
      <c r="O3296">
        <v>156</v>
      </c>
      <c r="P3296">
        <v>63</v>
      </c>
      <c r="Q3296">
        <v>156</v>
      </c>
      <c r="R3296" t="s">
        <v>21</v>
      </c>
      <c r="S3296" t="s">
        <v>21</v>
      </c>
    </row>
    <row r="3297" spans="1:19" hidden="1" x14ac:dyDescent="0.25">
      <c r="A3297">
        <v>21501001</v>
      </c>
      <c r="B3297" t="s">
        <v>18</v>
      </c>
      <c r="C3297" t="s">
        <v>19</v>
      </c>
      <c r="D3297">
        <v>99</v>
      </c>
      <c r="E3297">
        <v>79</v>
      </c>
      <c r="F3297">
        <v>20</v>
      </c>
      <c r="G3297">
        <v>4</v>
      </c>
      <c r="H3297" s="1">
        <v>2.685185185185185E-3</v>
      </c>
      <c r="I3297">
        <v>2015</v>
      </c>
      <c r="J3297" t="s">
        <v>20</v>
      </c>
      <c r="K3297" s="2" t="str">
        <f>HYPERLINK("https://www.nba.com/stats/events?CFID=&amp;CFPARAMS=&amp;GameEventID=438&amp;GameID=0021501001&amp;Season=2015-16&amp;flag=1&amp;title=Leonard%2018'%20Jump%20Shot%20(20%20PTS)%20(Marjanovic%201%20AST)", "Leonard 18' Jump Shot (20 PTS) (Marjanovic 1 AST)")</f>
        <v>Leonard 18' Jump Shot (20 PTS) (Marjanovic 1 AST)</v>
      </c>
      <c r="L3297" s="2" t="str">
        <f>HYPERLINK("https://www.nba.com/game/...-vs-...-0021501001/play-by-play?watchFullGame=true", "SAS vs LAC - Q4 03:52.00")</f>
        <v>SAS vs LAC - Q4 03:52.00</v>
      </c>
      <c r="M3297">
        <v>18</v>
      </c>
      <c r="N3297">
        <v>89</v>
      </c>
      <c r="O3297">
        <v>156</v>
      </c>
      <c r="P3297">
        <v>89</v>
      </c>
      <c r="Q3297">
        <v>156</v>
      </c>
      <c r="R3297" t="s">
        <v>21</v>
      </c>
      <c r="S3297" t="s">
        <v>21</v>
      </c>
    </row>
    <row r="3298" spans="1:19" hidden="1" x14ac:dyDescent="0.25">
      <c r="A3298">
        <v>21400361</v>
      </c>
      <c r="B3298" t="s">
        <v>18</v>
      </c>
      <c r="C3298" t="s">
        <v>36</v>
      </c>
      <c r="D3298">
        <v>88</v>
      </c>
      <c r="E3298">
        <v>94</v>
      </c>
      <c r="F3298">
        <v>6</v>
      </c>
      <c r="G3298">
        <v>4</v>
      </c>
      <c r="H3298" s="1">
        <v>3.3680555555555556E-3</v>
      </c>
      <c r="I3298">
        <v>2014</v>
      </c>
      <c r="J3298" t="s">
        <v>20</v>
      </c>
      <c r="K3298" s="2" t="str">
        <f>HYPERLINK("https://www.nba.com/stats/events?CFID=&amp;CFPARAMS=&amp;GameEventID=447&amp;GameID=0021400361&amp;Season=2014-15&amp;flag=1&amp;title=Leonard%2018'%20Pullup%20Jump%20Shot%20(17%20PTS)", "Leonard 18' Pullup Jump Shot (17 PTS)")</f>
        <v>Leonard 18' Pullup Jump Shot (17 PTS)</v>
      </c>
      <c r="L3298" s="2" t="str">
        <f>HYPERLINK("https://www.nba.com/game/...-vs-...-0021400361/play-by-play?watchFullGame=true", "SAS vs POR - Q4 04:51.00")</f>
        <v>SAS vs POR - Q4 04:51.00</v>
      </c>
      <c r="M3298">
        <v>18</v>
      </c>
      <c r="N3298">
        <v>94</v>
      </c>
      <c r="O3298">
        <v>156</v>
      </c>
      <c r="P3298">
        <v>94</v>
      </c>
      <c r="Q3298">
        <v>156</v>
      </c>
      <c r="R3298" t="s">
        <v>21</v>
      </c>
      <c r="S3298" t="s">
        <v>21</v>
      </c>
    </row>
    <row r="3299" spans="1:19" hidden="1" x14ac:dyDescent="0.25">
      <c r="A3299">
        <v>41800404</v>
      </c>
      <c r="B3299" t="s">
        <v>18</v>
      </c>
      <c r="C3299" t="s">
        <v>19</v>
      </c>
      <c r="D3299">
        <v>77</v>
      </c>
      <c r="E3299">
        <v>64</v>
      </c>
      <c r="F3299">
        <v>13</v>
      </c>
      <c r="G3299">
        <v>3</v>
      </c>
      <c r="H3299" s="1">
        <v>4.953703703703703E-4</v>
      </c>
      <c r="I3299" t="s">
        <v>60</v>
      </c>
      <c r="J3299" t="s">
        <v>48</v>
      </c>
      <c r="K3299" s="2" t="str">
        <f>HYPERLINK("https://www.nba.com/stats/events?CFID=&amp;CFPARAMS=&amp;GameEventID=487&amp;GameID=0041800404&amp;Season=2018-19&amp;flag=1&amp;title=Leonard%2019'%20Jump%20Shot%20(29%20PTS)", "Leonard 19' Jump Shot (29 PTS)")</f>
        <v>Leonard 19' Jump Shot (29 PTS)</v>
      </c>
      <c r="L3299" s="2" t="str">
        <f>HYPERLINK("https://www.nba.com/game/...-vs-...-0041800404/play-by-play?watchFullGame=true", "TOR vs GSW - Q3 00:42.80")</f>
        <v>TOR vs GSW - Q3 00:42.80</v>
      </c>
      <c r="M3299">
        <v>19</v>
      </c>
      <c r="N3299">
        <v>104</v>
      </c>
      <c r="O3299">
        <v>156</v>
      </c>
      <c r="P3299">
        <v>104</v>
      </c>
      <c r="Q3299">
        <v>156</v>
      </c>
      <c r="R3299" t="s">
        <v>21</v>
      </c>
      <c r="S3299" t="s">
        <v>21</v>
      </c>
    </row>
    <row r="3300" spans="1:19" hidden="1" x14ac:dyDescent="0.25">
      <c r="A3300">
        <v>21500342</v>
      </c>
      <c r="B3300" t="s">
        <v>18</v>
      </c>
      <c r="C3300" t="s">
        <v>36</v>
      </c>
      <c r="D3300">
        <v>54</v>
      </c>
      <c r="E3300">
        <v>49</v>
      </c>
      <c r="F3300">
        <v>5</v>
      </c>
      <c r="G3300">
        <v>3</v>
      </c>
      <c r="H3300" s="1">
        <v>7.4421296296296293E-3</v>
      </c>
      <c r="I3300">
        <v>2015</v>
      </c>
      <c r="J3300" t="s">
        <v>20</v>
      </c>
      <c r="K3300" s="2" t="str">
        <f>HYPERLINK("https://www.nba.com/stats/events?CFID=&amp;CFPARAMS=&amp;GameEventID=234&amp;GameID=0021500342&amp;Season=2015-16&amp;flag=1&amp;title=Leonard%2020'%20Pullup%20Jump%20Shot%20(12%20PTS)%20(McCallum%203%20AST)", "Leonard 20' Pullup Jump Shot (12 PTS) (McCallum 3 AST)")</f>
        <v>Leonard 20' Pullup Jump Shot (12 PTS) (McCallum 3 AST)</v>
      </c>
      <c r="L3300" s="2" t="str">
        <f>HYPERLINK("https://www.nba.com/game/...-vs-...-0021500342/play-by-play?watchFullGame=true", "SAS vs LAL - Q3 10:43.00")</f>
        <v>SAS vs LAL - Q3 10:43.00</v>
      </c>
      <c r="M3300">
        <v>20</v>
      </c>
      <c r="N3300">
        <v>132</v>
      </c>
      <c r="O3300">
        <v>156</v>
      </c>
      <c r="P3300">
        <v>132</v>
      </c>
      <c r="Q3300">
        <v>156</v>
      </c>
      <c r="R3300" t="s">
        <v>21</v>
      </c>
      <c r="S3300" t="s">
        <v>21</v>
      </c>
    </row>
    <row r="3301" spans="1:19" hidden="1" x14ac:dyDescent="0.25">
      <c r="A3301">
        <v>41500154</v>
      </c>
      <c r="B3301" t="s">
        <v>18</v>
      </c>
      <c r="C3301" t="s">
        <v>30</v>
      </c>
      <c r="D3301">
        <v>6</v>
      </c>
      <c r="E3301">
        <v>4</v>
      </c>
      <c r="F3301">
        <v>2</v>
      </c>
      <c r="G3301">
        <v>1</v>
      </c>
      <c r="H3301" s="1">
        <v>6.6898148148148151E-3</v>
      </c>
      <c r="I3301" t="s">
        <v>57</v>
      </c>
      <c r="J3301" t="s">
        <v>20</v>
      </c>
      <c r="K3301" s="2" t="str">
        <f>HYPERLINK("https://www.nba.com/stats/events?CFID=&amp;CFPARAMS=&amp;GameEventID=17&amp;GameID=0041500154&amp;Season=2015-16&amp;flag=1&amp;title=Leonard%2022'%20Running%20Jump%20Shot%20(2%20PTS)", "Leonard 22' Running Jump Shot (2 PTS)")</f>
        <v>Leonard 22' Running Jump Shot (2 PTS)</v>
      </c>
      <c r="L3301" s="2" t="str">
        <f>HYPERLINK("https://www.nba.com/game/...-vs-...-0041500154/play-by-play?watchFullGame=true", "SAS vs MEM - Q1 09:38.00")</f>
        <v>SAS vs MEM - Q1 09:38.00</v>
      </c>
      <c r="M3301">
        <v>22</v>
      </c>
      <c r="N3301">
        <v>158</v>
      </c>
      <c r="O3301">
        <v>156</v>
      </c>
      <c r="P3301">
        <v>158</v>
      </c>
      <c r="Q3301">
        <v>156</v>
      </c>
      <c r="R3301" t="s">
        <v>21</v>
      </c>
      <c r="S3301" t="s">
        <v>21</v>
      </c>
    </row>
    <row r="3302" spans="1:19" hidden="1" x14ac:dyDescent="0.25">
      <c r="A3302">
        <v>21300965</v>
      </c>
      <c r="B3302" t="s">
        <v>18</v>
      </c>
      <c r="C3302" t="s">
        <v>19</v>
      </c>
      <c r="D3302">
        <v>88</v>
      </c>
      <c r="E3302">
        <v>73</v>
      </c>
      <c r="F3302">
        <v>15</v>
      </c>
      <c r="G3302">
        <v>4</v>
      </c>
      <c r="H3302" s="1">
        <v>5.1504629629629626E-3</v>
      </c>
      <c r="I3302">
        <v>2013</v>
      </c>
      <c r="J3302" t="s">
        <v>20</v>
      </c>
      <c r="K3302" s="2" t="str">
        <f>HYPERLINK("https://www.nba.com/stats/events?CFID=&amp;CFPARAMS=&amp;GameEventID=468&amp;GameID=0021300965&amp;Season=2013-14&amp;flag=1&amp;title=Leonard%2019'%20Jump%20Shot%20(10%20PTS)", "Leonard 19' Jump Shot (10 PTS)")</f>
        <v>Leonard 19' Jump Shot (10 PTS)</v>
      </c>
      <c r="L3302" s="2" t="str">
        <f>HYPERLINK("https://www.nba.com/game/...-vs-...-0021300965/play-by-play?watchFullGame=true", "SAS vs POR - Q4 07:25.00")</f>
        <v>SAS vs POR - Q4 07:25.00</v>
      </c>
      <c r="M3302">
        <v>19</v>
      </c>
      <c r="N3302">
        <v>-105</v>
      </c>
      <c r="O3302">
        <v>157</v>
      </c>
      <c r="P3302">
        <v>-105</v>
      </c>
      <c r="Q3302">
        <v>157</v>
      </c>
      <c r="R3302" t="s">
        <v>21</v>
      </c>
      <c r="S3302" t="s">
        <v>21</v>
      </c>
    </row>
    <row r="3303" spans="1:19" hidden="1" x14ac:dyDescent="0.25">
      <c r="A3303">
        <v>21800442</v>
      </c>
      <c r="B3303" t="s">
        <v>18</v>
      </c>
      <c r="C3303" t="s">
        <v>19</v>
      </c>
      <c r="D3303">
        <v>85</v>
      </c>
      <c r="E3303">
        <v>88</v>
      </c>
      <c r="F3303">
        <v>3</v>
      </c>
      <c r="G3303">
        <v>4</v>
      </c>
      <c r="H3303" s="1">
        <v>1.9212962962962964E-3</v>
      </c>
      <c r="I3303">
        <v>2018</v>
      </c>
      <c r="J3303" t="s">
        <v>48</v>
      </c>
      <c r="K3303" s="2" t="str">
        <f>HYPERLINK("https://www.nba.com/stats/events?CFID=&amp;CFPARAMS=&amp;GameEventID=561&amp;GameID=0021800442&amp;Season=2018-19&amp;flag=1&amp;title=Leonard%2017'%20Jump%20Shot%20(29%20PTS)", "Leonard 17' Jump Shot (29 PTS)")</f>
        <v>Leonard 17' Jump Shot (29 PTS)</v>
      </c>
      <c r="L3303" s="2" t="str">
        <f>HYPERLINK("https://www.nba.com/game/...-vs-...-0021800442/play-by-play?watchFullGame=true", "TOR vs DEN - Q4 02:46.00")</f>
        <v>TOR vs DEN - Q4 02:46.00</v>
      </c>
      <c r="M3303">
        <v>17</v>
      </c>
      <c r="N3303">
        <v>-54</v>
      </c>
      <c r="O3303">
        <v>157</v>
      </c>
      <c r="P3303">
        <v>-54</v>
      </c>
      <c r="Q3303">
        <v>157</v>
      </c>
      <c r="R3303" t="s">
        <v>21</v>
      </c>
      <c r="S3303" t="s">
        <v>21</v>
      </c>
    </row>
    <row r="3304" spans="1:19" hidden="1" x14ac:dyDescent="0.25">
      <c r="A3304">
        <v>41800213</v>
      </c>
      <c r="B3304" t="s">
        <v>18</v>
      </c>
      <c r="C3304" t="s">
        <v>36</v>
      </c>
      <c r="D3304">
        <v>20</v>
      </c>
      <c r="E3304">
        <v>23</v>
      </c>
      <c r="F3304">
        <v>3</v>
      </c>
      <c r="G3304">
        <v>1</v>
      </c>
      <c r="H3304" s="1">
        <v>2.9629629629629628E-3</v>
      </c>
      <c r="I3304" t="s">
        <v>60</v>
      </c>
      <c r="J3304" t="s">
        <v>48</v>
      </c>
      <c r="K3304" s="2" t="str">
        <f>HYPERLINK("https://www.nba.com/stats/events?CFID=&amp;CFPARAMS=&amp;GameEventID=88&amp;GameID=0041800213&amp;Season=2018-19&amp;flag=1&amp;title=Leonard%2016'%20Pullup%20Jump%20Shot%20(9%20PTS)%20(Siakam%201%20AST)", "Leonard 16' Pullup Jump Shot (9 PTS) (Siakam 1 AST)")</f>
        <v>Leonard 16' Pullup Jump Shot (9 PTS) (Siakam 1 AST)</v>
      </c>
      <c r="L3304" s="2" t="str">
        <f>HYPERLINK("https://www.nba.com/game/...-vs-...-0041800213/play-by-play?watchFullGame=true", "TOR vs PHI - Q1 04:16.00")</f>
        <v>TOR vs PHI - Q1 04:16.00</v>
      </c>
      <c r="M3304">
        <v>16</v>
      </c>
      <c r="N3304">
        <v>-33</v>
      </c>
      <c r="O3304">
        <v>157</v>
      </c>
      <c r="P3304">
        <v>-33</v>
      </c>
      <c r="Q3304">
        <v>157</v>
      </c>
      <c r="R3304" t="s">
        <v>21</v>
      </c>
      <c r="S3304" t="s">
        <v>21</v>
      </c>
    </row>
    <row r="3305" spans="1:19" hidden="1" x14ac:dyDescent="0.25">
      <c r="A3305">
        <v>41300222</v>
      </c>
      <c r="B3305" t="s">
        <v>18</v>
      </c>
      <c r="C3305" t="s">
        <v>36</v>
      </c>
      <c r="D3305">
        <v>38</v>
      </c>
      <c r="E3305">
        <v>30</v>
      </c>
      <c r="F3305">
        <v>8</v>
      </c>
      <c r="G3305">
        <v>2</v>
      </c>
      <c r="H3305" s="1">
        <v>7.2106481481481483E-3</v>
      </c>
      <c r="I3305" t="s">
        <v>55</v>
      </c>
      <c r="J3305" t="s">
        <v>20</v>
      </c>
      <c r="K3305" s="2" t="str">
        <f>HYPERLINK("https://www.nba.com/stats/events?CFID=&amp;CFPARAMS=&amp;GameEventID=137&amp;GameID=0041300222&amp;Season=2013-14&amp;flag=1&amp;title=Leonard%2016'%20Pullup%20Jump%20Shot%20(14%20PTS)", "Leonard 16' Pullup Jump Shot (14 PTS)")</f>
        <v>Leonard 16' Pullup Jump Shot (14 PTS)</v>
      </c>
      <c r="L3305" s="2" t="str">
        <f>HYPERLINK("https://www.nba.com/game/...-vs-...-0041300222/play-by-play?watchFullGame=true", "SAS vs POR - Q2 10:23.00")</f>
        <v>SAS vs POR - Q2 10:23.00</v>
      </c>
      <c r="M3305">
        <v>16</v>
      </c>
      <c r="N3305">
        <v>10</v>
      </c>
      <c r="O3305">
        <v>157</v>
      </c>
      <c r="P3305">
        <v>10</v>
      </c>
      <c r="Q3305">
        <v>157</v>
      </c>
      <c r="R3305" t="s">
        <v>21</v>
      </c>
      <c r="S3305" t="s">
        <v>21</v>
      </c>
    </row>
    <row r="3306" spans="1:19" hidden="1" x14ac:dyDescent="0.25">
      <c r="A3306">
        <v>41800306</v>
      </c>
      <c r="B3306" t="s">
        <v>18</v>
      </c>
      <c r="C3306" t="s">
        <v>36</v>
      </c>
      <c r="D3306">
        <v>47</v>
      </c>
      <c r="E3306">
        <v>54</v>
      </c>
      <c r="F3306">
        <v>7</v>
      </c>
      <c r="G3306">
        <v>3</v>
      </c>
      <c r="H3306" s="1">
        <v>6.8865740740740745E-3</v>
      </c>
      <c r="I3306" t="s">
        <v>60</v>
      </c>
      <c r="J3306" t="s">
        <v>48</v>
      </c>
      <c r="K3306" s="2" t="str">
        <f>HYPERLINK("https://www.nba.com/stats/events?CFID=&amp;CFPARAMS=&amp;GameEventID=353&amp;GameID=0041800306&amp;Season=2018-19&amp;flag=1&amp;title=Leonard%2016'%20Pullup%20Jump%20Shot%20(10%20PTS)", "Leonard 16' Pullup Jump Shot (10 PTS)")</f>
        <v>Leonard 16' Pullup Jump Shot (10 PTS)</v>
      </c>
      <c r="L3306" s="2" t="str">
        <f>HYPERLINK("https://www.nba.com/game/...-vs-...-0041800306/play-by-play?watchFullGame=true", "TOR vs MIL - Q3 09:55.00")</f>
        <v>TOR vs MIL - Q3 09:55.00</v>
      </c>
      <c r="M3306">
        <v>16</v>
      </c>
      <c r="N3306">
        <v>29</v>
      </c>
      <c r="O3306">
        <v>157</v>
      </c>
      <c r="P3306">
        <v>29</v>
      </c>
      <c r="Q3306">
        <v>157</v>
      </c>
      <c r="R3306" t="s">
        <v>21</v>
      </c>
      <c r="S3306" t="s">
        <v>21</v>
      </c>
    </row>
    <row r="3307" spans="1:19" hidden="1" x14ac:dyDescent="0.25">
      <c r="A3307">
        <v>41300224</v>
      </c>
      <c r="B3307" t="s">
        <v>18</v>
      </c>
      <c r="C3307" t="s">
        <v>36</v>
      </c>
      <c r="D3307">
        <v>70</v>
      </c>
      <c r="E3307">
        <v>85</v>
      </c>
      <c r="F3307">
        <v>15</v>
      </c>
      <c r="G3307">
        <v>4</v>
      </c>
      <c r="H3307" s="1">
        <v>7.9976851851851858E-3</v>
      </c>
      <c r="I3307" t="s">
        <v>55</v>
      </c>
      <c r="J3307" t="s">
        <v>20</v>
      </c>
      <c r="K3307" s="2" t="str">
        <f>HYPERLINK("https://www.nba.com/stats/events?CFID=&amp;CFPARAMS=&amp;GameEventID=394&amp;GameID=0041300224&amp;Season=2013-14&amp;flag=1&amp;title=Leonard%2021'%20Pullup%20Jump%20Shot%20(9%20PTS)", "Leonard 21' Pullup Jump Shot (9 PTS)")</f>
        <v>Leonard 21' Pullup Jump Shot (9 PTS)</v>
      </c>
      <c r="L3307" s="2" t="str">
        <f>HYPERLINK("https://www.nba.com/game/...-vs-...-0041300224/play-by-play?watchFullGame=true", "SAS vs POR - Q4 11:31.00")</f>
        <v>SAS vs POR - Q4 11:31.00</v>
      </c>
      <c r="M3307">
        <v>21</v>
      </c>
      <c r="N3307">
        <v>133</v>
      </c>
      <c r="O3307">
        <v>157</v>
      </c>
      <c r="P3307">
        <v>133</v>
      </c>
      <c r="Q3307">
        <v>157</v>
      </c>
      <c r="R3307" t="s">
        <v>21</v>
      </c>
      <c r="S3307" t="s">
        <v>21</v>
      </c>
    </row>
    <row r="3308" spans="1:19" hidden="1" x14ac:dyDescent="0.25">
      <c r="A3308">
        <v>21400177</v>
      </c>
      <c r="B3308" t="s">
        <v>18</v>
      </c>
      <c r="C3308" t="s">
        <v>19</v>
      </c>
      <c r="D3308">
        <v>8</v>
      </c>
      <c r="E3308">
        <v>6</v>
      </c>
      <c r="F3308">
        <v>2</v>
      </c>
      <c r="G3308">
        <v>1</v>
      </c>
      <c r="H3308" s="1">
        <v>6.4699074074074077E-3</v>
      </c>
      <c r="I3308">
        <v>2014</v>
      </c>
      <c r="J3308" t="s">
        <v>20</v>
      </c>
      <c r="K3308" s="2" t="str">
        <f>HYPERLINK("https://www.nba.com/stats/events?CFID=&amp;CFPARAMS=&amp;GameEventID=20&amp;GameID=0021400177&amp;Season=2014-15&amp;flag=1&amp;title=Leonard%2021'%20Jump%20Shot%20(2%20PTS)", "Leonard 21' Jump Shot (2 PTS)")</f>
        <v>Leonard 21' Jump Shot (2 PTS)</v>
      </c>
      <c r="L3308" s="2" t="str">
        <f>HYPERLINK("https://www.nba.com/game/...-vs-...-0021400177/play-by-play?watchFullGame=true", "SAS vs MIN - Q1 09:19.00")</f>
        <v>SAS vs MIN - Q1 09:19.00</v>
      </c>
      <c r="M3308">
        <v>21</v>
      </c>
      <c r="N3308">
        <v>140</v>
      </c>
      <c r="O3308">
        <v>157</v>
      </c>
      <c r="P3308">
        <v>140</v>
      </c>
      <c r="Q3308">
        <v>157</v>
      </c>
      <c r="R3308" t="s">
        <v>21</v>
      </c>
      <c r="S3308" t="s">
        <v>21</v>
      </c>
    </row>
    <row r="3309" spans="1:19" hidden="1" x14ac:dyDescent="0.25">
      <c r="A3309">
        <v>21600874</v>
      </c>
      <c r="B3309" t="s">
        <v>18</v>
      </c>
      <c r="C3309" t="s">
        <v>39</v>
      </c>
      <c r="D3309">
        <v>24</v>
      </c>
      <c r="E3309">
        <v>12</v>
      </c>
      <c r="F3309">
        <v>12</v>
      </c>
      <c r="G3309">
        <v>1</v>
      </c>
      <c r="H3309" s="1">
        <v>2.8240740740740739E-3</v>
      </c>
      <c r="I3309">
        <v>2016</v>
      </c>
      <c r="J3309" t="s">
        <v>20</v>
      </c>
      <c r="K3309" s="2" t="str">
        <f>HYPERLINK("https://www.nba.com/stats/events?CFID=&amp;CFPARAMS=&amp;GameEventID=66&amp;GameID=0021600874&amp;Season=2016-17&amp;flag=1&amp;title=Leonard%2020'%20Step%20Back%20Jump%20Shot%20(14%20PTS)", "Leonard 20' Step Back Jump Shot (14 PTS)")</f>
        <v>Leonard 20' Step Back Jump Shot (14 PTS)</v>
      </c>
      <c r="L3309" s="2" t="str">
        <f>HYPERLINK("https://www.nba.com/game/...-vs-...-0021600874/play-by-play?watchFullGame=true", "SAS vs LAL - Q1 04:04.00")</f>
        <v>SAS vs LAL - Q1 04:04.00</v>
      </c>
      <c r="M3309">
        <v>20</v>
      </c>
      <c r="N3309">
        <v>-126</v>
      </c>
      <c r="O3309">
        <v>158</v>
      </c>
      <c r="P3309">
        <v>-126</v>
      </c>
      <c r="Q3309">
        <v>158</v>
      </c>
      <c r="R3309" t="s">
        <v>21</v>
      </c>
      <c r="S3309" t="s">
        <v>21</v>
      </c>
    </row>
    <row r="3310" spans="1:19" hidden="1" x14ac:dyDescent="0.25">
      <c r="A3310">
        <v>21800549</v>
      </c>
      <c r="B3310" t="s">
        <v>18</v>
      </c>
      <c r="C3310" t="s">
        <v>59</v>
      </c>
      <c r="D3310">
        <v>82</v>
      </c>
      <c r="E3310">
        <v>73</v>
      </c>
      <c r="F3310">
        <v>9</v>
      </c>
      <c r="G3310">
        <v>3</v>
      </c>
      <c r="H3310" s="1">
        <v>2.7314814814814814E-3</v>
      </c>
      <c r="I3310">
        <v>2018</v>
      </c>
      <c r="J3310" t="s">
        <v>48</v>
      </c>
      <c r="K3310" s="2" t="str">
        <f>HYPERLINK("https://www.nba.com/stats/events?CFID=&amp;CFPARAMS=&amp;GameEventID=404&amp;GameID=0021800549&amp;Season=2018-19&amp;flag=1&amp;title=Leonard%2016'%20Floating%20Jump%20Shot%20(28%20PTS)", "Leonard 16' Floating Jump Shot (28 PTS)")</f>
        <v>Leonard 16' Floating Jump Shot (28 PTS)</v>
      </c>
      <c r="L3310" s="2" t="str">
        <f>HYPERLINK("https://www.nba.com/game/...-vs-...-0021800549/play-by-play?watchFullGame=true", "TOR vs UTA - Q3 03:56.00")</f>
        <v>TOR vs UTA - Q3 03:56.00</v>
      </c>
      <c r="M3310">
        <v>16</v>
      </c>
      <c r="N3310">
        <v>-41</v>
      </c>
      <c r="O3310">
        <v>158</v>
      </c>
      <c r="P3310">
        <v>-41</v>
      </c>
      <c r="Q3310">
        <v>158</v>
      </c>
      <c r="R3310" t="s">
        <v>21</v>
      </c>
      <c r="S3310" t="s">
        <v>21</v>
      </c>
    </row>
    <row r="3311" spans="1:19" hidden="1" x14ac:dyDescent="0.25">
      <c r="A3311">
        <v>21600874</v>
      </c>
      <c r="B3311" t="s">
        <v>18</v>
      </c>
      <c r="C3311" t="s">
        <v>19</v>
      </c>
      <c r="D3311">
        <v>17</v>
      </c>
      <c r="E3311">
        <v>9</v>
      </c>
      <c r="F3311">
        <v>8</v>
      </c>
      <c r="G3311">
        <v>1</v>
      </c>
      <c r="H3311" s="1">
        <v>4.0277777777777777E-3</v>
      </c>
      <c r="I3311">
        <v>2016</v>
      </c>
      <c r="J3311" t="s">
        <v>20</v>
      </c>
      <c r="K3311" s="2" t="str">
        <f>HYPERLINK("https://www.nba.com/stats/events?CFID=&amp;CFPARAMS=&amp;GameEventID=46&amp;GameID=0021600874&amp;Season=2016-17&amp;flag=1&amp;title=Leonard%2019'%20Jump%20Shot%20(9%20PTS)%20(Parker%206%20AST)", "Leonard 19' Jump Shot (9 PTS) (Parker 6 AST)")</f>
        <v>Leonard 19' Jump Shot (9 PTS) (Parker 6 AST)</v>
      </c>
      <c r="L3311" s="2" t="str">
        <f>HYPERLINK("https://www.nba.com/game/...-vs-...-0021600874/play-by-play?watchFullGame=true", "SAS vs LAL - Q1 05:48.00")</f>
        <v>SAS vs LAL - Q1 05:48.00</v>
      </c>
      <c r="M3311">
        <v>19</v>
      </c>
      <c r="N3311">
        <v>109</v>
      </c>
      <c r="O3311">
        <v>158</v>
      </c>
      <c r="P3311">
        <v>109</v>
      </c>
      <c r="Q3311">
        <v>158</v>
      </c>
      <c r="R3311" t="s">
        <v>21</v>
      </c>
      <c r="S3311" t="s">
        <v>21</v>
      </c>
    </row>
    <row r="3312" spans="1:19" hidden="1" x14ac:dyDescent="0.25">
      <c r="A3312">
        <v>41300403</v>
      </c>
      <c r="B3312" t="s">
        <v>18</v>
      </c>
      <c r="C3312" t="s">
        <v>19</v>
      </c>
      <c r="D3312">
        <v>55</v>
      </c>
      <c r="E3312">
        <v>30</v>
      </c>
      <c r="F3312">
        <v>25</v>
      </c>
      <c r="G3312">
        <v>2</v>
      </c>
      <c r="H3312" s="1">
        <v>5.6597222222222222E-3</v>
      </c>
      <c r="I3312" t="s">
        <v>55</v>
      </c>
      <c r="J3312" t="s">
        <v>20</v>
      </c>
      <c r="K3312" s="2" t="str">
        <f>HYPERLINK("https://www.nba.com/stats/events?CFID=&amp;CFPARAMS=&amp;GameEventID=155&amp;GameID=0041300403&amp;Season=2013-14&amp;flag=1&amp;title=Leonard%2021'%20Jump%20Shot%20(18%20PTS)", "Leonard 21' Jump Shot (18 PTS)")</f>
        <v>Leonard 21' Jump Shot (18 PTS)</v>
      </c>
      <c r="L3312" s="2" t="str">
        <f>HYPERLINK("https://www.nba.com/game/...-vs-...-0041300403/play-by-play?watchFullGame=true", "SAS vs MIA - Q2 08:09.00")</f>
        <v>SAS vs MIA - Q2 08:09.00</v>
      </c>
      <c r="M3312">
        <v>21</v>
      </c>
      <c r="N3312">
        <v>-138</v>
      </c>
      <c r="O3312">
        <v>159</v>
      </c>
      <c r="P3312">
        <v>-138</v>
      </c>
      <c r="Q3312">
        <v>159</v>
      </c>
      <c r="R3312" t="s">
        <v>21</v>
      </c>
      <c r="S3312" t="s">
        <v>21</v>
      </c>
    </row>
    <row r="3313" spans="1:19" hidden="1" x14ac:dyDescent="0.25">
      <c r="A3313">
        <v>21600727</v>
      </c>
      <c r="B3313" t="s">
        <v>18</v>
      </c>
      <c r="C3313" t="s">
        <v>36</v>
      </c>
      <c r="D3313">
        <v>78</v>
      </c>
      <c r="E3313">
        <v>75</v>
      </c>
      <c r="F3313">
        <v>3</v>
      </c>
      <c r="G3313">
        <v>3</v>
      </c>
      <c r="H3313" s="1">
        <v>8.5648148148148158E-5</v>
      </c>
      <c r="I3313">
        <v>2016</v>
      </c>
      <c r="J3313" t="s">
        <v>20</v>
      </c>
      <c r="K3313" s="2" t="str">
        <f>HYPERLINK("https://www.nba.com/stats/events?CFID=&amp;CFPARAMS=&amp;GameEventID=485&amp;GameID=0021600727&amp;Season=2016-17&amp;flag=1&amp;title=Leonard%2019'%20Pullup%20Jump%20Shot%20(23%20PTS)", "Leonard 19' Pullup Jump Shot (23 PTS)")</f>
        <v>Leonard 19' Pullup Jump Shot (23 PTS)</v>
      </c>
      <c r="L3313" s="2" t="str">
        <f>HYPERLINK("https://www.nba.com/game/...-vs-...-0021600727/play-by-play?watchFullGame=true", "SAS vs OKC - Q3 00:07.40")</f>
        <v>SAS vs OKC - Q3 00:07.40</v>
      </c>
      <c r="M3313">
        <v>19</v>
      </c>
      <c r="N3313">
        <v>-110</v>
      </c>
      <c r="O3313">
        <v>159</v>
      </c>
      <c r="P3313">
        <v>-110</v>
      </c>
      <c r="Q3313">
        <v>159</v>
      </c>
      <c r="R3313" t="s">
        <v>21</v>
      </c>
      <c r="S3313" t="s">
        <v>21</v>
      </c>
    </row>
    <row r="3314" spans="1:19" hidden="1" x14ac:dyDescent="0.25">
      <c r="A3314">
        <v>21500784</v>
      </c>
      <c r="B3314" t="s">
        <v>18</v>
      </c>
      <c r="C3314" t="s">
        <v>36</v>
      </c>
      <c r="D3314">
        <v>42</v>
      </c>
      <c r="E3314">
        <v>41</v>
      </c>
      <c r="F3314">
        <v>1</v>
      </c>
      <c r="G3314">
        <v>2</v>
      </c>
      <c r="H3314" s="1">
        <v>3.0092592592592593E-3</v>
      </c>
      <c r="I3314">
        <v>2015</v>
      </c>
      <c r="J3314" t="s">
        <v>20</v>
      </c>
      <c r="K3314" s="2" t="str">
        <f>HYPERLINK("https://www.nba.com/stats/events?CFID=&amp;CFPARAMS=&amp;GameEventID=205&amp;GameID=0021500784&amp;Season=2015-16&amp;flag=1&amp;title=Leonard%2019'%20Pullup%20Jump%20Shot%20(4%20PTS)", "Leonard 19' Pullup Jump Shot (4 PTS)")</f>
        <v>Leonard 19' Pullup Jump Shot (4 PTS)</v>
      </c>
      <c r="L3314" s="2" t="str">
        <f>HYPERLINK("https://www.nba.com/game/...-vs-...-0021500784/play-by-play?watchFullGame=true", "SAS vs MIA - Q2 04:20.00")</f>
        <v>SAS vs MIA - Q2 04:20.00</v>
      </c>
      <c r="M3314">
        <v>19</v>
      </c>
      <c r="N3314">
        <v>-96</v>
      </c>
      <c r="O3314">
        <v>159</v>
      </c>
      <c r="P3314">
        <v>-96</v>
      </c>
      <c r="Q3314">
        <v>159</v>
      </c>
      <c r="R3314" t="s">
        <v>21</v>
      </c>
      <c r="S3314" t="s">
        <v>21</v>
      </c>
    </row>
    <row r="3315" spans="1:19" hidden="1" x14ac:dyDescent="0.25">
      <c r="A3315">
        <v>21600625</v>
      </c>
      <c r="B3315" t="s">
        <v>18</v>
      </c>
      <c r="C3315" t="s">
        <v>36</v>
      </c>
      <c r="D3315">
        <v>54</v>
      </c>
      <c r="E3315">
        <v>59</v>
      </c>
      <c r="F3315">
        <v>5</v>
      </c>
      <c r="G3315">
        <v>2</v>
      </c>
      <c r="H3315" s="1">
        <v>2.3032407407407407E-3</v>
      </c>
      <c r="I3315">
        <v>2016</v>
      </c>
      <c r="J3315" t="s">
        <v>20</v>
      </c>
      <c r="K3315" s="2" t="str">
        <f>HYPERLINK("https://www.nba.com/stats/events?CFID=&amp;CFPARAMS=&amp;GameEventID=251&amp;GameID=0021600625&amp;Season=2016-17&amp;flag=1&amp;title=Leonard%2016'%20Pullup%20Jump%20Shot%20(10%20PTS)", "Leonard 16' Pullup Jump Shot (10 PTS)")</f>
        <v>Leonard 16' Pullup Jump Shot (10 PTS)</v>
      </c>
      <c r="L3315" s="2" t="str">
        <f>HYPERLINK("https://www.nba.com/game/...-vs-...-0021600625/play-by-play?watchFullGame=true", "SAS vs MIN - Q2 03:19.00")</f>
        <v>SAS vs MIN - Q2 03:19.00</v>
      </c>
      <c r="M3315">
        <v>16</v>
      </c>
      <c r="N3315">
        <v>0</v>
      </c>
      <c r="O3315">
        <v>159</v>
      </c>
      <c r="P3315">
        <v>0</v>
      </c>
      <c r="Q3315">
        <v>159</v>
      </c>
      <c r="R3315" t="s">
        <v>21</v>
      </c>
      <c r="S3315" t="s">
        <v>21</v>
      </c>
    </row>
    <row r="3316" spans="1:19" hidden="1" x14ac:dyDescent="0.25">
      <c r="A3316">
        <v>41500152</v>
      </c>
      <c r="B3316" t="s">
        <v>18</v>
      </c>
      <c r="C3316" t="s">
        <v>36</v>
      </c>
      <c r="D3316">
        <v>36</v>
      </c>
      <c r="E3316">
        <v>24</v>
      </c>
      <c r="F3316">
        <v>12</v>
      </c>
      <c r="G3316">
        <v>2</v>
      </c>
      <c r="H3316" s="1">
        <v>4.340277777777778E-3</v>
      </c>
      <c r="I3316" t="s">
        <v>57</v>
      </c>
      <c r="J3316" t="s">
        <v>20</v>
      </c>
      <c r="K3316" s="2" t="str">
        <f>HYPERLINK("https://www.nba.com/stats/events?CFID=&amp;CFPARAMS=&amp;GameEventID=171&amp;GameID=0041500152&amp;Season=2015-16&amp;flag=1&amp;title=Leonard%2016'%20Pullup%20Jump%20Shot%20(6%20PTS)%20(Duncan%203%20AST)", "Leonard 16' Pullup Jump Shot (6 PTS) (Duncan 3 AST)")</f>
        <v>Leonard 16' Pullup Jump Shot (6 PTS) (Duncan 3 AST)</v>
      </c>
      <c r="L3316" s="2" t="str">
        <f>HYPERLINK("https://www.nba.com/game/...-vs-...-0041500152/play-by-play?watchFullGame=true", "SAS vs MEM - Q2 06:15.00")</f>
        <v>SAS vs MEM - Q2 06:15.00</v>
      </c>
      <c r="M3316">
        <v>16</v>
      </c>
      <c r="N3316">
        <v>17</v>
      </c>
      <c r="O3316">
        <v>159</v>
      </c>
      <c r="P3316">
        <v>17</v>
      </c>
      <c r="Q3316">
        <v>159</v>
      </c>
      <c r="R3316" t="s">
        <v>21</v>
      </c>
      <c r="S3316" t="s">
        <v>21</v>
      </c>
    </row>
    <row r="3317" spans="1:19" hidden="1" x14ac:dyDescent="0.25">
      <c r="A3317">
        <v>21301186</v>
      </c>
      <c r="B3317" t="s">
        <v>18</v>
      </c>
      <c r="C3317" t="s">
        <v>19</v>
      </c>
      <c r="D3317">
        <v>97</v>
      </c>
      <c r="E3317">
        <v>95</v>
      </c>
      <c r="F3317">
        <v>2</v>
      </c>
      <c r="G3317">
        <v>4</v>
      </c>
      <c r="H3317" s="1">
        <v>3.3101851851851851E-3</v>
      </c>
      <c r="I3317">
        <v>2013</v>
      </c>
      <c r="J3317" t="s">
        <v>20</v>
      </c>
      <c r="K3317" s="2" t="str">
        <f>HYPERLINK("https://www.nba.com/stats/events?CFID=&amp;CFPARAMS=&amp;GameEventID=440&amp;GameID=0021301186&amp;Season=2013-14&amp;flag=1&amp;title=Leonard%2016'%20Jump%20Shot%20(15%20PTS)%20(Mills%204%20AST)", "Leonard 16' Jump Shot (15 PTS) (Mills 4 AST)")</f>
        <v>Leonard 16' Jump Shot (15 PTS) (Mills 4 AST)</v>
      </c>
      <c r="L3317" s="2" t="str">
        <f>HYPERLINK("https://www.nba.com/game/...-vs-...-0021301186/play-by-play?watchFullGame=true", "SAS vs PHX - Q4 04:46.00")</f>
        <v>SAS vs PHX - Q4 04:46.00</v>
      </c>
      <c r="M3317">
        <v>16</v>
      </c>
      <c r="N3317">
        <v>18</v>
      </c>
      <c r="O3317">
        <v>159</v>
      </c>
      <c r="P3317">
        <v>18</v>
      </c>
      <c r="Q3317">
        <v>159</v>
      </c>
      <c r="R3317" t="s">
        <v>21</v>
      </c>
      <c r="S3317" t="s">
        <v>21</v>
      </c>
    </row>
    <row r="3318" spans="1:19" hidden="1" x14ac:dyDescent="0.25">
      <c r="A3318">
        <v>21600744</v>
      </c>
      <c r="B3318" t="s">
        <v>18</v>
      </c>
      <c r="C3318" t="s">
        <v>19</v>
      </c>
      <c r="D3318">
        <v>72</v>
      </c>
      <c r="E3318">
        <v>66</v>
      </c>
      <c r="F3318">
        <v>6</v>
      </c>
      <c r="G3318">
        <v>3</v>
      </c>
      <c r="H3318" s="1">
        <v>1.9212962962962964E-3</v>
      </c>
      <c r="I3318">
        <v>2016</v>
      </c>
      <c r="J3318" t="s">
        <v>20</v>
      </c>
      <c r="K3318" s="2" t="str">
        <f>HYPERLINK("https://www.nba.com/stats/events?CFID=&amp;CFPARAMS=&amp;GameEventID=433&amp;GameID=0021600744&amp;Season=2016-17&amp;flag=1&amp;title=Leonard%2016'%20Jump%20Shot%20(14%20PTS)%20(Mills%203%20AST)", "Leonard 16' Jump Shot (14 PTS) (Mills 3 AST)")</f>
        <v>Leonard 16' Jump Shot (14 PTS) (Mills 3 AST)</v>
      </c>
      <c r="L3318" s="2" t="str">
        <f>HYPERLINK("https://www.nba.com/game/...-vs-...-0021600744/play-by-play?watchFullGame=true", "SAS vs PHI - Q3 02:46.00")</f>
        <v>SAS vs PHI - Q3 02:46.00</v>
      </c>
      <c r="M3318">
        <v>16</v>
      </c>
      <c r="N3318">
        <v>24</v>
      </c>
      <c r="O3318">
        <v>159</v>
      </c>
      <c r="P3318">
        <v>24</v>
      </c>
      <c r="Q3318">
        <v>159</v>
      </c>
      <c r="R3318" t="s">
        <v>21</v>
      </c>
      <c r="S3318" t="s">
        <v>21</v>
      </c>
    </row>
    <row r="3319" spans="1:19" hidden="1" x14ac:dyDescent="0.25">
      <c r="A3319">
        <v>21401110</v>
      </c>
      <c r="B3319" t="s">
        <v>18</v>
      </c>
      <c r="C3319" t="s">
        <v>19</v>
      </c>
      <c r="D3319">
        <v>35</v>
      </c>
      <c r="E3319">
        <v>33</v>
      </c>
      <c r="F3319">
        <v>2</v>
      </c>
      <c r="G3319">
        <v>2</v>
      </c>
      <c r="H3319" s="1">
        <v>3.5995370370370369E-3</v>
      </c>
      <c r="I3319">
        <v>2014</v>
      </c>
      <c r="J3319" t="s">
        <v>20</v>
      </c>
      <c r="K3319" s="2" t="str">
        <f>HYPERLINK("https://www.nba.com/stats/events?CFID=&amp;CFPARAMS=&amp;GameEventID=185&amp;GameID=0021401110&amp;Season=2014-15&amp;flag=1&amp;title=Leonard%2018'%20Jump%20Shot%20(10%20PTS)", "Leonard 18' Jump Shot (10 PTS)")</f>
        <v>Leonard 18' Jump Shot (10 PTS)</v>
      </c>
      <c r="L3319" s="2" t="str">
        <f>HYPERLINK("https://www.nba.com/game/...-vs-...-0021401110/play-by-play?watchFullGame=true", "SAS vs MIA - Q2 05:11.00")</f>
        <v>SAS vs MIA - Q2 05:11.00</v>
      </c>
      <c r="M3319">
        <v>18</v>
      </c>
      <c r="N3319">
        <v>88</v>
      </c>
      <c r="O3319">
        <v>159</v>
      </c>
      <c r="P3319">
        <v>88</v>
      </c>
      <c r="Q3319">
        <v>159</v>
      </c>
      <c r="R3319" t="s">
        <v>21</v>
      </c>
      <c r="S3319" t="s">
        <v>21</v>
      </c>
    </row>
    <row r="3320" spans="1:19" hidden="1" x14ac:dyDescent="0.25">
      <c r="A3320">
        <v>21500416</v>
      </c>
      <c r="B3320" t="s">
        <v>18</v>
      </c>
      <c r="C3320" t="s">
        <v>36</v>
      </c>
      <c r="D3320">
        <v>52</v>
      </c>
      <c r="E3320">
        <v>53</v>
      </c>
      <c r="F3320">
        <v>1</v>
      </c>
      <c r="G3320">
        <v>3</v>
      </c>
      <c r="H3320" s="1">
        <v>7.0023148148148145E-3</v>
      </c>
      <c r="I3320">
        <v>2015</v>
      </c>
      <c r="J3320" t="s">
        <v>20</v>
      </c>
      <c r="K3320" s="2" t="str">
        <f>HYPERLINK("https://www.nba.com/stats/events?CFID=&amp;CFPARAMS=&amp;GameEventID=251&amp;GameID=0021500416&amp;Season=2015-16&amp;flag=1&amp;title=Leonard%2018'%20Pullup%20Jump%20Shot%20(12%20PTS)", "Leonard 18' Pullup Jump Shot (12 PTS)")</f>
        <v>Leonard 18' Pullup Jump Shot (12 PTS)</v>
      </c>
      <c r="L3320" s="2" t="str">
        <f>HYPERLINK("https://www.nba.com/game/...-vs-...-0021500416/play-by-play?watchFullGame=true", "SAS vs IND - Q3 10:05.00")</f>
        <v>SAS vs IND - Q3 10:05.00</v>
      </c>
      <c r="M3320">
        <v>18</v>
      </c>
      <c r="N3320">
        <v>94</v>
      </c>
      <c r="O3320">
        <v>159</v>
      </c>
      <c r="P3320">
        <v>94</v>
      </c>
      <c r="Q3320">
        <v>159</v>
      </c>
      <c r="R3320" t="s">
        <v>21</v>
      </c>
      <c r="S3320" t="s">
        <v>21</v>
      </c>
    </row>
    <row r="3321" spans="1:19" hidden="1" x14ac:dyDescent="0.25">
      <c r="A3321">
        <v>41800306</v>
      </c>
      <c r="B3321" t="s">
        <v>18</v>
      </c>
      <c r="C3321" t="s">
        <v>36</v>
      </c>
      <c r="D3321">
        <v>49</v>
      </c>
      <c r="E3321">
        <v>57</v>
      </c>
      <c r="F3321">
        <v>8</v>
      </c>
      <c r="G3321">
        <v>3</v>
      </c>
      <c r="H3321" s="1">
        <v>6.4814814814814813E-3</v>
      </c>
      <c r="I3321" t="s">
        <v>60</v>
      </c>
      <c r="J3321" t="s">
        <v>48</v>
      </c>
      <c r="K3321" s="2" t="str">
        <f>HYPERLINK("https://www.nba.com/stats/events?CFID=&amp;CFPARAMS=&amp;GameEventID=358&amp;GameID=0041800306&amp;Season=2018-19&amp;flag=1&amp;title=Leonard%2019'%20Pullup%20Jump%20Shot%20(12%20PTS)", "Leonard 19' Pullup Jump Shot (12 PTS)")</f>
        <v>Leonard 19' Pullup Jump Shot (12 PTS)</v>
      </c>
      <c r="L3321" s="2" t="str">
        <f>HYPERLINK("https://www.nba.com/game/...-vs-...-0041800306/play-by-play?watchFullGame=true", "TOR vs MIL - Q3 09:20.00")</f>
        <v>TOR vs MIL - Q3 09:20.00</v>
      </c>
      <c r="M3321">
        <v>19</v>
      </c>
      <c r="N3321">
        <v>112</v>
      </c>
      <c r="O3321">
        <v>159</v>
      </c>
      <c r="P3321">
        <v>112</v>
      </c>
      <c r="Q3321">
        <v>159</v>
      </c>
      <c r="R3321" t="s">
        <v>21</v>
      </c>
      <c r="S3321" t="s">
        <v>21</v>
      </c>
    </row>
    <row r="3322" spans="1:19" hidden="1" x14ac:dyDescent="0.25">
      <c r="A3322">
        <v>21301186</v>
      </c>
      <c r="B3322" t="s">
        <v>18</v>
      </c>
      <c r="C3322" t="s">
        <v>19</v>
      </c>
      <c r="D3322">
        <v>95</v>
      </c>
      <c r="E3322">
        <v>95</v>
      </c>
      <c r="F3322">
        <v>0</v>
      </c>
      <c r="G3322">
        <v>4</v>
      </c>
      <c r="H3322" s="1">
        <v>3.9351851851851848E-3</v>
      </c>
      <c r="I3322">
        <v>2013</v>
      </c>
      <c r="J3322" t="s">
        <v>20</v>
      </c>
      <c r="K3322" s="2" t="str">
        <f>HYPERLINK("https://www.nba.com/stats/events?CFID=&amp;CFPARAMS=&amp;GameEventID=431&amp;GameID=0021301186&amp;Season=2013-14&amp;flag=1&amp;title=Leonard%2019'%20Jump%20Shot%20(13%20PTS)", "Leonard 19' Jump Shot (13 PTS)")</f>
        <v>Leonard 19' Jump Shot (13 PTS)</v>
      </c>
      <c r="L3322" s="2" t="str">
        <f>HYPERLINK("https://www.nba.com/game/...-vs-...-0021301186/play-by-play?watchFullGame=true", "SAS vs PHX - Q4 05:40.00")</f>
        <v>SAS vs PHX - Q4 05:40.00</v>
      </c>
      <c r="M3322">
        <v>19</v>
      </c>
      <c r="N3322">
        <v>-93</v>
      </c>
      <c r="O3322">
        <v>160</v>
      </c>
      <c r="P3322">
        <v>-93</v>
      </c>
      <c r="Q3322">
        <v>160</v>
      </c>
      <c r="R3322" t="s">
        <v>21</v>
      </c>
      <c r="S3322" t="s">
        <v>21</v>
      </c>
    </row>
    <row r="3323" spans="1:19" hidden="1" x14ac:dyDescent="0.25">
      <c r="A3323">
        <v>21500689</v>
      </c>
      <c r="B3323" t="s">
        <v>18</v>
      </c>
      <c r="C3323" t="s">
        <v>36</v>
      </c>
      <c r="D3323">
        <v>64</v>
      </c>
      <c r="E3323">
        <v>49</v>
      </c>
      <c r="F3323">
        <v>15</v>
      </c>
      <c r="G3323">
        <v>2</v>
      </c>
      <c r="H3323" s="1">
        <v>1.2847222222222223E-3</v>
      </c>
      <c r="I3323">
        <v>2015</v>
      </c>
      <c r="J3323" t="s">
        <v>20</v>
      </c>
      <c r="K3323" s="2" t="str">
        <f>HYPERLINK("https://www.nba.com/stats/events?CFID=&amp;CFPARAMS=&amp;GameEventID=289&amp;GameID=0021500689&amp;Season=2015-16&amp;flag=1&amp;title=Leonard%2016'%20Pullup%20Jump%20Shot%20(12%20PTS)%20(Ginobili%202%20AST)", "Leonard 16' Pullup Jump Shot (12 PTS) (Ginobili 2 AST)")</f>
        <v>Leonard 16' Pullup Jump Shot (12 PTS) (Ginobili 2 AST)</v>
      </c>
      <c r="L3323" s="2" t="str">
        <f>HYPERLINK("https://www.nba.com/game/...-vs-...-0021500689/play-by-play?watchFullGame=true", "SAS vs HOU - Q2 01:51.00")</f>
        <v>SAS vs HOU - Q2 01:51.00</v>
      </c>
      <c r="M3323">
        <v>16</v>
      </c>
      <c r="N3323">
        <v>-4</v>
      </c>
      <c r="O3323">
        <v>160</v>
      </c>
      <c r="P3323">
        <v>-4</v>
      </c>
      <c r="Q3323">
        <v>160</v>
      </c>
      <c r="R3323" t="s">
        <v>21</v>
      </c>
      <c r="S3323" t="s">
        <v>21</v>
      </c>
    </row>
    <row r="3324" spans="1:19" hidden="1" x14ac:dyDescent="0.25">
      <c r="A3324">
        <v>41500154</v>
      </c>
      <c r="B3324" t="s">
        <v>18</v>
      </c>
      <c r="C3324" t="s">
        <v>19</v>
      </c>
      <c r="D3324">
        <v>47</v>
      </c>
      <c r="E3324">
        <v>42</v>
      </c>
      <c r="F3324">
        <v>5</v>
      </c>
      <c r="G3324">
        <v>2</v>
      </c>
      <c r="H3324" s="1">
        <v>8.2175925925925927E-4</v>
      </c>
      <c r="I3324" t="s">
        <v>57</v>
      </c>
      <c r="J3324" t="s">
        <v>20</v>
      </c>
      <c r="K3324" s="2" t="str">
        <f>HYPERLINK("https://www.nba.com/stats/events?CFID=&amp;CFPARAMS=&amp;GameEventID=246&amp;GameID=0041500154&amp;Season=2015-16&amp;flag=1&amp;title=Leonard%2016'%20Jump%20Shot%20(14%20PTS)", "Leonard 16' Jump Shot (14 PTS)")</f>
        <v>Leonard 16' Jump Shot (14 PTS)</v>
      </c>
      <c r="L3324" s="2" t="str">
        <f>HYPERLINK("https://www.nba.com/game/...-vs-...-0041500154/play-by-play?watchFullGame=true", "SAS vs MEM - Q2 01:11.00")</f>
        <v>SAS vs MEM - Q2 01:11.00</v>
      </c>
      <c r="M3324">
        <v>16</v>
      </c>
      <c r="N3324">
        <v>4</v>
      </c>
      <c r="O3324">
        <v>160</v>
      </c>
      <c r="P3324">
        <v>4</v>
      </c>
      <c r="Q3324">
        <v>160</v>
      </c>
      <c r="R3324" t="s">
        <v>21</v>
      </c>
      <c r="S3324" t="s">
        <v>21</v>
      </c>
    </row>
    <row r="3325" spans="1:19" hidden="1" x14ac:dyDescent="0.25">
      <c r="A3325">
        <v>41300311</v>
      </c>
      <c r="B3325" t="s">
        <v>18</v>
      </c>
      <c r="C3325" t="s">
        <v>45</v>
      </c>
      <c r="D3325">
        <v>4</v>
      </c>
      <c r="E3325">
        <v>2</v>
      </c>
      <c r="F3325">
        <v>2</v>
      </c>
      <c r="G3325">
        <v>1</v>
      </c>
      <c r="H3325" s="1">
        <v>6.8055555555555551E-3</v>
      </c>
      <c r="I3325" t="s">
        <v>55</v>
      </c>
      <c r="J3325" t="s">
        <v>20</v>
      </c>
      <c r="K3325" s="2" t="str">
        <f>HYPERLINK("https://www.nba.com/stats/events?CFID=&amp;CFPARAMS=&amp;GameEventID=20&amp;GameID=0041300311&amp;Season=2013-14&amp;flag=1&amp;title=Leonard%2016'%20Pullup%20Bank%20Shot%20(2%20PTS)", "Leonard 16' Pullup Bank Shot (2 PTS)")</f>
        <v>Leonard 16' Pullup Bank Shot (2 PTS)</v>
      </c>
      <c r="L3325" s="2" t="str">
        <f>HYPERLINK("https://www.nba.com/game/...-vs-...-0041300311/play-by-play?watchFullGame=true", "SAS vs OKC - Q1 09:48.00")</f>
        <v>SAS vs OKC - Q1 09:48.00</v>
      </c>
      <c r="M3325">
        <v>16</v>
      </c>
      <c r="N3325">
        <v>9</v>
      </c>
      <c r="O3325">
        <v>160</v>
      </c>
      <c r="P3325">
        <v>9</v>
      </c>
      <c r="Q3325">
        <v>160</v>
      </c>
      <c r="R3325" t="s">
        <v>21</v>
      </c>
      <c r="S3325" t="s">
        <v>21</v>
      </c>
    </row>
    <row r="3326" spans="1:19" hidden="1" x14ac:dyDescent="0.25">
      <c r="A3326">
        <v>21700428</v>
      </c>
      <c r="B3326" t="s">
        <v>18</v>
      </c>
      <c r="C3326" t="s">
        <v>36</v>
      </c>
      <c r="D3326">
        <v>2</v>
      </c>
      <c r="E3326">
        <v>3</v>
      </c>
      <c r="F3326">
        <v>1</v>
      </c>
      <c r="G3326">
        <v>1</v>
      </c>
      <c r="H3326" s="1">
        <v>7.4768518518518517E-3</v>
      </c>
      <c r="I3326">
        <v>2017</v>
      </c>
      <c r="J3326" t="s">
        <v>20</v>
      </c>
      <c r="K3326" s="2" t="str">
        <f>HYPERLINK("https://www.nba.com/stats/events?CFID=&amp;CFPARAMS=&amp;GameEventID=17&amp;GameID=0021700428&amp;Season=2017-18&amp;flag=1&amp;title=Leonard%2016'%20Pullup%20Jump%20Shot%20(2%20PTS)", "Leonard 16' Pullup Jump Shot (2 PTS)")</f>
        <v>Leonard 16' Pullup Jump Shot (2 PTS)</v>
      </c>
      <c r="L3326" s="2" t="str">
        <f>HYPERLINK("https://www.nba.com/game/...-vs-...-0021700428/play-by-play?watchFullGame=true", "SAS vs HOU - Q1 10:46.00")</f>
        <v>SAS vs HOU - Q1 10:46.00</v>
      </c>
      <c r="M3326">
        <v>16</v>
      </c>
      <c r="N3326">
        <v>32</v>
      </c>
      <c r="O3326">
        <v>160</v>
      </c>
      <c r="P3326">
        <v>32</v>
      </c>
      <c r="Q3326">
        <v>160</v>
      </c>
      <c r="R3326" t="s">
        <v>21</v>
      </c>
      <c r="S3326" t="s">
        <v>21</v>
      </c>
    </row>
    <row r="3327" spans="1:19" hidden="1" x14ac:dyDescent="0.25">
      <c r="A3327">
        <v>21401181</v>
      </c>
      <c r="B3327" t="s">
        <v>18</v>
      </c>
      <c r="C3327" t="s">
        <v>19</v>
      </c>
      <c r="D3327">
        <v>56</v>
      </c>
      <c r="E3327">
        <v>57</v>
      </c>
      <c r="F3327">
        <v>1</v>
      </c>
      <c r="G3327">
        <v>3</v>
      </c>
      <c r="H3327" s="1">
        <v>5.7291666666666663E-3</v>
      </c>
      <c r="I3327">
        <v>2014</v>
      </c>
      <c r="J3327" t="s">
        <v>20</v>
      </c>
      <c r="K3327" s="2" t="str">
        <f>HYPERLINK("https://www.nba.com/stats/events?CFID=&amp;CFPARAMS=&amp;GameEventID=296&amp;GameID=0021401181&amp;Season=2014-15&amp;flag=1&amp;title=Leonard%2022'%20Jump%20Shot%20(8%20PTS)", "Leonard 22' Jump Shot (8 PTS)")</f>
        <v>Leonard 22' Jump Shot (8 PTS)</v>
      </c>
      <c r="L3327" s="2" t="str">
        <f>HYPERLINK("https://www.nba.com/game/...-vs-...-0021401181/play-by-play?watchFullGame=true", "SAS vs HOU - Q3 08:15.00")</f>
        <v>SAS vs HOU - Q3 08:15.00</v>
      </c>
      <c r="M3327">
        <v>22</v>
      </c>
      <c r="N3327">
        <v>151</v>
      </c>
      <c r="O3327">
        <v>160</v>
      </c>
      <c r="P3327">
        <v>151</v>
      </c>
      <c r="Q3327">
        <v>160</v>
      </c>
      <c r="R3327" t="s">
        <v>21</v>
      </c>
      <c r="S3327" t="s">
        <v>21</v>
      </c>
    </row>
    <row r="3328" spans="1:19" hidden="1" x14ac:dyDescent="0.25">
      <c r="A3328">
        <v>41800406</v>
      </c>
      <c r="B3328" t="s">
        <v>18</v>
      </c>
      <c r="C3328" t="s">
        <v>36</v>
      </c>
      <c r="D3328">
        <v>33</v>
      </c>
      <c r="E3328">
        <v>30</v>
      </c>
      <c r="F3328">
        <v>3</v>
      </c>
      <c r="G3328">
        <v>1</v>
      </c>
      <c r="H3328" s="1">
        <v>3.7037037037037035E-4</v>
      </c>
      <c r="I3328" t="s">
        <v>60</v>
      </c>
      <c r="J3328" t="s">
        <v>48</v>
      </c>
      <c r="K3328" s="2" t="str">
        <f>HYPERLINK("https://www.nba.com/stats/events?CFID=&amp;CFPARAMS=&amp;GameEventID=151&amp;GameID=0041800406&amp;Season=2018-19&amp;flag=1&amp;title=Leonard%2016'%20Pullup%20Jump%20Shot%20(4%20PTS)", "Leonard 16' Pullup Jump Shot (4 PTS)")</f>
        <v>Leonard 16' Pullup Jump Shot (4 PTS)</v>
      </c>
      <c r="L3328" s="2" t="str">
        <f>HYPERLINK("https://www.nba.com/game/...-vs-...-0041800406/play-by-play?watchFullGame=true", "TOR vs GSW - Q1 00:32.00")</f>
        <v>TOR vs GSW - Q1 00:32.00</v>
      </c>
      <c r="M3328">
        <v>16</v>
      </c>
      <c r="N3328">
        <v>2</v>
      </c>
      <c r="O3328">
        <v>162</v>
      </c>
      <c r="P3328">
        <v>2</v>
      </c>
      <c r="Q3328">
        <v>162</v>
      </c>
      <c r="R3328" t="s">
        <v>21</v>
      </c>
      <c r="S3328" t="s">
        <v>21</v>
      </c>
    </row>
    <row r="3329" spans="1:19" hidden="1" x14ac:dyDescent="0.25">
      <c r="A3329">
        <v>41300145</v>
      </c>
      <c r="B3329" t="s">
        <v>18</v>
      </c>
      <c r="C3329" t="s">
        <v>36</v>
      </c>
      <c r="D3329">
        <v>6</v>
      </c>
      <c r="E3329">
        <v>4</v>
      </c>
      <c r="F3329">
        <v>2</v>
      </c>
      <c r="G3329">
        <v>1</v>
      </c>
      <c r="H3329" s="1">
        <v>6.8865740740740745E-3</v>
      </c>
      <c r="I3329" t="s">
        <v>55</v>
      </c>
      <c r="J3329" t="s">
        <v>20</v>
      </c>
      <c r="K3329" s="2" t="str">
        <f>HYPERLINK("https://www.nba.com/stats/events?CFID=&amp;CFPARAMS=&amp;GameEventID=10&amp;GameID=0041300145&amp;Season=2013-14&amp;flag=1&amp;title=Leonard%2016'%20Pullup%20Jump%20Shot%20(4%20PTS)", "Leonard 16' Pullup Jump Shot (4 PTS)")</f>
        <v>Leonard 16' Pullup Jump Shot (4 PTS)</v>
      </c>
      <c r="L3329" s="2" t="str">
        <f>HYPERLINK("https://www.nba.com/game/...-vs-...-0041300145/play-by-play?watchFullGame=true", "SAS vs DAL - Q1 09:55.00")</f>
        <v>SAS vs DAL - Q1 09:55.00</v>
      </c>
      <c r="M3329">
        <v>16</v>
      </c>
      <c r="N3329">
        <v>24</v>
      </c>
      <c r="O3329">
        <v>162</v>
      </c>
      <c r="P3329">
        <v>24</v>
      </c>
      <c r="Q3329">
        <v>162</v>
      </c>
      <c r="R3329" t="s">
        <v>21</v>
      </c>
      <c r="S3329" t="s">
        <v>21</v>
      </c>
    </row>
    <row r="3330" spans="1:19" hidden="1" x14ac:dyDescent="0.25">
      <c r="A3330">
        <v>21400921</v>
      </c>
      <c r="B3330" t="s">
        <v>18</v>
      </c>
      <c r="C3330" t="s">
        <v>36</v>
      </c>
      <c r="D3330">
        <v>48</v>
      </c>
      <c r="E3330">
        <v>44</v>
      </c>
      <c r="F3330">
        <v>4</v>
      </c>
      <c r="G3330">
        <v>2</v>
      </c>
      <c r="H3330" s="1">
        <v>3.425925925925926E-3</v>
      </c>
      <c r="I3330">
        <v>2014</v>
      </c>
      <c r="J3330" t="s">
        <v>20</v>
      </c>
      <c r="K3330" s="2" t="str">
        <f>HYPERLINK("https://www.nba.com/stats/events?CFID=&amp;CFPARAMS=&amp;GameEventID=195&amp;GameID=0021400921&amp;Season=2014-15&amp;flag=1&amp;title=Leonard%2018'%20Pullup%20Jump%20Shot%20(11%20PTS)", "Leonard 18' Pullup Jump Shot (11 PTS)")</f>
        <v>Leonard 18' Pullup Jump Shot (11 PTS)</v>
      </c>
      <c r="L3330" s="2" t="str">
        <f>HYPERLINK("https://www.nba.com/game/...-vs-...-0021400921/play-by-play?watchFullGame=true", "SAS vs DEN - Q2 04:56.00")</f>
        <v>SAS vs DEN - Q2 04:56.00</v>
      </c>
      <c r="M3330">
        <v>18</v>
      </c>
      <c r="N3330">
        <v>88</v>
      </c>
      <c r="O3330">
        <v>162</v>
      </c>
      <c r="P3330">
        <v>88</v>
      </c>
      <c r="Q3330">
        <v>162</v>
      </c>
      <c r="R3330" t="s">
        <v>21</v>
      </c>
      <c r="S3330" t="s">
        <v>21</v>
      </c>
    </row>
    <row r="3331" spans="1:19" hidden="1" x14ac:dyDescent="0.25">
      <c r="A3331">
        <v>21800549</v>
      </c>
      <c r="B3331" t="s">
        <v>18</v>
      </c>
      <c r="C3331" t="s">
        <v>36</v>
      </c>
      <c r="D3331">
        <v>24</v>
      </c>
      <c r="E3331">
        <v>17</v>
      </c>
      <c r="F3331">
        <v>7</v>
      </c>
      <c r="G3331">
        <v>1</v>
      </c>
      <c r="H3331" s="1">
        <v>1.7476851851851852E-3</v>
      </c>
      <c r="I3331">
        <v>2018</v>
      </c>
      <c r="J3331" t="s">
        <v>48</v>
      </c>
      <c r="K3331" s="2" t="str">
        <f>HYPERLINK("https://www.nba.com/stats/events?CFID=&amp;CFPARAMS=&amp;GameEventID=120&amp;GameID=0021800549&amp;Season=2018-19&amp;flag=1&amp;title=Leonard%2019'%20Pullup%20Jump%20Shot%20(8%20PTS)", "Leonard 19' Pullup Jump Shot (8 PTS)")</f>
        <v>Leonard 19' Pullup Jump Shot (8 PTS)</v>
      </c>
      <c r="L3331" s="2" t="str">
        <f>HYPERLINK("https://www.nba.com/game/...-vs-...-0021800549/play-by-play?watchFullGame=true", "TOR vs UTA - Q1 02:31.00")</f>
        <v>TOR vs UTA - Q1 02:31.00</v>
      </c>
      <c r="M3331">
        <v>19</v>
      </c>
      <c r="N3331">
        <v>96</v>
      </c>
      <c r="O3331">
        <v>162</v>
      </c>
      <c r="P3331">
        <v>96</v>
      </c>
      <c r="Q3331">
        <v>162</v>
      </c>
      <c r="R3331" t="s">
        <v>21</v>
      </c>
      <c r="S3331" t="s">
        <v>21</v>
      </c>
    </row>
    <row r="3332" spans="1:19" hidden="1" x14ac:dyDescent="0.25">
      <c r="A3332">
        <v>21500040</v>
      </c>
      <c r="B3332" t="s">
        <v>18</v>
      </c>
      <c r="C3332" t="s">
        <v>19</v>
      </c>
      <c r="D3332">
        <v>88</v>
      </c>
      <c r="E3332">
        <v>82</v>
      </c>
      <c r="F3332">
        <v>6</v>
      </c>
      <c r="G3332">
        <v>4</v>
      </c>
      <c r="H3332" s="1">
        <v>1.6203703703703703E-3</v>
      </c>
      <c r="I3332">
        <v>2015</v>
      </c>
      <c r="J3332" t="s">
        <v>20</v>
      </c>
      <c r="K3332" s="2" t="str">
        <f>HYPERLINK("https://www.nba.com/stats/events?CFID=&amp;CFPARAMS=&amp;GameEventID=544&amp;GameID=0021500040&amp;Season=2015-16&amp;flag=1&amp;title=Leonard%2019'%20Jump%20Shot%20(17%20PTS)%20(Duncan%205%20AST)", "Leonard 19' Jump Shot (17 PTS) (Duncan 5 AST)")</f>
        <v>Leonard 19' Jump Shot (17 PTS) (Duncan 5 AST)</v>
      </c>
      <c r="L3332" s="2" t="str">
        <f>HYPERLINK("https://www.nba.com/game/...-vs-...-0021500040/play-by-play?watchFullGame=true", "SAS vs BOS - Q4 02:20.00")</f>
        <v>SAS vs BOS - Q4 02:20.00</v>
      </c>
      <c r="M3332">
        <v>19</v>
      </c>
      <c r="N3332">
        <v>-94</v>
      </c>
      <c r="O3332">
        <v>164</v>
      </c>
      <c r="P3332">
        <v>-94</v>
      </c>
      <c r="Q3332">
        <v>164</v>
      </c>
      <c r="R3332" t="s">
        <v>21</v>
      </c>
      <c r="S3332" t="s">
        <v>21</v>
      </c>
    </row>
    <row r="3333" spans="1:19" hidden="1" x14ac:dyDescent="0.25">
      <c r="A3333">
        <v>21800842</v>
      </c>
      <c r="B3333" t="s">
        <v>18</v>
      </c>
      <c r="C3333" t="s">
        <v>36</v>
      </c>
      <c r="D3333">
        <v>41</v>
      </c>
      <c r="E3333">
        <v>44</v>
      </c>
      <c r="F3333">
        <v>3</v>
      </c>
      <c r="G3333">
        <v>2</v>
      </c>
      <c r="H3333" s="1">
        <v>3.0555555555555557E-3</v>
      </c>
      <c r="I3333">
        <v>2018</v>
      </c>
      <c r="J3333" t="s">
        <v>48</v>
      </c>
      <c r="K3333" s="2" t="str">
        <f>HYPERLINK("https://www.nba.com/stats/events?CFID=&amp;CFPARAMS=&amp;GameEventID=246&amp;GameID=0021800842&amp;Season=2018-19&amp;flag=1&amp;title=Leonard%2018'%20Pullup%20Jump%20Shot%20(8%20PTS)", "Leonard 18' Pullup Jump Shot (8 PTS)")</f>
        <v>Leonard 18' Pullup Jump Shot (8 PTS)</v>
      </c>
      <c r="L3333" s="2" t="str">
        <f>HYPERLINK("https://www.nba.com/game/...-vs-...-0021800842/play-by-play?watchFullGame=true", "TOR vs BKN - Q2 04:24.00")</f>
        <v>TOR vs BKN - Q2 04:24.00</v>
      </c>
      <c r="M3333">
        <v>18</v>
      </c>
      <c r="N3333">
        <v>-69</v>
      </c>
      <c r="O3333">
        <v>164</v>
      </c>
      <c r="P3333">
        <v>-69</v>
      </c>
      <c r="Q3333">
        <v>164</v>
      </c>
      <c r="R3333" t="s">
        <v>21</v>
      </c>
      <c r="S3333" t="s">
        <v>21</v>
      </c>
    </row>
    <row r="3334" spans="1:19" hidden="1" x14ac:dyDescent="0.25">
      <c r="A3334">
        <v>21600206</v>
      </c>
      <c r="B3334" t="s">
        <v>18</v>
      </c>
      <c r="C3334" t="s">
        <v>19</v>
      </c>
      <c r="D3334">
        <v>19</v>
      </c>
      <c r="E3334">
        <v>20</v>
      </c>
      <c r="F3334">
        <v>1</v>
      </c>
      <c r="G3334">
        <v>1</v>
      </c>
      <c r="H3334" s="1">
        <v>2.2800925925925927E-3</v>
      </c>
      <c r="I3334">
        <v>2016</v>
      </c>
      <c r="J3334" t="s">
        <v>20</v>
      </c>
      <c r="K3334" s="2" t="str">
        <f>HYPERLINK("https://www.nba.com/stats/events?CFID=&amp;CFPARAMS=&amp;GameEventID=66&amp;GameID=0021600206&amp;Season=2016-17&amp;flag=1&amp;title=Leonard%2017'%20Jump%20Shot%20(9%20PTS)", "Leonard 17' Jump Shot (9 PTS)")</f>
        <v>Leonard 17' Jump Shot (9 PTS)</v>
      </c>
      <c r="L3334" s="2" t="str">
        <f>HYPERLINK("https://www.nba.com/game/...-vs-...-0021600206/play-by-play?watchFullGame=true", "SAS vs DAL - Q1 03:17.00")</f>
        <v>SAS vs DAL - Q1 03:17.00</v>
      </c>
      <c r="M3334">
        <v>17</v>
      </c>
      <c r="N3334">
        <v>-24</v>
      </c>
      <c r="O3334">
        <v>164</v>
      </c>
      <c r="P3334">
        <v>-24</v>
      </c>
      <c r="Q3334">
        <v>164</v>
      </c>
      <c r="R3334" t="s">
        <v>21</v>
      </c>
      <c r="S3334" t="s">
        <v>21</v>
      </c>
    </row>
    <row r="3335" spans="1:19" hidden="1" x14ac:dyDescent="0.25">
      <c r="A3335">
        <v>41800302</v>
      </c>
      <c r="B3335" t="s">
        <v>18</v>
      </c>
      <c r="C3335" t="s">
        <v>42</v>
      </c>
      <c r="D3335">
        <v>62</v>
      </c>
      <c r="E3335">
        <v>78</v>
      </c>
      <c r="F3335">
        <v>16</v>
      </c>
      <c r="G3335">
        <v>3</v>
      </c>
      <c r="H3335" s="1">
        <v>3.2638888888888891E-3</v>
      </c>
      <c r="I3335" t="s">
        <v>60</v>
      </c>
      <c r="J3335" t="s">
        <v>48</v>
      </c>
      <c r="K3335" s="2" t="str">
        <f>HYPERLINK("https://www.nba.com/stats/events?CFID=&amp;CFPARAMS=&amp;GameEventID=452&amp;GameID=0041800302&amp;Season=2018-19&amp;flag=1&amp;title=Leonard%2017'%20Driving%20Floating%20Jump%20Shot%20(23%20PTS)%20(Lowry%202%20AST)", "Leonard 17' Driving Floating Jump Shot (23 PTS) (Lowry 2 AST)")</f>
        <v>Leonard 17' Driving Floating Jump Shot (23 PTS) (Lowry 2 AST)</v>
      </c>
      <c r="L3335" s="2" t="str">
        <f>HYPERLINK("https://www.nba.com/game/...-vs-...-0041800302/play-by-play?watchFullGame=true", "TOR vs MIL - Q3 04:42.00")</f>
        <v>TOR vs MIL - Q3 04:42.00</v>
      </c>
      <c r="M3335">
        <v>17</v>
      </c>
      <c r="N3335">
        <v>-20</v>
      </c>
      <c r="O3335">
        <v>164</v>
      </c>
      <c r="P3335">
        <v>-20</v>
      </c>
      <c r="Q3335">
        <v>164</v>
      </c>
      <c r="R3335" t="s">
        <v>21</v>
      </c>
      <c r="S3335" t="s">
        <v>21</v>
      </c>
    </row>
    <row r="3336" spans="1:19" hidden="1" x14ac:dyDescent="0.25">
      <c r="A3336">
        <v>21600834</v>
      </c>
      <c r="B3336" t="s">
        <v>18</v>
      </c>
      <c r="C3336" t="s">
        <v>36</v>
      </c>
      <c r="D3336">
        <v>36</v>
      </c>
      <c r="E3336">
        <v>23</v>
      </c>
      <c r="F3336">
        <v>13</v>
      </c>
      <c r="G3336">
        <v>2</v>
      </c>
      <c r="H3336" s="1">
        <v>5.4629629629629629E-3</v>
      </c>
      <c r="I3336">
        <v>2016</v>
      </c>
      <c r="J3336" t="s">
        <v>20</v>
      </c>
      <c r="K3336" s="2" t="str">
        <f>HYPERLINK("https://www.nba.com/stats/events?CFID=&amp;CFPARAMS=&amp;GameEventID=169&amp;GameID=0021600834&amp;Season=2016-17&amp;flag=1&amp;title=Leonard%2016'%20Pullup%20Jump%20Shot%20(8%20PTS)", "Leonard 16' Pullup Jump Shot (8 PTS)")</f>
        <v>Leonard 16' Pullup Jump Shot (8 PTS)</v>
      </c>
      <c r="L3336" s="2" t="str">
        <f>HYPERLINK("https://www.nba.com/game/...-vs-...-0021600834/play-by-play?watchFullGame=true", "SAS vs ORL - Q2 07:52.00")</f>
        <v>SAS vs ORL - Q2 07:52.00</v>
      </c>
      <c r="M3336">
        <v>16</v>
      </c>
      <c r="N3336">
        <v>-4</v>
      </c>
      <c r="O3336">
        <v>164</v>
      </c>
      <c r="P3336">
        <v>-4</v>
      </c>
      <c r="Q3336">
        <v>164</v>
      </c>
      <c r="R3336" t="s">
        <v>21</v>
      </c>
      <c r="S3336" t="s">
        <v>21</v>
      </c>
    </row>
    <row r="3337" spans="1:19" hidden="1" x14ac:dyDescent="0.25">
      <c r="A3337">
        <v>21600801</v>
      </c>
      <c r="B3337" t="s">
        <v>18</v>
      </c>
      <c r="C3337" t="s">
        <v>19</v>
      </c>
      <c r="D3337">
        <v>103</v>
      </c>
      <c r="E3337">
        <v>91</v>
      </c>
      <c r="F3337">
        <v>12</v>
      </c>
      <c r="G3337">
        <v>4</v>
      </c>
      <c r="H3337" s="1">
        <v>6.5856481481481484E-4</v>
      </c>
      <c r="I3337">
        <v>2016</v>
      </c>
      <c r="J3337" t="s">
        <v>20</v>
      </c>
      <c r="K3337" s="2" t="str">
        <f>HYPERLINK("https://www.nba.com/stats/events?CFID=&amp;CFPARAMS=&amp;GameEventID=462&amp;GameID=0021600801&amp;Season=2016-17&amp;flag=1&amp;title=Leonard%2016'%20Jump%20Shot%20(32%20PTS)", "Leonard 16' Jump Shot (32 PTS)")</f>
        <v>Leonard 16' Jump Shot (32 PTS)</v>
      </c>
      <c r="L3337" s="2" t="str">
        <f>HYPERLINK("https://www.nba.com/game/...-vs-...-0021600801/play-by-play?watchFullGame=true", "SAS vs DET - Q4 00:56.90")</f>
        <v>SAS vs DET - Q4 00:56.90</v>
      </c>
      <c r="M3337">
        <v>16</v>
      </c>
      <c r="N3337">
        <v>9</v>
      </c>
      <c r="O3337">
        <v>164</v>
      </c>
      <c r="P3337">
        <v>9</v>
      </c>
      <c r="Q3337">
        <v>164</v>
      </c>
      <c r="R3337" t="s">
        <v>21</v>
      </c>
      <c r="S3337" t="s">
        <v>21</v>
      </c>
    </row>
    <row r="3338" spans="1:19" hidden="1" x14ac:dyDescent="0.25">
      <c r="A3338">
        <v>41800217</v>
      </c>
      <c r="B3338" t="s">
        <v>18</v>
      </c>
      <c r="C3338" t="s">
        <v>36</v>
      </c>
      <c r="D3338">
        <v>48</v>
      </c>
      <c r="E3338">
        <v>41</v>
      </c>
      <c r="F3338">
        <v>7</v>
      </c>
      <c r="G3338">
        <v>3</v>
      </c>
      <c r="H3338" s="1">
        <v>6.9328703703703705E-3</v>
      </c>
      <c r="I3338" t="s">
        <v>60</v>
      </c>
      <c r="J3338" t="s">
        <v>48</v>
      </c>
      <c r="K3338" s="2" t="str">
        <f>HYPERLINK("https://www.nba.com/stats/events?CFID=&amp;CFPARAMS=&amp;GameEventID=332&amp;GameID=0041800217&amp;Season=2018-19&amp;flag=1&amp;title=Leonard%2017'%20Pullup%20Jump%20Shot%20(19%20PTS)", "Leonard 17' Pullup Jump Shot (19 PTS)")</f>
        <v>Leonard 17' Pullup Jump Shot (19 PTS)</v>
      </c>
      <c r="L3338" s="2" t="str">
        <f>HYPERLINK("https://www.nba.com/game/...-vs-...-0041800217/play-by-play?watchFullGame=true", "TOR vs PHI - Q3 09:59.00")</f>
        <v>TOR vs PHI - Q3 09:59.00</v>
      </c>
      <c r="M3338">
        <v>17</v>
      </c>
      <c r="N3338">
        <v>41</v>
      </c>
      <c r="O3338">
        <v>164</v>
      </c>
      <c r="P3338">
        <v>41</v>
      </c>
      <c r="Q3338">
        <v>164</v>
      </c>
      <c r="R3338" t="s">
        <v>21</v>
      </c>
      <c r="S3338" t="s">
        <v>21</v>
      </c>
    </row>
    <row r="3339" spans="1:19" hidden="1" x14ac:dyDescent="0.25">
      <c r="A3339">
        <v>21800248</v>
      </c>
      <c r="B3339" t="s">
        <v>18</v>
      </c>
      <c r="C3339" t="s">
        <v>19</v>
      </c>
      <c r="D3339">
        <v>40</v>
      </c>
      <c r="E3339">
        <v>22</v>
      </c>
      <c r="F3339">
        <v>18</v>
      </c>
      <c r="G3339">
        <v>2</v>
      </c>
      <c r="H3339" s="1">
        <v>4.6643518518518518E-3</v>
      </c>
      <c r="I3339">
        <v>2018</v>
      </c>
      <c r="J3339" t="s">
        <v>48</v>
      </c>
      <c r="K3339" s="2" t="str">
        <f>HYPERLINK("https://www.nba.com/stats/events?CFID=&amp;CFPARAMS=&amp;GameEventID=217&amp;GameID=0021800248&amp;Season=2018-19&amp;flag=1&amp;title=Leonard%2018'%20Jump%20Shot%20(8%20PTS)", "Leonard 18' Jump Shot (8 PTS)")</f>
        <v>Leonard 18' Jump Shot (8 PTS)</v>
      </c>
      <c r="L3339" s="2" t="str">
        <f>HYPERLINK("https://www.nba.com/game/...-vs-...-0021800248/play-by-play?watchFullGame=true", "TOR vs ORL - Q2 06:43.00")</f>
        <v>TOR vs ORL - Q2 06:43.00</v>
      </c>
      <c r="M3339">
        <v>18</v>
      </c>
      <c r="N3339">
        <v>71</v>
      </c>
      <c r="O3339">
        <v>164</v>
      </c>
      <c r="P3339">
        <v>71</v>
      </c>
      <c r="Q3339">
        <v>164</v>
      </c>
      <c r="R3339" t="s">
        <v>21</v>
      </c>
      <c r="S3339" t="s">
        <v>21</v>
      </c>
    </row>
    <row r="3340" spans="1:19" hidden="1" x14ac:dyDescent="0.25">
      <c r="A3340">
        <v>21600762</v>
      </c>
      <c r="B3340" t="s">
        <v>18</v>
      </c>
      <c r="C3340" t="s">
        <v>36</v>
      </c>
      <c r="D3340">
        <v>58</v>
      </c>
      <c r="E3340">
        <v>50</v>
      </c>
      <c r="F3340">
        <v>8</v>
      </c>
      <c r="G3340">
        <v>3</v>
      </c>
      <c r="H3340" s="1">
        <v>7.8935185185185185E-3</v>
      </c>
      <c r="I3340">
        <v>2016</v>
      </c>
      <c r="J3340" t="s">
        <v>20</v>
      </c>
      <c r="K3340" s="2" t="str">
        <f>HYPERLINK("https://www.nba.com/stats/events?CFID=&amp;CFPARAMS=&amp;GameEventID=271&amp;GameID=0021600762&amp;Season=2016-17&amp;flag=1&amp;title=Leonard%2019'%20Pullup%20Jump%20Shot%20(9%20PTS)%20(Aldridge%202%20AST)", "Leonard 19' Pullup Jump Shot (9 PTS) (Aldridge 2 AST)")</f>
        <v>Leonard 19' Pullup Jump Shot (9 PTS) (Aldridge 2 AST)</v>
      </c>
      <c r="L3340" s="2" t="str">
        <f>HYPERLINK("https://www.nba.com/game/...-vs-...-0021600762/play-by-play?watchFullGame=true", "SAS vs DEN - Q3 11:22.00")</f>
        <v>SAS vs DEN - Q3 11:22.00</v>
      </c>
      <c r="M3340">
        <v>19</v>
      </c>
      <c r="N3340">
        <v>97</v>
      </c>
      <c r="O3340">
        <v>164</v>
      </c>
      <c r="P3340">
        <v>97</v>
      </c>
      <c r="Q3340">
        <v>164</v>
      </c>
      <c r="R3340" t="s">
        <v>21</v>
      </c>
      <c r="S3340" t="s">
        <v>21</v>
      </c>
    </row>
    <row r="3341" spans="1:19" hidden="1" x14ac:dyDescent="0.25">
      <c r="A3341">
        <v>21500296</v>
      </c>
      <c r="B3341" t="s">
        <v>18</v>
      </c>
      <c r="C3341" t="s">
        <v>19</v>
      </c>
      <c r="D3341">
        <v>64</v>
      </c>
      <c r="E3341">
        <v>56</v>
      </c>
      <c r="F3341">
        <v>8</v>
      </c>
      <c r="G3341">
        <v>3</v>
      </c>
      <c r="H3341" s="1">
        <v>6.076388888888889E-3</v>
      </c>
      <c r="I3341">
        <v>2015</v>
      </c>
      <c r="J3341" t="s">
        <v>20</v>
      </c>
      <c r="K3341" s="2" t="str">
        <f>HYPERLINK("https://www.nba.com/stats/events?CFID=&amp;CFPARAMS=&amp;GameEventID=252&amp;GameID=0021500296&amp;Season=2015-16&amp;flag=1&amp;title=Leonard%2020'%20Jump%20Shot%20(8%20PTS)%20(Duncan%202%20AST)", "Leonard 20' Jump Shot (8 PTS) (Duncan 2 AST)")</f>
        <v>Leonard 20' Jump Shot (8 PTS) (Duncan 2 AST)</v>
      </c>
      <c r="L3341" s="2" t="str">
        <f>HYPERLINK("https://www.nba.com/game/...-vs-...-0021500296/play-by-play?watchFullGame=true", "SAS vs BOS - Q3 08:45.00")</f>
        <v>SAS vs BOS - Q3 08:45.00</v>
      </c>
      <c r="M3341">
        <v>20</v>
      </c>
      <c r="N3341">
        <v>117</v>
      </c>
      <c r="O3341">
        <v>164</v>
      </c>
      <c r="P3341">
        <v>117</v>
      </c>
      <c r="Q3341">
        <v>164</v>
      </c>
      <c r="R3341" t="s">
        <v>21</v>
      </c>
      <c r="S3341" t="s">
        <v>21</v>
      </c>
    </row>
    <row r="3342" spans="1:19" hidden="1" x14ac:dyDescent="0.25">
      <c r="A3342">
        <v>21600657</v>
      </c>
      <c r="B3342" t="s">
        <v>18</v>
      </c>
      <c r="C3342" t="s">
        <v>19</v>
      </c>
      <c r="D3342">
        <v>53</v>
      </c>
      <c r="E3342">
        <v>47</v>
      </c>
      <c r="F3342">
        <v>6</v>
      </c>
      <c r="G3342">
        <v>2</v>
      </c>
      <c r="H3342" s="1">
        <v>2.7662037037037039E-3</v>
      </c>
      <c r="I3342">
        <v>2016</v>
      </c>
      <c r="J3342" t="s">
        <v>20</v>
      </c>
      <c r="K3342" s="2" t="str">
        <f>HYPERLINK("https://www.nba.com/stats/events?CFID=&amp;CFPARAMS=&amp;GameEventID=208&amp;GameID=0021600657&amp;Season=2016-17&amp;flag=1&amp;title=Leonard%2021'%20Jump%20Shot%20(14%20PTS)", "Leonard 21' Jump Shot (14 PTS)")</f>
        <v>Leonard 21' Jump Shot (14 PTS)</v>
      </c>
      <c r="L3342" s="2" t="str">
        <f>HYPERLINK("https://www.nba.com/game/...-vs-...-0021600657/play-by-play?watchFullGame=true", "SAS vs CLE - Q2 03:59.00")</f>
        <v>SAS vs CLE - Q2 03:59.00</v>
      </c>
      <c r="M3342">
        <v>21</v>
      </c>
      <c r="N3342">
        <v>123</v>
      </c>
      <c r="O3342">
        <v>164</v>
      </c>
      <c r="P3342">
        <v>123</v>
      </c>
      <c r="Q3342">
        <v>164</v>
      </c>
      <c r="R3342" t="s">
        <v>21</v>
      </c>
      <c r="S3342" t="s">
        <v>21</v>
      </c>
    </row>
    <row r="3343" spans="1:19" hidden="1" x14ac:dyDescent="0.25">
      <c r="A3343">
        <v>21601118</v>
      </c>
      <c r="B3343" t="s">
        <v>18</v>
      </c>
      <c r="C3343" t="s">
        <v>36</v>
      </c>
      <c r="D3343">
        <v>69</v>
      </c>
      <c r="E3343">
        <v>72</v>
      </c>
      <c r="F3343">
        <v>3</v>
      </c>
      <c r="G3343">
        <v>3</v>
      </c>
      <c r="H3343" s="1">
        <v>3.0092592592592593E-3</v>
      </c>
      <c r="I3343">
        <v>2016</v>
      </c>
      <c r="J3343" t="s">
        <v>20</v>
      </c>
      <c r="K3343" s="2" t="str">
        <f>HYPERLINK("https://www.nba.com/stats/events?CFID=&amp;CFPARAMS=&amp;GameEventID=353&amp;GameID=0021601118&amp;Season=2016-17&amp;flag=1&amp;title=Leonard%2021'%20Pullup%20Jump%20Shot%20(16%20PTS)", "Leonard 21' Pullup Jump Shot (16 PTS)")</f>
        <v>Leonard 21' Pullup Jump Shot (16 PTS)</v>
      </c>
      <c r="L3343" s="2" t="str">
        <f>HYPERLINK("https://www.nba.com/game/...-vs-...-0021601118/play-by-play?watchFullGame=true", "SAS vs GSW - Q3 04:20.00")</f>
        <v>SAS vs GSW - Q3 04:20.00</v>
      </c>
      <c r="M3343">
        <v>21</v>
      </c>
      <c r="N3343">
        <v>132</v>
      </c>
      <c r="O3343">
        <v>164</v>
      </c>
      <c r="P3343">
        <v>132</v>
      </c>
      <c r="Q3343">
        <v>164</v>
      </c>
      <c r="R3343" t="s">
        <v>21</v>
      </c>
      <c r="S3343" t="s">
        <v>21</v>
      </c>
    </row>
    <row r="3344" spans="1:19" hidden="1" x14ac:dyDescent="0.25">
      <c r="A3344">
        <v>21600657</v>
      </c>
      <c r="B3344" t="s">
        <v>18</v>
      </c>
      <c r="C3344" t="s">
        <v>19</v>
      </c>
      <c r="D3344">
        <v>63</v>
      </c>
      <c r="E3344">
        <v>61</v>
      </c>
      <c r="F3344">
        <v>2</v>
      </c>
      <c r="G3344">
        <v>3</v>
      </c>
      <c r="H3344" s="1">
        <v>7.4189814814814813E-3</v>
      </c>
      <c r="I3344">
        <v>2016</v>
      </c>
      <c r="J3344" t="s">
        <v>20</v>
      </c>
      <c r="K3344" s="2" t="str">
        <f>HYPERLINK("https://www.nba.com/stats/events?CFID=&amp;CFPARAMS=&amp;GameEventID=255&amp;GameID=0021600657&amp;Season=2016-17&amp;flag=1&amp;title=Leonard%2021'%20Jump%20Shot%20(18%20PTS)", "Leonard 21' Jump Shot (18 PTS)")</f>
        <v>Leonard 21' Jump Shot (18 PTS)</v>
      </c>
      <c r="L3344" s="2" t="str">
        <f>HYPERLINK("https://www.nba.com/game/...-vs-...-0021600657/play-by-play?watchFullGame=true", "SAS vs CLE - Q3 10:41.00")</f>
        <v>SAS vs CLE - Q3 10:41.00</v>
      </c>
      <c r="M3344">
        <v>21</v>
      </c>
      <c r="N3344">
        <v>135</v>
      </c>
      <c r="O3344">
        <v>164</v>
      </c>
      <c r="P3344">
        <v>135</v>
      </c>
      <c r="Q3344">
        <v>164</v>
      </c>
      <c r="R3344" t="s">
        <v>21</v>
      </c>
      <c r="S3344" t="s">
        <v>21</v>
      </c>
    </row>
    <row r="3345" spans="1:19" hidden="1" x14ac:dyDescent="0.25">
      <c r="A3345">
        <v>21600077</v>
      </c>
      <c r="B3345" t="s">
        <v>18</v>
      </c>
      <c r="C3345" t="s">
        <v>36</v>
      </c>
      <c r="D3345">
        <v>88</v>
      </c>
      <c r="E3345">
        <v>69</v>
      </c>
      <c r="F3345">
        <v>19</v>
      </c>
      <c r="G3345">
        <v>4</v>
      </c>
      <c r="H3345" s="1">
        <v>6.7245370370370367E-3</v>
      </c>
      <c r="I3345">
        <v>2016</v>
      </c>
      <c r="J3345" t="s">
        <v>20</v>
      </c>
      <c r="K3345" s="2" t="str">
        <f>HYPERLINK("https://www.nba.com/stats/events?CFID=&amp;CFPARAMS=&amp;GameEventID=410&amp;GameID=0021600077&amp;Season=2016-17&amp;flag=1&amp;title=Leonard%2022'%20Pullup%20Jump%20Shot%20(27%20PTS)%20(Lee%202%20AST)", "Leonard 22' Pullup Jump Shot (27 PTS) (Lee 2 AST)")</f>
        <v>Leonard 22' Pullup Jump Shot (27 PTS) (Lee 2 AST)</v>
      </c>
      <c r="L3345" s="2" t="str">
        <f>HYPERLINK("https://www.nba.com/game/...-vs-...-0021600077/play-by-play?watchFullGame=true", "SAS vs UTA - Q4 09:41.00")</f>
        <v>SAS vs UTA - Q4 09:41.00</v>
      </c>
      <c r="M3345">
        <v>22</v>
      </c>
      <c r="N3345">
        <v>153</v>
      </c>
      <c r="O3345">
        <v>164</v>
      </c>
      <c r="P3345">
        <v>153</v>
      </c>
      <c r="Q3345">
        <v>164</v>
      </c>
      <c r="R3345" t="s">
        <v>21</v>
      </c>
      <c r="S3345" t="s">
        <v>21</v>
      </c>
    </row>
    <row r="3346" spans="1:19" hidden="1" x14ac:dyDescent="0.25">
      <c r="A3346">
        <v>41600232</v>
      </c>
      <c r="B3346" t="s">
        <v>18</v>
      </c>
      <c r="C3346" t="s">
        <v>36</v>
      </c>
      <c r="D3346">
        <v>67</v>
      </c>
      <c r="E3346">
        <v>55</v>
      </c>
      <c r="F3346">
        <v>12</v>
      </c>
      <c r="G3346">
        <v>3</v>
      </c>
      <c r="H3346" s="1">
        <v>7.8472222222222224E-3</v>
      </c>
      <c r="I3346" t="s">
        <v>58</v>
      </c>
      <c r="J3346" t="s">
        <v>20</v>
      </c>
      <c r="K3346" s="2" t="str">
        <f>HYPERLINK("https://www.nba.com/stats/events?CFID=&amp;CFPARAMS=&amp;GameEventID=222&amp;GameID=0041600232&amp;Season=2016-17&amp;flag=1&amp;title=Leonard%2021'%20Pullup%20Jump%20Shot%20(22%20PTS)", "Leonard 21' Pullup Jump Shot (22 PTS)")</f>
        <v>Leonard 21' Pullup Jump Shot (22 PTS)</v>
      </c>
      <c r="L3346" s="2" t="str">
        <f>HYPERLINK("https://www.nba.com/game/...-vs-...-0041600232/play-by-play?watchFullGame=true", "SAS vs HOU - Q3 11:18.00")</f>
        <v>SAS vs HOU - Q3 11:18.00</v>
      </c>
      <c r="M3346">
        <v>21</v>
      </c>
      <c r="N3346">
        <v>-137</v>
      </c>
      <c r="O3346">
        <v>165</v>
      </c>
      <c r="P3346">
        <v>-137</v>
      </c>
      <c r="Q3346">
        <v>165</v>
      </c>
      <c r="R3346" t="s">
        <v>21</v>
      </c>
      <c r="S3346" t="s">
        <v>21</v>
      </c>
    </row>
    <row r="3347" spans="1:19" hidden="1" x14ac:dyDescent="0.25">
      <c r="A3347">
        <v>21600206</v>
      </c>
      <c r="B3347" t="s">
        <v>18</v>
      </c>
      <c r="C3347" t="s">
        <v>36</v>
      </c>
      <c r="D3347">
        <v>6</v>
      </c>
      <c r="E3347">
        <v>9</v>
      </c>
      <c r="F3347">
        <v>3</v>
      </c>
      <c r="G3347">
        <v>1</v>
      </c>
      <c r="H3347" s="1">
        <v>4.8495370370370368E-3</v>
      </c>
      <c r="I3347">
        <v>2016</v>
      </c>
      <c r="J3347" t="s">
        <v>20</v>
      </c>
      <c r="K3347" s="2" t="str">
        <f>HYPERLINK("https://www.nba.com/stats/events?CFID=&amp;CFPARAMS=&amp;GameEventID=29&amp;GameID=0021600206&amp;Season=2016-17&amp;flag=1&amp;title=Leonard%2017'%20Pullup%20Jump%20Shot%20(2%20PTS)", "Leonard 17' Pullup Jump Shot (2 PTS)")</f>
        <v>Leonard 17' Pullup Jump Shot (2 PTS)</v>
      </c>
      <c r="L3347" s="2" t="str">
        <f>HYPERLINK("https://www.nba.com/game/...-vs-...-0021600206/play-by-play?watchFullGame=true", "SAS vs DAL - Q1 06:59.00")</f>
        <v>SAS vs DAL - Q1 06:59.00</v>
      </c>
      <c r="M3347">
        <v>17</v>
      </c>
      <c r="N3347">
        <v>6</v>
      </c>
      <c r="O3347">
        <v>165</v>
      </c>
      <c r="P3347">
        <v>6</v>
      </c>
      <c r="Q3347">
        <v>165</v>
      </c>
      <c r="R3347" t="s">
        <v>21</v>
      </c>
      <c r="S3347" t="s">
        <v>21</v>
      </c>
    </row>
    <row r="3348" spans="1:19" hidden="1" x14ac:dyDescent="0.25">
      <c r="A3348">
        <v>21600309</v>
      </c>
      <c r="B3348" t="s">
        <v>18</v>
      </c>
      <c r="C3348" t="s">
        <v>19</v>
      </c>
      <c r="D3348">
        <v>80</v>
      </c>
      <c r="E3348">
        <v>78</v>
      </c>
      <c r="F3348">
        <v>2</v>
      </c>
      <c r="G3348">
        <v>4</v>
      </c>
      <c r="H3348" s="1">
        <v>5.4629629629629629E-3</v>
      </c>
      <c r="I3348">
        <v>2016</v>
      </c>
      <c r="J3348" t="s">
        <v>20</v>
      </c>
      <c r="K3348" s="2" t="str">
        <f>HYPERLINK("https://www.nba.com/stats/events?CFID=&amp;CFPARAMS=&amp;GameEventID=485&amp;GameID=0021600309&amp;Season=2016-17&amp;flag=1&amp;title=Leonard%2017'%20Jump%20Shot%20(9%20PTS)%20(Aldridge%204%20AST)", "Leonard 17' Jump Shot (9 PTS) (Aldridge 4 AST)")</f>
        <v>Leonard 17' Jump Shot (9 PTS) (Aldridge 4 AST)</v>
      </c>
      <c r="L3348" s="2" t="str">
        <f>HYPERLINK("https://www.nba.com/game/...-vs-...-0021600309/play-by-play?watchFullGame=true", "SAS vs MIL - Q4 07:52.00")</f>
        <v>SAS vs MIL - Q4 07:52.00</v>
      </c>
      <c r="M3348">
        <v>17</v>
      </c>
      <c r="N3348">
        <v>25</v>
      </c>
      <c r="O3348">
        <v>165</v>
      </c>
      <c r="P3348">
        <v>25</v>
      </c>
      <c r="Q3348">
        <v>165</v>
      </c>
      <c r="R3348" t="s">
        <v>21</v>
      </c>
      <c r="S3348" t="s">
        <v>21</v>
      </c>
    </row>
    <row r="3349" spans="1:19" hidden="1" x14ac:dyDescent="0.25">
      <c r="A3349">
        <v>21600336</v>
      </c>
      <c r="B3349" t="s">
        <v>18</v>
      </c>
      <c r="C3349" t="s">
        <v>36</v>
      </c>
      <c r="D3349">
        <v>26</v>
      </c>
      <c r="E3349">
        <v>34</v>
      </c>
      <c r="F3349">
        <v>8</v>
      </c>
      <c r="G3349">
        <v>2</v>
      </c>
      <c r="H3349" s="1">
        <v>3.7384259259259259E-3</v>
      </c>
      <c r="I3349">
        <v>2016</v>
      </c>
      <c r="J3349" t="s">
        <v>20</v>
      </c>
      <c r="K3349" s="2" t="str">
        <f>HYPERLINK("https://www.nba.com/stats/events?CFID=&amp;CFPARAMS=&amp;GameEventID=193&amp;GameID=0021600336&amp;Season=2016-17&amp;flag=1&amp;title=Leonard%2017'%20Pullup%20Jump%20Shot%20(7%20PTS)", "Leonard 17' Pullup Jump Shot (7 PTS)")</f>
        <v>Leonard 17' Pullup Jump Shot (7 PTS)</v>
      </c>
      <c r="L3349" s="2" t="str">
        <f>HYPERLINK("https://www.nba.com/game/...-vs-...-0021600336/play-by-play?watchFullGame=true", "SAS vs CHI - Q2 05:23.00")</f>
        <v>SAS vs CHI - Q2 05:23.00</v>
      </c>
      <c r="M3349">
        <v>17</v>
      </c>
      <c r="N3349">
        <v>42</v>
      </c>
      <c r="O3349">
        <v>165</v>
      </c>
      <c r="P3349">
        <v>42</v>
      </c>
      <c r="Q3349">
        <v>165</v>
      </c>
      <c r="R3349" t="s">
        <v>21</v>
      </c>
      <c r="S3349" t="s">
        <v>21</v>
      </c>
    </row>
    <row r="3350" spans="1:19" hidden="1" x14ac:dyDescent="0.25">
      <c r="A3350">
        <v>21600425</v>
      </c>
      <c r="B3350" t="s">
        <v>18</v>
      </c>
      <c r="C3350" t="s">
        <v>36</v>
      </c>
      <c r="D3350">
        <v>67</v>
      </c>
      <c r="E3350">
        <v>61</v>
      </c>
      <c r="F3350">
        <v>6</v>
      </c>
      <c r="G3350">
        <v>3</v>
      </c>
      <c r="H3350" s="1">
        <v>3.3564814814814816E-3</v>
      </c>
      <c r="I3350">
        <v>2016</v>
      </c>
      <c r="J3350" t="s">
        <v>20</v>
      </c>
      <c r="K3350" s="2" t="str">
        <f>HYPERLINK("https://www.nba.com/stats/events?CFID=&amp;CFPARAMS=&amp;GameEventID=332&amp;GameID=0021600425&amp;Season=2016-17&amp;flag=1&amp;title=Leonard%2017'%20Pullup%20Jump%20Shot%20(17%20PTS)%20(Aldridge%204%20AST)", "Leonard 17' Pullup Jump Shot (17 PTS) (Aldridge 4 AST)")</f>
        <v>Leonard 17' Pullup Jump Shot (17 PTS) (Aldridge 4 AST)</v>
      </c>
      <c r="L3350" s="2" t="str">
        <f>HYPERLINK("https://www.nba.com/game/...-vs-...-0021600425/play-by-play?watchFullGame=true", "SAS vs HOU - Q3 04:50.00")</f>
        <v>SAS vs HOU - Q3 04:50.00</v>
      </c>
      <c r="M3350">
        <v>17</v>
      </c>
      <c r="N3350">
        <v>50</v>
      </c>
      <c r="O3350">
        <v>165</v>
      </c>
      <c r="P3350">
        <v>50</v>
      </c>
      <c r="Q3350">
        <v>165</v>
      </c>
      <c r="R3350" t="s">
        <v>21</v>
      </c>
      <c r="S3350" t="s">
        <v>21</v>
      </c>
    </row>
    <row r="3351" spans="1:19" hidden="1" x14ac:dyDescent="0.25">
      <c r="A3351">
        <v>21400191</v>
      </c>
      <c r="B3351" t="s">
        <v>18</v>
      </c>
      <c r="C3351" t="s">
        <v>19</v>
      </c>
      <c r="D3351">
        <v>10</v>
      </c>
      <c r="E3351">
        <v>4</v>
      </c>
      <c r="F3351">
        <v>6</v>
      </c>
      <c r="G3351">
        <v>1</v>
      </c>
      <c r="H3351" s="1">
        <v>5.8217592592592592E-3</v>
      </c>
      <c r="I3351">
        <v>2014</v>
      </c>
      <c r="J3351" t="s">
        <v>20</v>
      </c>
      <c r="K3351" s="2" t="str">
        <f>HYPERLINK("https://www.nba.com/stats/events?CFID=&amp;CFPARAMS=&amp;GameEventID=22&amp;GameID=0021400191&amp;Season=2014-15&amp;flag=1&amp;title=Leonard%2019'%20Jump%20Shot%20(2%20PTS)%20(Duncan%201%20AST)", "Leonard 19' Jump Shot (2 PTS) (Duncan 1 AST)")</f>
        <v>Leonard 19' Jump Shot (2 PTS) (Duncan 1 AST)</v>
      </c>
      <c r="L3351" s="2" t="str">
        <f>HYPERLINK("https://www.nba.com/game/...-vs-...-0021400191/play-by-play?watchFullGame=true", "SAS vs BKN - Q1 08:23.00")</f>
        <v>SAS vs BKN - Q1 08:23.00</v>
      </c>
      <c r="M3351">
        <v>19</v>
      </c>
      <c r="N3351">
        <v>100</v>
      </c>
      <c r="O3351">
        <v>165</v>
      </c>
      <c r="P3351">
        <v>100</v>
      </c>
      <c r="Q3351">
        <v>165</v>
      </c>
      <c r="R3351" t="s">
        <v>21</v>
      </c>
      <c r="S3351" t="s">
        <v>21</v>
      </c>
    </row>
    <row r="3352" spans="1:19" hidden="1" x14ac:dyDescent="0.25">
      <c r="A3352">
        <v>21400739</v>
      </c>
      <c r="B3352" t="s">
        <v>18</v>
      </c>
      <c r="C3352" t="s">
        <v>39</v>
      </c>
      <c r="D3352">
        <v>5</v>
      </c>
      <c r="E3352">
        <v>3</v>
      </c>
      <c r="F3352">
        <v>2</v>
      </c>
      <c r="G3352">
        <v>1</v>
      </c>
      <c r="H3352" s="1">
        <v>7.2569444444444443E-3</v>
      </c>
      <c r="I3352">
        <v>2014</v>
      </c>
      <c r="J3352" t="s">
        <v>20</v>
      </c>
      <c r="K3352" s="2" t="str">
        <f>HYPERLINK("https://www.nba.com/stats/events?CFID=&amp;CFPARAMS=&amp;GameEventID=12&amp;GameID=0021400739&amp;Season=2014-15&amp;flag=1&amp;title=Leonard%2017'%20Step%20Back%20Jump%20Shot%20(2%20PTS)%20(Parker%201%20AST)", "Leonard 17' Step Back Jump Shot (2 PTS) (Parker 1 AST)")</f>
        <v>Leonard 17' Step Back Jump Shot (2 PTS) (Parker 1 AST)</v>
      </c>
      <c r="L3352" s="2" t="str">
        <f>HYPERLINK("https://www.nba.com/game/...-vs-...-0021400739/play-by-play?watchFullGame=true", "SAS vs ORL - Q1 10:27.00")</f>
        <v>SAS vs ORL - Q1 10:27.00</v>
      </c>
      <c r="M3352">
        <v>17</v>
      </c>
      <c r="N3352">
        <v>0</v>
      </c>
      <c r="O3352">
        <v>167</v>
      </c>
      <c r="P3352">
        <v>0</v>
      </c>
      <c r="Q3352">
        <v>167</v>
      </c>
      <c r="R3352" t="s">
        <v>21</v>
      </c>
      <c r="S3352" t="s">
        <v>21</v>
      </c>
    </row>
    <row r="3353" spans="1:19" hidden="1" x14ac:dyDescent="0.25">
      <c r="A3353">
        <v>41800216</v>
      </c>
      <c r="B3353" t="s">
        <v>18</v>
      </c>
      <c r="C3353" t="s">
        <v>36</v>
      </c>
      <c r="D3353">
        <v>27</v>
      </c>
      <c r="E3353">
        <v>42</v>
      </c>
      <c r="F3353">
        <v>15</v>
      </c>
      <c r="G3353">
        <v>2</v>
      </c>
      <c r="H3353" s="1">
        <v>5.5902777777777773E-3</v>
      </c>
      <c r="I3353" t="s">
        <v>60</v>
      </c>
      <c r="J3353" t="s">
        <v>48</v>
      </c>
      <c r="K3353" s="2" t="str">
        <f>HYPERLINK("https://www.nba.com/stats/events?CFID=&amp;CFPARAMS=&amp;GameEventID=210&amp;GameID=0041800216&amp;Season=2018-19&amp;flag=1&amp;title=Leonard%2017'%20Pullup%20Jump%20Shot%20(10%20PTS)", "Leonard 17' Pullup Jump Shot (10 PTS)")</f>
        <v>Leonard 17' Pullup Jump Shot (10 PTS)</v>
      </c>
      <c r="L3353" s="2" t="str">
        <f>HYPERLINK("https://www.nba.com/game/...-vs-...-0041800216/play-by-play?watchFullGame=true", "TOR vs PHI - Q2 08:03.00")</f>
        <v>TOR vs PHI - Q2 08:03.00</v>
      </c>
      <c r="M3353">
        <v>17</v>
      </c>
      <c r="N3353">
        <v>9</v>
      </c>
      <c r="O3353">
        <v>167</v>
      </c>
      <c r="P3353">
        <v>9</v>
      </c>
      <c r="Q3353">
        <v>167</v>
      </c>
      <c r="R3353" t="s">
        <v>21</v>
      </c>
      <c r="S3353" t="s">
        <v>21</v>
      </c>
    </row>
    <row r="3354" spans="1:19" hidden="1" x14ac:dyDescent="0.25">
      <c r="A3354">
        <v>21801180</v>
      </c>
      <c r="B3354" t="s">
        <v>18</v>
      </c>
      <c r="C3354" t="s">
        <v>19</v>
      </c>
      <c r="D3354">
        <v>67</v>
      </c>
      <c r="E3354">
        <v>63</v>
      </c>
      <c r="F3354">
        <v>4</v>
      </c>
      <c r="G3354">
        <v>3</v>
      </c>
      <c r="H3354" s="1">
        <v>7.3032407407407404E-3</v>
      </c>
      <c r="I3354">
        <v>2018</v>
      </c>
      <c r="J3354" t="s">
        <v>48</v>
      </c>
      <c r="K3354" s="2" t="str">
        <f>HYPERLINK("https://www.nba.com/stats/events?CFID=&amp;CFPARAMS=&amp;GameEventID=339&amp;GameID=0021801180&amp;Season=2018-19&amp;flag=1&amp;title=Leonard%2017'%20Jump%20Shot%20(19%20PTS)", "Leonard 17' Jump Shot (19 PTS)")</f>
        <v>Leonard 17' Jump Shot (19 PTS)</v>
      </c>
      <c r="L3354" s="2" t="str">
        <f>HYPERLINK("https://www.nba.com/game/...-vs-...-0021801180/play-by-play?watchFullGame=true", "TOR vs CHA - Q3 10:31.00")</f>
        <v>TOR vs CHA - Q3 10:31.00</v>
      </c>
      <c r="M3354">
        <v>17</v>
      </c>
      <c r="N3354">
        <v>33</v>
      </c>
      <c r="O3354">
        <v>167</v>
      </c>
      <c r="P3354">
        <v>33</v>
      </c>
      <c r="Q3354">
        <v>167</v>
      </c>
      <c r="R3354" t="s">
        <v>21</v>
      </c>
      <c r="S3354" t="s">
        <v>21</v>
      </c>
    </row>
    <row r="3355" spans="1:19" hidden="1" x14ac:dyDescent="0.25">
      <c r="A3355">
        <v>21600874</v>
      </c>
      <c r="B3355" t="s">
        <v>18</v>
      </c>
      <c r="C3355" t="s">
        <v>36</v>
      </c>
      <c r="D3355">
        <v>86</v>
      </c>
      <c r="E3355">
        <v>63</v>
      </c>
      <c r="F3355">
        <v>23</v>
      </c>
      <c r="G3355">
        <v>3</v>
      </c>
      <c r="H3355" s="1">
        <v>2.1412037037037038E-3</v>
      </c>
      <c r="I3355">
        <v>2016</v>
      </c>
      <c r="J3355" t="s">
        <v>20</v>
      </c>
      <c r="K3355" s="2" t="str">
        <f>HYPERLINK("https://www.nba.com/stats/events?CFID=&amp;CFPARAMS=&amp;GameEventID=331&amp;GameID=0021600874&amp;Season=2016-17&amp;flag=1&amp;title=Leonard%2017'%20Pullup%20Jump%20Shot%20(23%20PTS)%20(Mills%205%20AST)", "Leonard 17' Pullup Jump Shot (23 PTS) (Mills 5 AST)")</f>
        <v>Leonard 17' Pullup Jump Shot (23 PTS) (Mills 5 AST)</v>
      </c>
      <c r="L3355" s="2" t="str">
        <f>HYPERLINK("https://www.nba.com/game/...-vs-...-0021600874/play-by-play?watchFullGame=true", "SAS vs LAL - Q3 03:05.00")</f>
        <v>SAS vs LAL - Q3 03:05.00</v>
      </c>
      <c r="M3355">
        <v>17</v>
      </c>
      <c r="N3355">
        <v>-20</v>
      </c>
      <c r="O3355">
        <v>168</v>
      </c>
      <c r="P3355">
        <v>-20</v>
      </c>
      <c r="Q3355">
        <v>168</v>
      </c>
      <c r="R3355" t="s">
        <v>21</v>
      </c>
      <c r="S3355" t="s">
        <v>21</v>
      </c>
    </row>
    <row r="3356" spans="1:19" hidden="1" x14ac:dyDescent="0.25">
      <c r="A3356">
        <v>21400314</v>
      </c>
      <c r="B3356" t="s">
        <v>18</v>
      </c>
      <c r="C3356" t="s">
        <v>19</v>
      </c>
      <c r="D3356">
        <v>64</v>
      </c>
      <c r="E3356">
        <v>67</v>
      </c>
      <c r="F3356">
        <v>3</v>
      </c>
      <c r="G3356">
        <v>3</v>
      </c>
      <c r="H3356" s="1">
        <v>2.3958333333333331E-3</v>
      </c>
      <c r="I3356">
        <v>2014</v>
      </c>
      <c r="J3356" t="s">
        <v>20</v>
      </c>
      <c r="K3356" s="2" t="str">
        <f>HYPERLINK("https://www.nba.com/stats/events?CFID=&amp;CFPARAMS=&amp;GameEventID=309&amp;GameID=0021400314&amp;Season=2014-15&amp;flag=1&amp;title=Leonard%2017'%20Jump%20Shot%20(11%20PTS)%20(Bonner%201%20AST)", "Leonard 17' Jump Shot (11 PTS) (Bonner 1 AST)")</f>
        <v>Leonard 17' Jump Shot (11 PTS) (Bonner 1 AST)</v>
      </c>
      <c r="L3356" s="2" t="str">
        <f>HYPERLINK("https://www.nba.com/game/...-vs-...-0021400314/play-by-play?watchFullGame=true", "SAS vs UTA - Q3 03:27.00")</f>
        <v>SAS vs UTA - Q3 03:27.00</v>
      </c>
      <c r="M3356">
        <v>17</v>
      </c>
      <c r="N3356">
        <v>6</v>
      </c>
      <c r="O3356">
        <v>168</v>
      </c>
      <c r="P3356">
        <v>6</v>
      </c>
      <c r="Q3356">
        <v>168</v>
      </c>
      <c r="R3356" t="s">
        <v>21</v>
      </c>
      <c r="S3356" t="s">
        <v>21</v>
      </c>
    </row>
    <row r="3357" spans="1:19" hidden="1" x14ac:dyDescent="0.25">
      <c r="A3357">
        <v>21800538</v>
      </c>
      <c r="B3357" t="s">
        <v>18</v>
      </c>
      <c r="C3357" t="s">
        <v>36</v>
      </c>
      <c r="D3357">
        <v>2</v>
      </c>
      <c r="E3357">
        <v>2</v>
      </c>
      <c r="F3357">
        <v>0</v>
      </c>
      <c r="G3357">
        <v>1</v>
      </c>
      <c r="H3357" s="1">
        <v>7.3842592592592597E-3</v>
      </c>
      <c r="I3357">
        <v>2018</v>
      </c>
      <c r="J3357" t="s">
        <v>48</v>
      </c>
      <c r="K3357" s="2" t="str">
        <f>HYPERLINK("https://www.nba.com/stats/events?CFID=&amp;CFPARAMS=&amp;GameEventID=14&amp;GameID=0021800538&amp;Season=2018-19&amp;flag=1&amp;title=Leonard%2017'%20Pullup%20Jump%20Shot%20(2%20PTS)%20(Siakam%201%20AST)", "Leonard 17' Pullup Jump Shot (2 PTS) (Siakam 1 AST)")</f>
        <v>Leonard 17' Pullup Jump Shot (2 PTS) (Siakam 1 AST)</v>
      </c>
      <c r="L3357" s="2" t="str">
        <f>HYPERLINK("https://www.nba.com/game/...-vs-...-0021800538/play-by-play?watchFullGame=true", "TOR vs CHI - Q1 10:38.00")</f>
        <v>TOR vs CHI - Q1 10:38.00</v>
      </c>
      <c r="M3357">
        <v>17</v>
      </c>
      <c r="N3357">
        <v>14</v>
      </c>
      <c r="O3357">
        <v>168</v>
      </c>
      <c r="P3357">
        <v>14</v>
      </c>
      <c r="Q3357">
        <v>168</v>
      </c>
      <c r="R3357" t="s">
        <v>21</v>
      </c>
      <c r="S3357" t="s">
        <v>21</v>
      </c>
    </row>
    <row r="3358" spans="1:19" hidden="1" x14ac:dyDescent="0.25">
      <c r="A3358">
        <v>21800459</v>
      </c>
      <c r="B3358" t="s">
        <v>18</v>
      </c>
      <c r="C3358" t="s">
        <v>36</v>
      </c>
      <c r="D3358">
        <v>4</v>
      </c>
      <c r="E3358">
        <v>2</v>
      </c>
      <c r="F3358">
        <v>2</v>
      </c>
      <c r="G3358">
        <v>1</v>
      </c>
      <c r="H3358" s="1">
        <v>7.3263888888888892E-3</v>
      </c>
      <c r="I3358">
        <v>2018</v>
      </c>
      <c r="J3358" t="s">
        <v>48</v>
      </c>
      <c r="K3358" s="2" t="str">
        <f>HYPERLINK("https://www.nba.com/stats/events?CFID=&amp;CFPARAMS=&amp;GameEventID=12&amp;GameID=0021800459&amp;Season=2018-19&amp;flag=1&amp;title=Leonard%2020'%20Pullup%20Jump%20Shot%20(2%20PTS)", "Leonard 20' Pullup Jump Shot (2 PTS)")</f>
        <v>Leonard 20' Pullup Jump Shot (2 PTS)</v>
      </c>
      <c r="L3358" s="2" t="str">
        <f>HYPERLINK("https://www.nba.com/game/...-vs-...-0021800459/play-by-play?watchFullGame=true", "TOR vs IND - Q1 10:33.00")</f>
        <v>TOR vs IND - Q1 10:33.00</v>
      </c>
      <c r="M3358">
        <v>20</v>
      </c>
      <c r="N3358">
        <v>112</v>
      </c>
      <c r="O3358">
        <v>168</v>
      </c>
      <c r="P3358">
        <v>112</v>
      </c>
      <c r="Q3358">
        <v>168</v>
      </c>
      <c r="R3358" t="s">
        <v>21</v>
      </c>
      <c r="S3358" t="s">
        <v>21</v>
      </c>
    </row>
    <row r="3359" spans="1:19" hidden="1" x14ac:dyDescent="0.25">
      <c r="A3359">
        <v>41300147</v>
      </c>
      <c r="B3359" t="s">
        <v>18</v>
      </c>
      <c r="C3359" t="s">
        <v>19</v>
      </c>
      <c r="D3359">
        <v>7</v>
      </c>
      <c r="E3359">
        <v>2</v>
      </c>
      <c r="F3359">
        <v>5</v>
      </c>
      <c r="G3359">
        <v>1</v>
      </c>
      <c r="H3359" s="1">
        <v>7.0717592592592594E-3</v>
      </c>
      <c r="I3359" t="s">
        <v>55</v>
      </c>
      <c r="J3359" t="s">
        <v>20</v>
      </c>
      <c r="K3359" s="2" t="str">
        <f>HYPERLINK("https://www.nba.com/stats/events?CFID=&amp;CFPARAMS=&amp;GameEventID=13&amp;GameID=0041300147&amp;Season=2013-14&amp;flag=1&amp;title=Leonard%2022'%20Jump%20Shot%20(2%20PTS)", "Leonard 22' Jump Shot (2 PTS)")</f>
        <v>Leonard 22' Jump Shot (2 PTS)</v>
      </c>
      <c r="L3359" s="2" t="str">
        <f>HYPERLINK("https://www.nba.com/game/...-vs-...-0041300147/play-by-play?watchFullGame=true", "SAS vs DAL - Q1 10:11.00")</f>
        <v>SAS vs DAL - Q1 10:11.00</v>
      </c>
      <c r="M3359">
        <v>22</v>
      </c>
      <c r="N3359">
        <v>138</v>
      </c>
      <c r="O3359">
        <v>168</v>
      </c>
      <c r="P3359">
        <v>138</v>
      </c>
      <c r="Q3359">
        <v>168</v>
      </c>
      <c r="R3359" t="s">
        <v>21</v>
      </c>
      <c r="S3359" t="s">
        <v>21</v>
      </c>
    </row>
    <row r="3360" spans="1:19" hidden="1" x14ac:dyDescent="0.25">
      <c r="A3360">
        <v>21600575</v>
      </c>
      <c r="B3360" t="s">
        <v>18</v>
      </c>
      <c r="C3360" t="s">
        <v>36</v>
      </c>
      <c r="D3360">
        <v>34</v>
      </c>
      <c r="E3360">
        <v>25</v>
      </c>
      <c r="F3360">
        <v>9</v>
      </c>
      <c r="G3360">
        <v>2</v>
      </c>
      <c r="H3360" s="1">
        <v>6.851851851851852E-3</v>
      </c>
      <c r="I3360">
        <v>2016</v>
      </c>
      <c r="J3360" t="s">
        <v>20</v>
      </c>
      <c r="K3360" s="2" t="str">
        <f>HYPERLINK("https://www.nba.com/stats/events?CFID=&amp;CFPARAMS=&amp;GameEventID=149&amp;GameID=0021600575&amp;Season=2016-17&amp;flag=1&amp;title=Leonard%2020'%20Pullup%20Jump%20Shot%20(13%20PTS)", "Leonard 20' Pullup Jump Shot (13 PTS)")</f>
        <v>Leonard 20' Pullup Jump Shot (13 PTS)</v>
      </c>
      <c r="L3360" s="2" t="str">
        <f>HYPERLINK("https://www.nba.com/game/...-vs-...-0021600575/play-by-play?watchFullGame=true", "SAS vs MIL - Q2 09:52.00")</f>
        <v>SAS vs MIL - Q2 09:52.00</v>
      </c>
      <c r="M3360">
        <v>20</v>
      </c>
      <c r="N3360">
        <v>-110</v>
      </c>
      <c r="O3360">
        <v>169</v>
      </c>
      <c r="P3360">
        <v>-110</v>
      </c>
      <c r="Q3360">
        <v>169</v>
      </c>
      <c r="R3360" t="s">
        <v>21</v>
      </c>
      <c r="S3360" t="s">
        <v>21</v>
      </c>
    </row>
    <row r="3361" spans="1:19" hidden="1" x14ac:dyDescent="0.25">
      <c r="A3361">
        <v>21800563</v>
      </c>
      <c r="B3361" t="s">
        <v>18</v>
      </c>
      <c r="C3361" t="s">
        <v>36</v>
      </c>
      <c r="D3361">
        <v>36</v>
      </c>
      <c r="E3361">
        <v>54</v>
      </c>
      <c r="F3361">
        <v>18</v>
      </c>
      <c r="G3361">
        <v>2</v>
      </c>
      <c r="H3361" s="1">
        <v>3.1365740740740742E-3</v>
      </c>
      <c r="I3361">
        <v>2018</v>
      </c>
      <c r="J3361" t="s">
        <v>48</v>
      </c>
      <c r="K3361" s="2" t="str">
        <f>HYPERLINK("https://www.nba.com/stats/events?CFID=&amp;CFPARAMS=&amp;GameEventID=258&amp;GameID=0021800563&amp;Season=2018-19&amp;flag=1&amp;title=Leonard%2019'%20Pullup%20Jump%20Shot%20(10%20PTS)", "Leonard 19' Pullup Jump Shot (10 PTS)")</f>
        <v>Leonard 19' Pullup Jump Shot (10 PTS)</v>
      </c>
      <c r="L3361" s="2" t="str">
        <f>HYPERLINK("https://www.nba.com/game/...-vs-...-0021800563/play-by-play?watchFullGame=true", "TOR vs SAS - Q2 04:31.00")</f>
        <v>TOR vs SAS - Q2 04:31.00</v>
      </c>
      <c r="M3361">
        <v>19</v>
      </c>
      <c r="N3361">
        <v>-91</v>
      </c>
      <c r="O3361">
        <v>169</v>
      </c>
      <c r="P3361">
        <v>-91</v>
      </c>
      <c r="Q3361">
        <v>169</v>
      </c>
      <c r="R3361" t="s">
        <v>21</v>
      </c>
      <c r="S3361" t="s">
        <v>21</v>
      </c>
    </row>
    <row r="3362" spans="1:19" hidden="1" x14ac:dyDescent="0.25">
      <c r="A3362">
        <v>21501215</v>
      </c>
      <c r="B3362" t="s">
        <v>18</v>
      </c>
      <c r="C3362" t="s">
        <v>36</v>
      </c>
      <c r="D3362">
        <v>88</v>
      </c>
      <c r="E3362">
        <v>86</v>
      </c>
      <c r="F3362">
        <v>2</v>
      </c>
      <c r="G3362">
        <v>4</v>
      </c>
      <c r="H3362" s="1">
        <v>3.0902777777777777E-3</v>
      </c>
      <c r="I3362">
        <v>2015</v>
      </c>
      <c r="J3362" t="s">
        <v>20</v>
      </c>
      <c r="K3362" s="2" t="str">
        <f>HYPERLINK("https://www.nba.com/stats/events?CFID=&amp;CFPARAMS=&amp;GameEventID=457&amp;GameID=0021501215&amp;Season=2015-16&amp;flag=1&amp;title=Leonard%2017'%20Pullup%20Jump%20Shot%20(18%20PTS)", "Leonard 17' Pullup Jump Shot (18 PTS)")</f>
        <v>Leonard 17' Pullup Jump Shot (18 PTS)</v>
      </c>
      <c r="L3362" s="2" t="str">
        <f>HYPERLINK("https://www.nba.com/game/...-vs-...-0021501215/play-by-play?watchFullGame=true", "SAS vs OKC - Q4 04:27.00")</f>
        <v>SAS vs OKC - Q4 04:27.00</v>
      </c>
      <c r="M3362">
        <v>17</v>
      </c>
      <c r="N3362">
        <v>-42</v>
      </c>
      <c r="O3362">
        <v>169</v>
      </c>
      <c r="P3362">
        <v>-42</v>
      </c>
      <c r="Q3362">
        <v>169</v>
      </c>
      <c r="R3362" t="s">
        <v>21</v>
      </c>
      <c r="S3362" t="s">
        <v>21</v>
      </c>
    </row>
    <row r="3363" spans="1:19" hidden="1" x14ac:dyDescent="0.25">
      <c r="A3363">
        <v>21600336</v>
      </c>
      <c r="B3363" t="s">
        <v>18</v>
      </c>
      <c r="C3363" t="s">
        <v>19</v>
      </c>
      <c r="D3363">
        <v>68</v>
      </c>
      <c r="E3363">
        <v>76</v>
      </c>
      <c r="F3363">
        <v>8</v>
      </c>
      <c r="G3363">
        <v>4</v>
      </c>
      <c r="H3363" s="1">
        <v>6.5162037037037037E-3</v>
      </c>
      <c r="I3363">
        <v>2016</v>
      </c>
      <c r="J3363" t="s">
        <v>20</v>
      </c>
      <c r="K3363" s="2" t="str">
        <f>HYPERLINK("https://www.nba.com/stats/events?CFID=&amp;CFPARAMS=&amp;GameEventID=427&amp;GameID=0021600336&amp;Season=2016-17&amp;flag=1&amp;title=Leonard%2017'%20Jump%20Shot%20(16%20PTS)%20(Gasol%203%20AST)", "Leonard 17' Jump Shot (16 PTS) (Gasol 3 AST)")</f>
        <v>Leonard 17' Jump Shot (16 PTS) (Gasol 3 AST)</v>
      </c>
      <c r="L3363" s="2" t="str">
        <f>HYPERLINK("https://www.nba.com/game/...-vs-...-0021600336/play-by-play?watchFullGame=true", "SAS vs CHI - Q4 09:23.00")</f>
        <v>SAS vs CHI - Q4 09:23.00</v>
      </c>
      <c r="M3363">
        <v>17</v>
      </c>
      <c r="N3363">
        <v>-40</v>
      </c>
      <c r="O3363">
        <v>169</v>
      </c>
      <c r="P3363">
        <v>-40</v>
      </c>
      <c r="Q3363">
        <v>169</v>
      </c>
      <c r="R3363" t="s">
        <v>21</v>
      </c>
      <c r="S3363" t="s">
        <v>21</v>
      </c>
    </row>
    <row r="3364" spans="1:19" hidden="1" x14ac:dyDescent="0.25">
      <c r="A3364">
        <v>21501201</v>
      </c>
      <c r="B3364" t="s">
        <v>18</v>
      </c>
      <c r="C3364" t="s">
        <v>19</v>
      </c>
      <c r="D3364">
        <v>31</v>
      </c>
      <c r="E3364">
        <v>26</v>
      </c>
      <c r="F3364">
        <v>5</v>
      </c>
      <c r="G3364">
        <v>2</v>
      </c>
      <c r="H3364" s="1">
        <v>3.2407407407407406E-3</v>
      </c>
      <c r="I3364">
        <v>2015</v>
      </c>
      <c r="J3364" t="s">
        <v>20</v>
      </c>
      <c r="K3364" s="2" t="str">
        <f>HYPERLINK("https://www.nba.com/stats/events?CFID=&amp;CFPARAMS=&amp;GameEventID=215&amp;GameID=0021501201&amp;Season=2015-16&amp;flag=1&amp;title=Leonard%2017'%20Jump%20Shot%20(9%20PTS)", "Leonard 17' Jump Shot (9 PTS)")</f>
        <v>Leonard 17' Jump Shot (9 PTS)</v>
      </c>
      <c r="L3364" s="2" t="str">
        <f>HYPERLINK("https://www.nba.com/game/...-vs-...-0021501201/play-by-play?watchFullGame=true", "SAS vs GSW - Q2 04:40.00")</f>
        <v>SAS vs GSW - Q2 04:40.00</v>
      </c>
      <c r="M3364">
        <v>17</v>
      </c>
      <c r="N3364">
        <v>-6</v>
      </c>
      <c r="O3364">
        <v>169</v>
      </c>
      <c r="P3364">
        <v>-6</v>
      </c>
      <c r="Q3364">
        <v>169</v>
      </c>
      <c r="R3364" t="s">
        <v>21</v>
      </c>
      <c r="S3364" t="s">
        <v>21</v>
      </c>
    </row>
    <row r="3365" spans="1:19" hidden="1" x14ac:dyDescent="0.25">
      <c r="A3365">
        <v>41600151</v>
      </c>
      <c r="B3365" t="s">
        <v>18</v>
      </c>
      <c r="C3365" t="s">
        <v>36</v>
      </c>
      <c r="D3365">
        <v>20</v>
      </c>
      <c r="E3365">
        <v>28</v>
      </c>
      <c r="F3365">
        <v>8</v>
      </c>
      <c r="G3365">
        <v>1</v>
      </c>
      <c r="H3365" s="1">
        <v>1.2152777777777778E-3</v>
      </c>
      <c r="I3365" t="s">
        <v>58</v>
      </c>
      <c r="J3365" t="s">
        <v>20</v>
      </c>
      <c r="K3365" s="2" t="str">
        <f>HYPERLINK("https://www.nba.com/stats/events?CFID=&amp;CFPARAMS=&amp;GameEventID=72&amp;GameID=0041600151&amp;Season=2016-17&amp;flag=1&amp;title=Leonard%2017'%20Pullup%20Jump%20Shot%20(11%20PTS)", "Leonard 17' Pullup Jump Shot (11 PTS)")</f>
        <v>Leonard 17' Pullup Jump Shot (11 PTS)</v>
      </c>
      <c r="L3365" s="2" t="str">
        <f>HYPERLINK("https://www.nba.com/game/...-vs-...-0041600151/play-by-play?watchFullGame=true", "SAS vs MEM - Q1 01:45.00")</f>
        <v>SAS vs MEM - Q1 01:45.00</v>
      </c>
      <c r="M3365">
        <v>17</v>
      </c>
      <c r="N3365">
        <v>19</v>
      </c>
      <c r="O3365">
        <v>169</v>
      </c>
      <c r="P3365">
        <v>19</v>
      </c>
      <c r="Q3365">
        <v>169</v>
      </c>
      <c r="R3365" t="s">
        <v>21</v>
      </c>
      <c r="S3365" t="s">
        <v>21</v>
      </c>
    </row>
    <row r="3366" spans="1:19" hidden="1" x14ac:dyDescent="0.25">
      <c r="A3366">
        <v>21600825</v>
      </c>
      <c r="B3366" t="s">
        <v>18</v>
      </c>
      <c r="C3366" t="s">
        <v>36</v>
      </c>
      <c r="D3366">
        <v>7</v>
      </c>
      <c r="E3366">
        <v>5</v>
      </c>
      <c r="F3366">
        <v>2</v>
      </c>
      <c r="G3366">
        <v>1</v>
      </c>
      <c r="H3366" s="1">
        <v>6.030092592592593E-3</v>
      </c>
      <c r="I3366">
        <v>2016</v>
      </c>
      <c r="J3366" t="s">
        <v>20</v>
      </c>
      <c r="K3366" s="2" t="str">
        <f>HYPERLINK("https://www.nba.com/stats/events?CFID=&amp;CFPARAMS=&amp;GameEventID=26&amp;GameID=0021600825&amp;Season=2016-17&amp;flag=1&amp;title=Leonard%2017'%20Pullup%20Jump%20Shot%20(5%20PTS)", "Leonard 17' Pullup Jump Shot (5 PTS)")</f>
        <v>Leonard 17' Pullup Jump Shot (5 PTS)</v>
      </c>
      <c r="L3366" s="2" t="str">
        <f>HYPERLINK("https://www.nba.com/game/...-vs-...-0021600825/play-by-play?watchFullGame=true", "SAS vs IND - Q1 08:41.00")</f>
        <v>SAS vs IND - Q1 08:41.00</v>
      </c>
      <c r="M3366">
        <v>17</v>
      </c>
      <c r="N3366">
        <v>20</v>
      </c>
      <c r="O3366">
        <v>169</v>
      </c>
      <c r="P3366">
        <v>20</v>
      </c>
      <c r="Q3366">
        <v>169</v>
      </c>
      <c r="R3366" t="s">
        <v>21</v>
      </c>
      <c r="S3366" t="s">
        <v>21</v>
      </c>
    </row>
    <row r="3367" spans="1:19" hidden="1" x14ac:dyDescent="0.25">
      <c r="A3367">
        <v>21801001</v>
      </c>
      <c r="B3367" t="s">
        <v>18</v>
      </c>
      <c r="C3367" t="s">
        <v>36</v>
      </c>
      <c r="D3367">
        <v>90</v>
      </c>
      <c r="E3367">
        <v>108</v>
      </c>
      <c r="F3367">
        <v>18</v>
      </c>
      <c r="G3367">
        <v>4</v>
      </c>
      <c r="H3367" s="1">
        <v>4.3055555555555555E-3</v>
      </c>
      <c r="I3367">
        <v>2018</v>
      </c>
      <c r="J3367" t="s">
        <v>48</v>
      </c>
      <c r="K3367" s="2" t="str">
        <f>HYPERLINK("https://www.nba.com/stats/events?CFID=&amp;CFPARAMS=&amp;GameEventID=587&amp;GameID=0021801001&amp;Season=2018-19&amp;flag=1&amp;title=Leonard%2019'%20Pullup%20Jump%20Shot%20(25%20PTS)", "Leonard 19' Pullup Jump Shot (25 PTS)")</f>
        <v>Leonard 19' Pullup Jump Shot (25 PTS)</v>
      </c>
      <c r="L3367" s="2" t="str">
        <f>HYPERLINK("https://www.nba.com/game/...-vs-...-0021801001/play-by-play?watchFullGame=true", "TOR vs CLE - Q4 06:12.00")</f>
        <v>TOR vs CLE - Q4 06:12.00</v>
      </c>
      <c r="M3367">
        <v>19</v>
      </c>
      <c r="N3367">
        <v>87</v>
      </c>
      <c r="O3367">
        <v>169</v>
      </c>
      <c r="P3367">
        <v>87</v>
      </c>
      <c r="Q3367">
        <v>169</v>
      </c>
      <c r="R3367" t="s">
        <v>21</v>
      </c>
      <c r="S3367" t="s">
        <v>21</v>
      </c>
    </row>
    <row r="3368" spans="1:19" hidden="1" x14ac:dyDescent="0.25">
      <c r="A3368">
        <v>21301017</v>
      </c>
      <c r="B3368" t="s">
        <v>18</v>
      </c>
      <c r="C3368" t="s">
        <v>19</v>
      </c>
      <c r="D3368">
        <v>73</v>
      </c>
      <c r="E3368">
        <v>71</v>
      </c>
      <c r="F3368">
        <v>2</v>
      </c>
      <c r="G3368">
        <v>3</v>
      </c>
      <c r="H3368" s="1">
        <v>4.2824074074074075E-3</v>
      </c>
      <c r="I3368">
        <v>2013</v>
      </c>
      <c r="J3368" t="s">
        <v>20</v>
      </c>
      <c r="K3368" s="2" t="str">
        <f>HYPERLINK("https://www.nba.com/stats/events?CFID=&amp;CFPARAMS=&amp;GameEventID=304&amp;GameID=0021301017&amp;Season=2013-14&amp;flag=1&amp;title=Leonard%2017'%20Jump%20Shot%20(15%20PTS)%20(Diaw%203%20AST)", "Leonard 17' Jump Shot (15 PTS) (Diaw 3 AST)")</f>
        <v>Leonard 17' Jump Shot (15 PTS) (Diaw 3 AST)</v>
      </c>
      <c r="L3368" s="2" t="str">
        <f>HYPERLINK("https://www.nba.com/game/...-vs-...-0021301017/play-by-play?watchFullGame=true", "SAS vs LAL - Q3 06:10.00")</f>
        <v>SAS vs LAL - Q3 06:10.00</v>
      </c>
      <c r="M3368">
        <v>17</v>
      </c>
      <c r="N3368">
        <v>-37</v>
      </c>
      <c r="O3368">
        <v>170</v>
      </c>
      <c r="P3368">
        <v>-37</v>
      </c>
      <c r="Q3368">
        <v>170</v>
      </c>
      <c r="R3368" t="s">
        <v>21</v>
      </c>
      <c r="S3368" t="s">
        <v>21</v>
      </c>
    </row>
    <row r="3369" spans="1:19" hidden="1" x14ac:dyDescent="0.25">
      <c r="A3369">
        <v>21401098</v>
      </c>
      <c r="B3369" t="s">
        <v>18</v>
      </c>
      <c r="C3369" t="s">
        <v>36</v>
      </c>
      <c r="D3369">
        <v>82</v>
      </c>
      <c r="E3369">
        <v>73</v>
      </c>
      <c r="F3369">
        <v>9</v>
      </c>
      <c r="G3369">
        <v>4</v>
      </c>
      <c r="H3369" s="1">
        <v>5.8796296296296296E-3</v>
      </c>
      <c r="I3369">
        <v>2014</v>
      </c>
      <c r="J3369" t="s">
        <v>20</v>
      </c>
      <c r="K3369" s="2" t="str">
        <f>HYPERLINK("https://www.nba.com/stats/events?CFID=&amp;CFPARAMS=&amp;GameEventID=379&amp;GameID=0021401098&amp;Season=2014-15&amp;flag=1&amp;title=Leonard%2017'%20Pullup%20Jump%20Shot%20(22%20PTS)%20(Parker%204%20AST)", "Leonard 17' Pullup Jump Shot (22 PTS) (Parker 4 AST)")</f>
        <v>Leonard 17' Pullup Jump Shot (22 PTS) (Parker 4 AST)</v>
      </c>
      <c r="L3369" s="2" t="str">
        <f>HYPERLINK("https://www.nba.com/game/...-vs-...-0021401098/play-by-play?watchFullGame=true", "SAS vs MEM - Q4 08:28.00")</f>
        <v>SAS vs MEM - Q4 08:28.00</v>
      </c>
      <c r="M3369">
        <v>17</v>
      </c>
      <c r="N3369">
        <v>28</v>
      </c>
      <c r="O3369">
        <v>170</v>
      </c>
      <c r="P3369">
        <v>28</v>
      </c>
      <c r="Q3369">
        <v>170</v>
      </c>
      <c r="R3369" t="s">
        <v>21</v>
      </c>
      <c r="S3369" t="s">
        <v>21</v>
      </c>
    </row>
    <row r="3370" spans="1:19" hidden="1" x14ac:dyDescent="0.25">
      <c r="A3370">
        <v>21600744</v>
      </c>
      <c r="B3370" t="s">
        <v>18</v>
      </c>
      <c r="C3370" t="s">
        <v>36</v>
      </c>
      <c r="D3370">
        <v>79</v>
      </c>
      <c r="E3370">
        <v>73</v>
      </c>
      <c r="F3370">
        <v>6</v>
      </c>
      <c r="G3370">
        <v>3</v>
      </c>
      <c r="H3370" s="1">
        <v>1.1805555555555555E-4</v>
      </c>
      <c r="I3370">
        <v>2016</v>
      </c>
      <c r="J3370" t="s">
        <v>20</v>
      </c>
      <c r="K3370" s="2" t="str">
        <f>HYPERLINK("https://www.nba.com/stats/events?CFID=&amp;CFPARAMS=&amp;GameEventID=458&amp;GameID=0021600744&amp;Season=2016-17&amp;flag=1&amp;title=Leonard%2018'%20Pullup%20Jump%20Shot%20(16%20PTS)", "Leonard 18' Pullup Jump Shot (16 PTS)")</f>
        <v>Leonard 18' Pullup Jump Shot (16 PTS)</v>
      </c>
      <c r="L3370" s="2" t="str">
        <f>HYPERLINK("https://www.nba.com/game/...-vs-...-0021600744/play-by-play?watchFullGame=true", "SAS vs PHI - Q3 00:10.20")</f>
        <v>SAS vs PHI - Q3 00:10.20</v>
      </c>
      <c r="M3370">
        <v>18</v>
      </c>
      <c r="N3370">
        <v>60</v>
      </c>
      <c r="O3370">
        <v>170</v>
      </c>
      <c r="P3370">
        <v>60</v>
      </c>
      <c r="Q3370">
        <v>170</v>
      </c>
      <c r="R3370" t="s">
        <v>21</v>
      </c>
      <c r="S3370" t="s">
        <v>21</v>
      </c>
    </row>
    <row r="3371" spans="1:19" hidden="1" x14ac:dyDescent="0.25">
      <c r="A3371">
        <v>21700573</v>
      </c>
      <c r="B3371" t="s">
        <v>18</v>
      </c>
      <c r="C3371" t="s">
        <v>36</v>
      </c>
      <c r="D3371">
        <v>30</v>
      </c>
      <c r="E3371">
        <v>34</v>
      </c>
      <c r="F3371">
        <v>4</v>
      </c>
      <c r="G3371">
        <v>2</v>
      </c>
      <c r="H3371" s="1">
        <v>6.4930555555555557E-3</v>
      </c>
      <c r="I3371">
        <v>2017</v>
      </c>
      <c r="J3371" t="s">
        <v>20</v>
      </c>
      <c r="K3371" s="2" t="str">
        <f>HYPERLINK("https://www.nba.com/stats/events?CFID=&amp;CFPARAMS=&amp;GameEventID=186&amp;GameID=0021700573&amp;Season=2017-18&amp;flag=1&amp;title=Leonard%2017'%20Pullup%20Jump%20Shot%20(8%20PTS)%20(Anderson%202%20AST)", "Leonard 17' Pullup Jump Shot (8 PTS) (Anderson 2 AST)")</f>
        <v>Leonard 17' Pullup Jump Shot (8 PTS) (Anderson 2 AST)</v>
      </c>
      <c r="L3371" s="2" t="str">
        <f>HYPERLINK("https://www.nba.com/game/...-vs-...-0021700573/play-by-play?watchFullGame=true", "SAS vs PHX - Q2 09:21.00")</f>
        <v>SAS vs PHX - Q2 09:21.00</v>
      </c>
      <c r="M3371">
        <v>17</v>
      </c>
      <c r="N3371">
        <v>-15</v>
      </c>
      <c r="O3371">
        <v>171</v>
      </c>
      <c r="P3371">
        <v>-15</v>
      </c>
      <c r="Q3371">
        <v>171</v>
      </c>
      <c r="R3371" t="s">
        <v>21</v>
      </c>
      <c r="S3371" t="s">
        <v>21</v>
      </c>
    </row>
    <row r="3372" spans="1:19" hidden="1" x14ac:dyDescent="0.25">
      <c r="A3372">
        <v>21800563</v>
      </c>
      <c r="B3372" t="s">
        <v>18</v>
      </c>
      <c r="C3372" t="s">
        <v>36</v>
      </c>
      <c r="D3372">
        <v>4</v>
      </c>
      <c r="E3372">
        <v>7</v>
      </c>
      <c r="F3372">
        <v>3</v>
      </c>
      <c r="G3372">
        <v>1</v>
      </c>
      <c r="H3372" s="1">
        <v>6.9328703703703705E-3</v>
      </c>
      <c r="I3372">
        <v>2018</v>
      </c>
      <c r="J3372" t="s">
        <v>48</v>
      </c>
      <c r="K3372" s="2" t="str">
        <f>HYPERLINK("https://www.nba.com/stats/events?CFID=&amp;CFPARAMS=&amp;GameEventID=31&amp;GameID=0021800563&amp;Season=2018-19&amp;flag=1&amp;title=Leonard%2021'%20Pullup%20Jump%20Shot%20(4%20PTS)", "Leonard 21' Pullup Jump Shot (4 PTS)")</f>
        <v>Leonard 21' Pullup Jump Shot (4 PTS)</v>
      </c>
      <c r="L3372" s="2" t="str">
        <f>HYPERLINK("https://www.nba.com/game/...-vs-...-0021800563/play-by-play?watchFullGame=true", "TOR vs SAS - Q1 09:59.00")</f>
        <v>TOR vs SAS - Q1 09:59.00</v>
      </c>
      <c r="M3372">
        <v>21</v>
      </c>
      <c r="N3372">
        <v>119</v>
      </c>
      <c r="O3372">
        <v>171</v>
      </c>
      <c r="P3372">
        <v>119</v>
      </c>
      <c r="Q3372">
        <v>171</v>
      </c>
      <c r="R3372" t="s">
        <v>21</v>
      </c>
      <c r="S3372" t="s">
        <v>21</v>
      </c>
    </row>
    <row r="3373" spans="1:19" hidden="1" x14ac:dyDescent="0.25">
      <c r="A3373">
        <v>41800304</v>
      </c>
      <c r="B3373" t="s">
        <v>18</v>
      </c>
      <c r="C3373" t="s">
        <v>36</v>
      </c>
      <c r="D3373">
        <v>88</v>
      </c>
      <c r="E3373">
        <v>76</v>
      </c>
      <c r="F3373">
        <v>12</v>
      </c>
      <c r="G3373">
        <v>3</v>
      </c>
      <c r="H3373" s="1">
        <v>1.736111111111111E-3</v>
      </c>
      <c r="I3373" t="s">
        <v>60</v>
      </c>
      <c r="J3373" t="s">
        <v>48</v>
      </c>
      <c r="K3373" s="2" t="str">
        <f>HYPERLINK("https://www.nba.com/stats/events?CFID=&amp;CFPARAMS=&amp;GameEventID=507&amp;GameID=0041800304&amp;Season=2018-19&amp;flag=1&amp;title=Leonard%2017'%20Pullup%20Jump%20Shot%20(15%20PTS)", "Leonard 17' Pullup Jump Shot (15 PTS)")</f>
        <v>Leonard 17' Pullup Jump Shot (15 PTS)</v>
      </c>
      <c r="L3373" s="2" t="str">
        <f>HYPERLINK("https://www.nba.com/game/...-vs-...-0041800304/play-by-play?watchFullGame=true", "TOR vs MIL - Q3 02:30.00")</f>
        <v>TOR vs MIL - Q3 02:30.00</v>
      </c>
      <c r="M3373">
        <v>17</v>
      </c>
      <c r="N3373">
        <v>-1</v>
      </c>
      <c r="O3373">
        <v>172</v>
      </c>
      <c r="P3373">
        <v>-1</v>
      </c>
      <c r="Q3373">
        <v>172</v>
      </c>
      <c r="R3373" t="s">
        <v>21</v>
      </c>
      <c r="S3373" t="s">
        <v>21</v>
      </c>
    </row>
    <row r="3374" spans="1:19" hidden="1" x14ac:dyDescent="0.25">
      <c r="A3374">
        <v>21300057</v>
      </c>
      <c r="B3374" t="s">
        <v>18</v>
      </c>
      <c r="C3374" t="s">
        <v>19</v>
      </c>
      <c r="D3374">
        <v>55</v>
      </c>
      <c r="E3374">
        <v>63</v>
      </c>
      <c r="F3374">
        <v>8</v>
      </c>
      <c r="G3374">
        <v>3</v>
      </c>
      <c r="H3374" s="1">
        <v>5.8564814814814816E-3</v>
      </c>
      <c r="I3374">
        <v>2013</v>
      </c>
      <c r="J3374" t="s">
        <v>20</v>
      </c>
      <c r="K3374" s="2" t="str">
        <f>HYPERLINK("https://www.nba.com/stats/events?CFID=&amp;CFPARAMS=&amp;GameEventID=293&amp;GameID=0021300057&amp;Season=2013-14&amp;flag=1&amp;title=Leonard%2017'%20Jump%20Shot%20(6%20PTS)%20(Duncan%206%20AST)", "Leonard 17' Jump Shot (6 PTS) (Duncan 6 AST)")</f>
        <v>Leonard 17' Jump Shot (6 PTS) (Duncan 6 AST)</v>
      </c>
      <c r="L3374" s="2" t="str">
        <f>HYPERLINK("https://www.nba.com/game/...-vs-...-0021300057/play-by-play?watchFullGame=true", "SAS vs DEN - Q3 08:26.00")</f>
        <v>SAS vs DEN - Q3 08:26.00</v>
      </c>
      <c r="M3374">
        <v>17</v>
      </c>
      <c r="N3374">
        <v>9</v>
      </c>
      <c r="O3374">
        <v>173</v>
      </c>
      <c r="P3374">
        <v>9</v>
      </c>
      <c r="Q3374">
        <v>173</v>
      </c>
      <c r="R3374" t="s">
        <v>21</v>
      </c>
      <c r="S3374" t="s">
        <v>21</v>
      </c>
    </row>
    <row r="3375" spans="1:19" hidden="1" x14ac:dyDescent="0.25">
      <c r="A3375">
        <v>41800404</v>
      </c>
      <c r="B3375" t="s">
        <v>18</v>
      </c>
      <c r="C3375" t="s">
        <v>36</v>
      </c>
      <c r="D3375">
        <v>67</v>
      </c>
      <c r="E3375">
        <v>63</v>
      </c>
      <c r="F3375">
        <v>4</v>
      </c>
      <c r="G3375">
        <v>3</v>
      </c>
      <c r="H3375" s="1">
        <v>2.0833333333333333E-3</v>
      </c>
      <c r="I3375" t="s">
        <v>60</v>
      </c>
      <c r="J3375" t="s">
        <v>48</v>
      </c>
      <c r="K3375" s="2" t="str">
        <f>HYPERLINK("https://www.nba.com/stats/events?CFID=&amp;CFPARAMS=&amp;GameEventID=447&amp;GameID=0041800404&amp;Season=2018-19&amp;flag=1&amp;title=Leonard%2017'%20Pullup%20Jump%20Shot%20(23%20PTS)", "Leonard 17' Pullup Jump Shot (23 PTS)")</f>
        <v>Leonard 17' Pullup Jump Shot (23 PTS)</v>
      </c>
      <c r="L3375" s="2" t="str">
        <f>HYPERLINK("https://www.nba.com/game/...-vs-...-0041800404/play-by-play?watchFullGame=true", "TOR vs GSW - Q3 03:00.00")</f>
        <v>TOR vs GSW - Q3 03:00.00</v>
      </c>
      <c r="M3375">
        <v>17</v>
      </c>
      <c r="N3375">
        <v>11</v>
      </c>
      <c r="O3375">
        <v>173</v>
      </c>
      <c r="P3375">
        <v>11</v>
      </c>
      <c r="Q3375">
        <v>173</v>
      </c>
      <c r="R3375" t="s">
        <v>21</v>
      </c>
      <c r="S3375" t="s">
        <v>21</v>
      </c>
    </row>
    <row r="3376" spans="1:19" hidden="1" x14ac:dyDescent="0.25">
      <c r="A3376">
        <v>21500431</v>
      </c>
      <c r="B3376" t="s">
        <v>18</v>
      </c>
      <c r="C3376" t="s">
        <v>36</v>
      </c>
      <c r="D3376">
        <v>26</v>
      </c>
      <c r="E3376">
        <v>14</v>
      </c>
      <c r="F3376">
        <v>12</v>
      </c>
      <c r="G3376">
        <v>1</v>
      </c>
      <c r="H3376" s="1">
        <v>8.564814814814815E-4</v>
      </c>
      <c r="I3376">
        <v>2015</v>
      </c>
      <c r="J3376" t="s">
        <v>20</v>
      </c>
      <c r="K3376" s="2" t="str">
        <f>HYPERLINK("https://www.nba.com/stats/events?CFID=&amp;CFPARAMS=&amp;GameEventID=98&amp;GameID=0021500431&amp;Season=2015-16&amp;flag=1&amp;title=Leonard%2022'%20Pullup%20Jump%20Shot%20(7%20PTS)", "Leonard 22' Pullup Jump Shot (7 PTS)")</f>
        <v>Leonard 22' Pullup Jump Shot (7 PTS)</v>
      </c>
      <c r="L3376" s="2" t="str">
        <f>HYPERLINK("https://www.nba.com/game/...-vs-...-0021500431/play-by-play?watchFullGame=true", "SAS vs MIN - Q1 01:14.00")</f>
        <v>SAS vs MIN - Q1 01:14.00</v>
      </c>
      <c r="M3376">
        <v>22</v>
      </c>
      <c r="N3376">
        <v>-132</v>
      </c>
      <c r="O3376">
        <v>174</v>
      </c>
      <c r="P3376">
        <v>-132</v>
      </c>
      <c r="Q3376">
        <v>174</v>
      </c>
      <c r="R3376" t="s">
        <v>21</v>
      </c>
      <c r="S3376" t="s">
        <v>21</v>
      </c>
    </row>
    <row r="3377" spans="1:19" hidden="1" x14ac:dyDescent="0.25">
      <c r="A3377">
        <v>21500790</v>
      </c>
      <c r="B3377" t="s">
        <v>18</v>
      </c>
      <c r="C3377" t="s">
        <v>19</v>
      </c>
      <c r="D3377">
        <v>80</v>
      </c>
      <c r="E3377">
        <v>87</v>
      </c>
      <c r="F3377">
        <v>7</v>
      </c>
      <c r="G3377">
        <v>4</v>
      </c>
      <c r="H3377" s="1">
        <v>4.6643518518518518E-3</v>
      </c>
      <c r="I3377">
        <v>2015</v>
      </c>
      <c r="J3377" t="s">
        <v>20</v>
      </c>
      <c r="K3377" s="2" t="str">
        <f>HYPERLINK("https://www.nba.com/stats/events?CFID=&amp;CFPARAMS=&amp;GameEventID=425&amp;GameID=0021500790&amp;Season=2015-16&amp;flag=1&amp;title=Leonard%2020'%20Jump%20Shot%20(22%20PTS)%20(Mills%207%20AST)", "Leonard 20' Jump Shot (22 PTS) (Mills 7 AST)")</f>
        <v>Leonard 20' Jump Shot (22 PTS) (Mills 7 AST)</v>
      </c>
      <c r="L3377" s="2" t="str">
        <f>HYPERLINK("https://www.nba.com/game/...-vs-...-0021500790/play-by-play?watchFullGame=true", "SAS vs ORL - Q4 06:43.00")</f>
        <v>SAS vs ORL - Q4 06:43.00</v>
      </c>
      <c r="M3377">
        <v>20</v>
      </c>
      <c r="N3377">
        <v>-102</v>
      </c>
      <c r="O3377">
        <v>174</v>
      </c>
      <c r="P3377">
        <v>-102</v>
      </c>
      <c r="Q3377">
        <v>174</v>
      </c>
      <c r="R3377" t="s">
        <v>21</v>
      </c>
      <c r="S3377" t="s">
        <v>21</v>
      </c>
    </row>
    <row r="3378" spans="1:19" hidden="1" x14ac:dyDescent="0.25">
      <c r="A3378">
        <v>21501140</v>
      </c>
      <c r="B3378" t="s">
        <v>18</v>
      </c>
      <c r="C3378" t="s">
        <v>36</v>
      </c>
      <c r="D3378">
        <v>38</v>
      </c>
      <c r="E3378">
        <v>30</v>
      </c>
      <c r="F3378">
        <v>8</v>
      </c>
      <c r="G3378">
        <v>2</v>
      </c>
      <c r="H3378" s="1">
        <v>5.2546296296296299E-3</v>
      </c>
      <c r="I3378">
        <v>2015</v>
      </c>
      <c r="J3378" t="s">
        <v>20</v>
      </c>
      <c r="K3378" s="2" t="str">
        <f>HYPERLINK("https://www.nba.com/stats/events?CFID=&amp;CFPARAMS=&amp;GameEventID=142&amp;GameID=0021501140&amp;Season=2015-16&amp;flag=1&amp;title=Leonard%2019'%20Pullup%20Jump%20Shot%20(9%20PTS)%20(Mills%201%20AST)", "Leonard 19' Pullup Jump Shot (9 PTS) (Mills 1 AST)")</f>
        <v>Leonard 19' Pullup Jump Shot (9 PTS) (Mills 1 AST)</v>
      </c>
      <c r="L3378" s="2" t="str">
        <f>HYPERLINK("https://www.nba.com/game/...-vs-...-0021501140/play-by-play?watchFullGame=true", "SAS vs TOR - Q2 07:34.00")</f>
        <v>SAS vs TOR - Q2 07:34.00</v>
      </c>
      <c r="M3378">
        <v>19</v>
      </c>
      <c r="N3378">
        <v>-83</v>
      </c>
      <c r="O3378">
        <v>174</v>
      </c>
      <c r="P3378">
        <v>-83</v>
      </c>
      <c r="Q3378">
        <v>174</v>
      </c>
      <c r="R3378" t="s">
        <v>21</v>
      </c>
      <c r="S3378" t="s">
        <v>21</v>
      </c>
    </row>
    <row r="3379" spans="1:19" hidden="1" x14ac:dyDescent="0.25">
      <c r="A3379">
        <v>21500516</v>
      </c>
      <c r="B3379" t="s">
        <v>18</v>
      </c>
      <c r="C3379" t="s">
        <v>19</v>
      </c>
      <c r="D3379">
        <v>20</v>
      </c>
      <c r="E3379">
        <v>22</v>
      </c>
      <c r="F3379">
        <v>2</v>
      </c>
      <c r="G3379">
        <v>1</v>
      </c>
      <c r="H3379" s="1">
        <v>2.476851851851852E-3</v>
      </c>
      <c r="I3379">
        <v>2015</v>
      </c>
      <c r="J3379" t="s">
        <v>20</v>
      </c>
      <c r="K3379" s="2" t="str">
        <f>HYPERLINK("https://www.nba.com/stats/events?CFID=&amp;CFPARAMS=&amp;GameEventID=79&amp;GameID=0021500516&amp;Season=2015-16&amp;flag=1&amp;title=Leonard%2019'%20Jump%20Shot%20(9%20PTS)%20(Ginobili%201%20AST)", "Leonard 19' Jump Shot (9 PTS) (Ginobili 1 AST)")</f>
        <v>Leonard 19' Jump Shot (9 PTS) (Ginobili 1 AST)</v>
      </c>
      <c r="L3379" s="2" t="str">
        <f>HYPERLINK("https://www.nba.com/game/...-vs-...-0021500516/play-by-play?watchFullGame=true", "SAS vs MIL - Q1 03:34.00")</f>
        <v>SAS vs MIL - Q1 03:34.00</v>
      </c>
      <c r="M3379">
        <v>19</v>
      </c>
      <c r="N3379">
        <v>-81</v>
      </c>
      <c r="O3379">
        <v>174</v>
      </c>
      <c r="P3379">
        <v>-81</v>
      </c>
      <c r="Q3379">
        <v>174</v>
      </c>
      <c r="R3379" t="s">
        <v>21</v>
      </c>
      <c r="S3379" t="s">
        <v>21</v>
      </c>
    </row>
    <row r="3380" spans="1:19" hidden="1" x14ac:dyDescent="0.25">
      <c r="A3380">
        <v>21600127</v>
      </c>
      <c r="B3380" t="s">
        <v>18</v>
      </c>
      <c r="C3380" t="s">
        <v>19</v>
      </c>
      <c r="D3380">
        <v>42</v>
      </c>
      <c r="E3380">
        <v>45</v>
      </c>
      <c r="F3380">
        <v>3</v>
      </c>
      <c r="G3380">
        <v>2</v>
      </c>
      <c r="H3380" s="1">
        <v>2.5925925925925925E-3</v>
      </c>
      <c r="I3380">
        <v>2016</v>
      </c>
      <c r="J3380" t="s">
        <v>20</v>
      </c>
      <c r="K3380" s="2" t="str">
        <f>HYPERLINK("https://www.nba.com/stats/events?CFID=&amp;CFPARAMS=&amp;GameEventID=184&amp;GameID=0021600127&amp;Season=2016-17&amp;flag=1&amp;title=Leonard%2018'%20Jump%20Shot%20(7%20PTS)%20(Anderson%202%20AST)", "Leonard 18' Jump Shot (7 PTS) (Anderson 2 AST)")</f>
        <v>Leonard 18' Jump Shot (7 PTS) (Anderson 2 AST)</v>
      </c>
      <c r="L3380" s="2" t="str">
        <f>HYPERLINK("https://www.nba.com/game/...-vs-...-0021600127/play-by-play?watchFullGame=true", "SAS vs DET - Q2 03:44.00")</f>
        <v>SAS vs DET - Q2 03:44.00</v>
      </c>
      <c r="M3380">
        <v>18</v>
      </c>
      <c r="N3380">
        <v>-20</v>
      </c>
      <c r="O3380">
        <v>174</v>
      </c>
      <c r="P3380">
        <v>-20</v>
      </c>
      <c r="Q3380">
        <v>174</v>
      </c>
      <c r="R3380" t="s">
        <v>21</v>
      </c>
      <c r="S3380" t="s">
        <v>21</v>
      </c>
    </row>
    <row r="3381" spans="1:19" hidden="1" x14ac:dyDescent="0.25">
      <c r="A3381">
        <v>41600151</v>
      </c>
      <c r="B3381" t="s">
        <v>18</v>
      </c>
      <c r="C3381" t="s">
        <v>36</v>
      </c>
      <c r="D3381">
        <v>84</v>
      </c>
      <c r="E3381">
        <v>64</v>
      </c>
      <c r="F3381">
        <v>20</v>
      </c>
      <c r="G3381">
        <v>3</v>
      </c>
      <c r="H3381" s="1">
        <v>9.3750000000000002E-5</v>
      </c>
      <c r="I3381" t="s">
        <v>58</v>
      </c>
      <c r="J3381" t="s">
        <v>20</v>
      </c>
      <c r="K3381" s="2" t="str">
        <f>HYPERLINK("https://www.nba.com/stats/events?CFID=&amp;CFPARAMS=&amp;GameEventID=351&amp;GameID=0041600151&amp;Season=2016-17&amp;flag=1&amp;title=Leonard%2017'%20Pullup%20Jump%20Shot%20(32%20PTS)", "Leonard 17' Pullup Jump Shot (32 PTS)")</f>
        <v>Leonard 17' Pullup Jump Shot (32 PTS)</v>
      </c>
      <c r="L3381" s="2" t="str">
        <f>HYPERLINK("https://www.nba.com/game/...-vs-...-0041600151/play-by-play?watchFullGame=true", "SAS vs MEM - Q3 00:08.10")</f>
        <v>SAS vs MEM - Q3 00:08.10</v>
      </c>
      <c r="M3381">
        <v>17</v>
      </c>
      <c r="N3381">
        <v>-12</v>
      </c>
      <c r="O3381">
        <v>174</v>
      </c>
      <c r="P3381">
        <v>-12</v>
      </c>
      <c r="Q3381">
        <v>174</v>
      </c>
      <c r="R3381" t="s">
        <v>21</v>
      </c>
      <c r="S3381" t="s">
        <v>21</v>
      </c>
    </row>
    <row r="3382" spans="1:19" hidden="1" x14ac:dyDescent="0.25">
      <c r="A3382">
        <v>41800211</v>
      </c>
      <c r="B3382" t="s">
        <v>18</v>
      </c>
      <c r="C3382" t="s">
        <v>36</v>
      </c>
      <c r="D3382">
        <v>55</v>
      </c>
      <c r="E3382">
        <v>46</v>
      </c>
      <c r="F3382">
        <v>9</v>
      </c>
      <c r="G3382">
        <v>2</v>
      </c>
      <c r="H3382" s="1">
        <v>2.476851851851852E-3</v>
      </c>
      <c r="I3382" t="s">
        <v>60</v>
      </c>
      <c r="J3382" t="s">
        <v>48</v>
      </c>
      <c r="K3382" s="2" t="str">
        <f>HYPERLINK("https://www.nba.com/stats/events?CFID=&amp;CFPARAMS=&amp;GameEventID=284&amp;GameID=0041800211&amp;Season=2018-19&amp;flag=1&amp;title=Leonard%2018'%20Pullup%20Jump%20Shot%20(25%20PTS)%20(Gasol%204%20AST)", "Leonard 18' Pullup Jump Shot (25 PTS) (Gasol 4 AST)")</f>
        <v>Leonard 18' Pullup Jump Shot (25 PTS) (Gasol 4 AST)</v>
      </c>
      <c r="L3382" s="2" t="str">
        <f>HYPERLINK("https://www.nba.com/game/...-vs-...-0041800211/play-by-play?watchFullGame=true", "TOR vs PHI - Q2 03:34.00")</f>
        <v>TOR vs PHI - Q2 03:34.00</v>
      </c>
      <c r="M3382">
        <v>18</v>
      </c>
      <c r="N3382">
        <v>51</v>
      </c>
      <c r="O3382">
        <v>174</v>
      </c>
      <c r="P3382">
        <v>51</v>
      </c>
      <c r="Q3382">
        <v>174</v>
      </c>
      <c r="R3382" t="s">
        <v>21</v>
      </c>
      <c r="S3382" t="s">
        <v>21</v>
      </c>
    </row>
    <row r="3383" spans="1:19" hidden="1" x14ac:dyDescent="0.25">
      <c r="A3383">
        <v>21600458</v>
      </c>
      <c r="B3383" t="s">
        <v>18</v>
      </c>
      <c r="C3383" t="s">
        <v>36</v>
      </c>
      <c r="D3383">
        <v>55</v>
      </c>
      <c r="E3383">
        <v>50</v>
      </c>
      <c r="F3383">
        <v>5</v>
      </c>
      <c r="G3383">
        <v>2</v>
      </c>
      <c r="H3383" s="1">
        <v>2.9398148148148149E-4</v>
      </c>
      <c r="I3383">
        <v>2016</v>
      </c>
      <c r="J3383" t="s">
        <v>20</v>
      </c>
      <c r="K3383" s="2" t="str">
        <f>HYPERLINK("https://www.nba.com/stats/events?CFID=&amp;CFPARAMS=&amp;GameEventID=235&amp;GameID=0021600458&amp;Season=2016-17&amp;flag=1&amp;title=Leonard%2019'%20Pullup%20Jump%20Shot%20(16%20PTS)", "Leonard 19' Pullup Jump Shot (16 PTS)")</f>
        <v>Leonard 19' Pullup Jump Shot (16 PTS)</v>
      </c>
      <c r="L3383" s="2" t="str">
        <f>HYPERLINK("https://www.nba.com/game/...-vs-...-0021600458/play-by-play?watchFullGame=true", "SAS vs CHI - Q2 00:25.40")</f>
        <v>SAS vs CHI - Q2 00:25.40</v>
      </c>
      <c r="M3383">
        <v>19</v>
      </c>
      <c r="N3383">
        <v>69</v>
      </c>
      <c r="O3383">
        <v>174</v>
      </c>
      <c r="P3383">
        <v>69</v>
      </c>
      <c r="Q3383">
        <v>174</v>
      </c>
      <c r="R3383" t="s">
        <v>21</v>
      </c>
      <c r="S3383" t="s">
        <v>21</v>
      </c>
    </row>
    <row r="3384" spans="1:19" hidden="1" x14ac:dyDescent="0.25">
      <c r="A3384">
        <v>21601070</v>
      </c>
      <c r="B3384" t="s">
        <v>18</v>
      </c>
      <c r="C3384" t="s">
        <v>36</v>
      </c>
      <c r="D3384">
        <v>11</v>
      </c>
      <c r="E3384">
        <v>5</v>
      </c>
      <c r="F3384">
        <v>6</v>
      </c>
      <c r="G3384">
        <v>1</v>
      </c>
      <c r="H3384" s="1">
        <v>5.5208333333333333E-3</v>
      </c>
      <c r="I3384">
        <v>2016</v>
      </c>
      <c r="J3384" t="s">
        <v>20</v>
      </c>
      <c r="K3384" s="2" t="str">
        <f>HYPERLINK("https://www.nba.com/stats/events?CFID=&amp;CFPARAMS=&amp;GameEventID=27&amp;GameID=0021601070&amp;Season=2016-17&amp;flag=1&amp;title=Leonard%2019'%20Pullup%20Jump%20Shot%20(2%20PTS)", "Leonard 19' Pullup Jump Shot (2 PTS)")</f>
        <v>Leonard 19' Pullup Jump Shot (2 PTS)</v>
      </c>
      <c r="L3384" s="2" t="str">
        <f>HYPERLINK("https://www.nba.com/game/...-vs-...-0021601070/play-by-play?watchFullGame=true", "SAS vs MEM - Q1 07:57.00")</f>
        <v>SAS vs MEM - Q1 07:57.00</v>
      </c>
      <c r="M3384">
        <v>19</v>
      </c>
      <c r="N3384">
        <v>71</v>
      </c>
      <c r="O3384">
        <v>174</v>
      </c>
      <c r="P3384">
        <v>71</v>
      </c>
      <c r="Q3384">
        <v>174</v>
      </c>
      <c r="R3384" t="s">
        <v>21</v>
      </c>
      <c r="S3384" t="s">
        <v>21</v>
      </c>
    </row>
    <row r="3385" spans="1:19" hidden="1" x14ac:dyDescent="0.25">
      <c r="A3385">
        <v>21800842</v>
      </c>
      <c r="B3385" t="s">
        <v>18</v>
      </c>
      <c r="C3385" t="s">
        <v>36</v>
      </c>
      <c r="D3385">
        <v>122</v>
      </c>
      <c r="E3385">
        <v>122</v>
      </c>
      <c r="F3385">
        <v>0</v>
      </c>
      <c r="G3385">
        <v>4</v>
      </c>
      <c r="H3385" s="1">
        <v>7.291666666666667E-4</v>
      </c>
      <c r="I3385">
        <v>2018</v>
      </c>
      <c r="J3385" t="s">
        <v>48</v>
      </c>
      <c r="K3385" s="2" t="str">
        <f>HYPERLINK("https://www.nba.com/stats/events?CFID=&amp;CFPARAMS=&amp;GameEventID=609&amp;GameID=0021800842&amp;Season=2018-19&amp;flag=1&amp;title=Leonard%2021'%20Pullup%20Jump%20Shot%20(28%20PTS)", "Leonard 21' Pullup Jump Shot (28 PTS)")</f>
        <v>Leonard 21' Pullup Jump Shot (28 PTS)</v>
      </c>
      <c r="L3385" s="2" t="str">
        <f>HYPERLINK("https://www.nba.com/game/...-vs-...-0021800842/play-by-play?watchFullGame=true", "TOR vs BKN - Q4 01:03.00")</f>
        <v>TOR vs BKN - Q4 01:03.00</v>
      </c>
      <c r="M3385">
        <v>21</v>
      </c>
      <c r="N3385">
        <v>109</v>
      </c>
      <c r="O3385">
        <v>174</v>
      </c>
      <c r="P3385">
        <v>109</v>
      </c>
      <c r="Q3385">
        <v>174</v>
      </c>
      <c r="R3385" t="s">
        <v>21</v>
      </c>
      <c r="S3385" t="s">
        <v>21</v>
      </c>
    </row>
    <row r="3386" spans="1:19" hidden="1" x14ac:dyDescent="0.25">
      <c r="A3386">
        <v>21500061</v>
      </c>
      <c r="B3386" t="s">
        <v>18</v>
      </c>
      <c r="C3386" t="s">
        <v>39</v>
      </c>
      <c r="D3386">
        <v>94</v>
      </c>
      <c r="E3386">
        <v>96</v>
      </c>
      <c r="F3386">
        <v>2</v>
      </c>
      <c r="G3386">
        <v>4</v>
      </c>
      <c r="H3386" s="1">
        <v>1.1226851851851851E-3</v>
      </c>
      <c r="I3386">
        <v>2015</v>
      </c>
      <c r="J3386" t="s">
        <v>20</v>
      </c>
      <c r="K3386" s="2" t="str">
        <f>HYPERLINK("https://www.nba.com/stats/events?CFID=&amp;CFPARAMS=&amp;GameEventID=485&amp;GameID=0021500061&amp;Season=2015-16&amp;flag=1&amp;title=Leonard%2021'%20Step%20Back%20Jump%20Shot%20(23%20PTS)%20(Duncan%205%20AST)", "Leonard 21' Step Back Jump Shot (23 PTS) (Duncan 5 AST)")</f>
        <v>Leonard 21' Step Back Jump Shot (23 PTS) (Duncan 5 AST)</v>
      </c>
      <c r="L3386" s="2" t="str">
        <f>HYPERLINK("https://www.nba.com/game/...-vs-...-0021500061/play-by-play?watchFullGame=true", "SAS vs WAS - Q4 01:37.00")</f>
        <v>SAS vs WAS - Q4 01:37.00</v>
      </c>
      <c r="M3386">
        <v>21</v>
      </c>
      <c r="N3386">
        <v>-115</v>
      </c>
      <c r="O3386">
        <v>175</v>
      </c>
      <c r="P3386">
        <v>-115</v>
      </c>
      <c r="Q3386">
        <v>175</v>
      </c>
      <c r="R3386" t="s">
        <v>21</v>
      </c>
      <c r="S3386" t="s">
        <v>21</v>
      </c>
    </row>
    <row r="3387" spans="1:19" hidden="1" x14ac:dyDescent="0.25">
      <c r="A3387">
        <v>41600156</v>
      </c>
      <c r="B3387" t="s">
        <v>18</v>
      </c>
      <c r="C3387" t="s">
        <v>36</v>
      </c>
      <c r="D3387">
        <v>22</v>
      </c>
      <c r="E3387">
        <v>19</v>
      </c>
      <c r="F3387">
        <v>3</v>
      </c>
      <c r="G3387">
        <v>1</v>
      </c>
      <c r="H3387" s="1">
        <v>2.0717592592592593E-3</v>
      </c>
      <c r="I3387" t="s">
        <v>58</v>
      </c>
      <c r="J3387" t="s">
        <v>20</v>
      </c>
      <c r="K3387" s="2" t="str">
        <f>HYPERLINK("https://www.nba.com/stats/events?CFID=&amp;CFPARAMS=&amp;GameEventID=72&amp;GameID=0041600156&amp;Season=2016-17&amp;flag=1&amp;title=Leonard%2019'%20Pullup%20Jump%20Shot%20(4%20PTS)", "Leonard 19' Pullup Jump Shot (4 PTS)")</f>
        <v>Leonard 19' Pullup Jump Shot (4 PTS)</v>
      </c>
      <c r="L3387" s="2" t="str">
        <f>HYPERLINK("https://www.nba.com/game/...-vs-...-0041600156/play-by-play?watchFullGame=true", "SAS vs MEM - Q1 02:59.00")</f>
        <v>SAS vs MEM - Q1 02:59.00</v>
      </c>
      <c r="M3387">
        <v>19</v>
      </c>
      <c r="N3387">
        <v>-84</v>
      </c>
      <c r="O3387">
        <v>175</v>
      </c>
      <c r="P3387">
        <v>-84</v>
      </c>
      <c r="Q3387">
        <v>175</v>
      </c>
      <c r="R3387" t="s">
        <v>21</v>
      </c>
      <c r="S3387" t="s">
        <v>21</v>
      </c>
    </row>
    <row r="3388" spans="1:19" hidden="1" x14ac:dyDescent="0.25">
      <c r="A3388">
        <v>21600272</v>
      </c>
      <c r="B3388" t="s">
        <v>18</v>
      </c>
      <c r="C3388" t="s">
        <v>36</v>
      </c>
      <c r="D3388">
        <v>5</v>
      </c>
      <c r="E3388">
        <v>7</v>
      </c>
      <c r="F3388">
        <v>2</v>
      </c>
      <c r="G3388">
        <v>1</v>
      </c>
      <c r="H3388" s="1">
        <v>6.2384259259259259E-3</v>
      </c>
      <c r="I3388">
        <v>2016</v>
      </c>
      <c r="J3388" t="s">
        <v>20</v>
      </c>
      <c r="K3388" s="2" t="str">
        <f>HYPERLINK("https://www.nba.com/stats/events?CFID=&amp;CFPARAMS=&amp;GameEventID=27&amp;GameID=0021600272&amp;Season=2016-17&amp;flag=1&amp;title=Leonard%2018'%20Pullup%20Jump%20Shot%20(3%20PTS)", "Leonard 18' Pullup Jump Shot (3 PTS)")</f>
        <v>Leonard 18' Pullup Jump Shot (3 PTS)</v>
      </c>
      <c r="L3388" s="2" t="str">
        <f>HYPERLINK("https://www.nba.com/game/...-vs-...-0021600272/play-by-play?watchFullGame=true", "SAS vs DAL - Q1 08:59.00")</f>
        <v>SAS vs DAL - Q1 08:59.00</v>
      </c>
      <c r="M3388">
        <v>18</v>
      </c>
      <c r="N3388">
        <v>-37</v>
      </c>
      <c r="O3388">
        <v>175</v>
      </c>
      <c r="P3388">
        <v>-37</v>
      </c>
      <c r="Q3388">
        <v>175</v>
      </c>
      <c r="R3388" t="s">
        <v>21</v>
      </c>
      <c r="S3388" t="s">
        <v>21</v>
      </c>
    </row>
    <row r="3389" spans="1:19" hidden="1" x14ac:dyDescent="0.25">
      <c r="A3389">
        <v>21500516</v>
      </c>
      <c r="B3389" t="s">
        <v>18</v>
      </c>
      <c r="C3389" t="s">
        <v>19</v>
      </c>
      <c r="D3389">
        <v>29</v>
      </c>
      <c r="E3389">
        <v>30</v>
      </c>
      <c r="F3389">
        <v>1</v>
      </c>
      <c r="G3389">
        <v>1</v>
      </c>
      <c r="H3389" s="1">
        <v>1.2731481481481482E-5</v>
      </c>
      <c r="I3389">
        <v>2015</v>
      </c>
      <c r="J3389" t="s">
        <v>20</v>
      </c>
      <c r="K3389" s="2" t="str">
        <f>HYPERLINK("https://www.nba.com/stats/events?CFID=&amp;CFPARAMS=&amp;GameEventID=103&amp;GameID=0021500516&amp;Season=2015-16&amp;flag=1&amp;title=Leonard%2020'%20Jump%20Shot%20(11%20PTS)", "Leonard 20' Jump Shot (11 PTS)")</f>
        <v>Leonard 20' Jump Shot (11 PTS)</v>
      </c>
      <c r="L3389" s="2" t="str">
        <f>HYPERLINK("https://www.nba.com/game/...-vs-...-0021500516/play-by-play?watchFullGame=true", "SAS vs MIL - Q1 00:01.10")</f>
        <v>SAS vs MIL - Q1 00:01.10</v>
      </c>
      <c r="M3389">
        <v>20</v>
      </c>
      <c r="N3389">
        <v>89</v>
      </c>
      <c r="O3389">
        <v>175</v>
      </c>
      <c r="P3389">
        <v>89</v>
      </c>
      <c r="Q3389">
        <v>175</v>
      </c>
      <c r="R3389" t="s">
        <v>21</v>
      </c>
      <c r="S3389" t="s">
        <v>21</v>
      </c>
    </row>
    <row r="3390" spans="1:19" hidden="1" x14ac:dyDescent="0.25">
      <c r="A3390">
        <v>41400164</v>
      </c>
      <c r="B3390" t="s">
        <v>18</v>
      </c>
      <c r="C3390" t="s">
        <v>36</v>
      </c>
      <c r="D3390">
        <v>62</v>
      </c>
      <c r="E3390">
        <v>63</v>
      </c>
      <c r="F3390">
        <v>1</v>
      </c>
      <c r="G3390">
        <v>3</v>
      </c>
      <c r="H3390" s="1">
        <v>4.0625000000000001E-3</v>
      </c>
      <c r="I3390" t="s">
        <v>56</v>
      </c>
      <c r="J3390" t="s">
        <v>20</v>
      </c>
      <c r="K3390" s="2" t="str">
        <f>HYPERLINK("https://www.nba.com/stats/events?CFID=&amp;CFPARAMS=&amp;GameEventID=312&amp;GameID=0041400164&amp;Season=2014-15&amp;flag=1&amp;title=Leonard%2018'%20Pullup%20Jump%20Shot%20(14%20PTS)", "Leonard 18' Pullup Jump Shot (14 PTS)")</f>
        <v>Leonard 18' Pullup Jump Shot (14 PTS)</v>
      </c>
      <c r="L3390" s="2" t="str">
        <f>HYPERLINK("https://www.nba.com/game/...-vs-...-0041400164/play-by-play?watchFullGame=true", "SAS vs LAC - Q3 05:51.00")</f>
        <v>SAS vs LAC - Q3 05:51.00</v>
      </c>
      <c r="M3390">
        <v>18</v>
      </c>
      <c r="N3390">
        <v>2</v>
      </c>
      <c r="O3390">
        <v>176</v>
      </c>
      <c r="P3390">
        <v>2</v>
      </c>
      <c r="Q3390">
        <v>176</v>
      </c>
      <c r="R3390" t="s">
        <v>21</v>
      </c>
      <c r="S3390" t="s">
        <v>21</v>
      </c>
    </row>
    <row r="3391" spans="1:19" hidden="1" x14ac:dyDescent="0.25">
      <c r="A3391">
        <v>41300405</v>
      </c>
      <c r="B3391" t="s">
        <v>18</v>
      </c>
      <c r="C3391" t="s">
        <v>36</v>
      </c>
      <c r="D3391">
        <v>70</v>
      </c>
      <c r="E3391">
        <v>49</v>
      </c>
      <c r="F3391">
        <v>21</v>
      </c>
      <c r="G3391">
        <v>3</v>
      </c>
      <c r="H3391" s="1">
        <v>2.2106481481481482E-3</v>
      </c>
      <c r="I3391" t="s">
        <v>55</v>
      </c>
      <c r="J3391" t="s">
        <v>20</v>
      </c>
      <c r="K3391" s="2" t="str">
        <f>HYPERLINK("https://www.nba.com/stats/events?CFID=&amp;CFPARAMS=&amp;GameEventID=340&amp;GameID=0041300405&amp;Season=2013-14&amp;flag=1&amp;title=Leonard%2020'%20Pullup%20Jump%20Shot%20(20%20PTS)%20(Mills%201%20AST)", "Leonard 20' Pullup Jump Shot (20 PTS) (Mills 1 AST)")</f>
        <v>Leonard 20' Pullup Jump Shot (20 PTS) (Mills 1 AST)</v>
      </c>
      <c r="L3391" s="2" t="str">
        <f>HYPERLINK("https://www.nba.com/game/...-vs-...-0041300405/play-by-play?watchFullGame=true", "SAS vs MIA - Q3 03:11.00")</f>
        <v>SAS vs MIA - Q3 03:11.00</v>
      </c>
      <c r="M3391">
        <v>20</v>
      </c>
      <c r="N3391">
        <v>91</v>
      </c>
      <c r="O3391">
        <v>176</v>
      </c>
      <c r="P3391">
        <v>91</v>
      </c>
      <c r="Q3391">
        <v>176</v>
      </c>
      <c r="R3391" t="s">
        <v>21</v>
      </c>
      <c r="S3391" t="s">
        <v>21</v>
      </c>
    </row>
    <row r="3392" spans="1:19" hidden="1" x14ac:dyDescent="0.25">
      <c r="A3392">
        <v>21800549</v>
      </c>
      <c r="B3392" t="s">
        <v>18</v>
      </c>
      <c r="C3392" t="s">
        <v>36</v>
      </c>
      <c r="D3392">
        <v>13</v>
      </c>
      <c r="E3392">
        <v>5</v>
      </c>
      <c r="F3392">
        <v>8</v>
      </c>
      <c r="G3392">
        <v>1</v>
      </c>
      <c r="H3392" s="1">
        <v>5.185185185185185E-3</v>
      </c>
      <c r="I3392">
        <v>2018</v>
      </c>
      <c r="J3392" t="s">
        <v>48</v>
      </c>
      <c r="K3392" s="2" t="str">
        <f>HYPERLINK("https://www.nba.com/stats/events?CFID=&amp;CFPARAMS=&amp;GameEventID=46&amp;GameID=0021800549&amp;Season=2018-19&amp;flag=1&amp;title=Leonard%2019'%20Pullup%20Jump%20Shot%20(2%20PTS)", "Leonard 19' Pullup Jump Shot (2 PTS)")</f>
        <v>Leonard 19' Pullup Jump Shot (2 PTS)</v>
      </c>
      <c r="L3392" s="2" t="str">
        <f>HYPERLINK("https://www.nba.com/game/...-vs-...-0021800549/play-by-play?watchFullGame=true", "TOR vs UTA - Q1 07:28.00")</f>
        <v>TOR vs UTA - Q1 07:28.00</v>
      </c>
      <c r="M3392">
        <v>19</v>
      </c>
      <c r="N3392">
        <v>74</v>
      </c>
      <c r="O3392">
        <v>177</v>
      </c>
      <c r="P3392">
        <v>74</v>
      </c>
      <c r="Q3392">
        <v>177</v>
      </c>
      <c r="R3392" t="s">
        <v>21</v>
      </c>
      <c r="S3392" t="s">
        <v>21</v>
      </c>
    </row>
    <row r="3393" spans="1:19" hidden="1" x14ac:dyDescent="0.25">
      <c r="A3393">
        <v>21600834</v>
      </c>
      <c r="B3393" t="s">
        <v>18</v>
      </c>
      <c r="C3393" t="s">
        <v>36</v>
      </c>
      <c r="D3393">
        <v>58</v>
      </c>
      <c r="E3393">
        <v>39</v>
      </c>
      <c r="F3393">
        <v>19</v>
      </c>
      <c r="G3393">
        <v>3</v>
      </c>
      <c r="H3393" s="1">
        <v>7.5462962962962966E-3</v>
      </c>
      <c r="I3393">
        <v>2016</v>
      </c>
      <c r="J3393" t="s">
        <v>20</v>
      </c>
      <c r="K3393" s="2" t="str">
        <f>HYPERLINK("https://www.nba.com/stats/events?CFID=&amp;CFPARAMS=&amp;GameEventID=280&amp;GameID=0021600834&amp;Season=2016-17&amp;flag=1&amp;title=Leonard%2021'%20Pullup%20Jump%20Shot%20(17%20PTS)%20(Aldridge%202%20AST)", "Leonard 21' Pullup Jump Shot (17 PTS) (Aldridge 2 AST)")</f>
        <v>Leonard 21' Pullup Jump Shot (17 PTS) (Aldridge 2 AST)</v>
      </c>
      <c r="L3393" s="2" t="str">
        <f>HYPERLINK("https://www.nba.com/game/...-vs-...-0021600834/play-by-play?watchFullGame=true", "SAS vs ORL - Q3 10:52.00")</f>
        <v>SAS vs ORL - Q3 10:52.00</v>
      </c>
      <c r="M3393">
        <v>21</v>
      </c>
      <c r="N3393">
        <v>-107</v>
      </c>
      <c r="O3393">
        <v>178</v>
      </c>
      <c r="P3393">
        <v>-107</v>
      </c>
      <c r="Q3393">
        <v>178</v>
      </c>
      <c r="R3393" t="s">
        <v>21</v>
      </c>
      <c r="S3393" t="s">
        <v>21</v>
      </c>
    </row>
    <row r="3394" spans="1:19" hidden="1" x14ac:dyDescent="0.25">
      <c r="A3394">
        <v>21800388</v>
      </c>
      <c r="B3394" t="s">
        <v>18</v>
      </c>
      <c r="C3394" t="s">
        <v>36</v>
      </c>
      <c r="D3394">
        <v>91</v>
      </c>
      <c r="E3394">
        <v>92</v>
      </c>
      <c r="F3394">
        <v>1</v>
      </c>
      <c r="G3394">
        <v>4</v>
      </c>
      <c r="H3394" s="1">
        <v>2.8009259259259259E-3</v>
      </c>
      <c r="I3394">
        <v>2018</v>
      </c>
      <c r="J3394" t="s">
        <v>48</v>
      </c>
      <c r="K3394" s="2" t="str">
        <f>HYPERLINK("https://www.nba.com/stats/events?CFID=&amp;CFPARAMS=&amp;GameEventID=619&amp;GameID=0021800388&amp;Season=2018-19&amp;flag=1&amp;title=Leonard%2018'%20Pullup%20Jump%20Shot%20(17%20PTS)", "Leonard 18' Pullup Jump Shot (17 PTS)")</f>
        <v>Leonard 18' Pullup Jump Shot (17 PTS)</v>
      </c>
      <c r="L3394" s="2" t="str">
        <f>HYPERLINK("https://www.nba.com/game/...-vs-...-0021800388/play-by-play?watchFullGame=true", "TOR vs MIL - Q4 04:02.00")</f>
        <v>TOR vs MIL - Q4 04:02.00</v>
      </c>
      <c r="M3394">
        <v>18</v>
      </c>
      <c r="N3394">
        <v>31</v>
      </c>
      <c r="O3394">
        <v>178</v>
      </c>
      <c r="P3394">
        <v>31</v>
      </c>
      <c r="Q3394">
        <v>178</v>
      </c>
      <c r="R3394" t="s">
        <v>21</v>
      </c>
      <c r="S3394" t="s">
        <v>21</v>
      </c>
    </row>
    <row r="3395" spans="1:19" hidden="1" x14ac:dyDescent="0.25">
      <c r="A3395">
        <v>21600942</v>
      </c>
      <c r="B3395" t="s">
        <v>18</v>
      </c>
      <c r="C3395" t="s">
        <v>36</v>
      </c>
      <c r="D3395">
        <v>2</v>
      </c>
      <c r="E3395">
        <v>0</v>
      </c>
      <c r="F3395">
        <v>2</v>
      </c>
      <c r="G3395">
        <v>1</v>
      </c>
      <c r="H3395" s="1">
        <v>7.8472222222222224E-3</v>
      </c>
      <c r="I3395">
        <v>2016</v>
      </c>
      <c r="J3395" t="s">
        <v>20</v>
      </c>
      <c r="K3395" s="2" t="str">
        <f>HYPERLINK("https://www.nba.com/stats/events?CFID=&amp;CFPARAMS=&amp;GameEventID=6&amp;GameID=0021600942&amp;Season=2016-17&amp;flag=1&amp;title=Leonard%2018'%20Pullup%20Jump%20Shot%20(2%20PTS)", "Leonard 18' Pullup Jump Shot (2 PTS)")</f>
        <v>Leonard 18' Pullup Jump Shot (2 PTS)</v>
      </c>
      <c r="L3395" s="2" t="str">
        <f>HYPERLINK("https://www.nba.com/game/...-vs-...-0021600942/play-by-play?watchFullGame=true", "SAS vs HOU - Q1 11:18.00")</f>
        <v>SAS vs HOU - Q1 11:18.00</v>
      </c>
      <c r="M3395">
        <v>18</v>
      </c>
      <c r="N3395">
        <v>38</v>
      </c>
      <c r="O3395">
        <v>178</v>
      </c>
      <c r="P3395">
        <v>38</v>
      </c>
      <c r="Q3395">
        <v>178</v>
      </c>
      <c r="R3395" t="s">
        <v>21</v>
      </c>
      <c r="S3395" t="s">
        <v>21</v>
      </c>
    </row>
    <row r="3396" spans="1:19" hidden="1" x14ac:dyDescent="0.25">
      <c r="A3396">
        <v>21400354</v>
      </c>
      <c r="B3396" t="s">
        <v>18</v>
      </c>
      <c r="C3396" t="s">
        <v>19</v>
      </c>
      <c r="D3396">
        <v>22</v>
      </c>
      <c r="E3396">
        <v>22</v>
      </c>
      <c r="F3396">
        <v>0</v>
      </c>
      <c r="G3396">
        <v>2</v>
      </c>
      <c r="H3396" s="1">
        <v>7.9861111111111105E-3</v>
      </c>
      <c r="I3396">
        <v>2014</v>
      </c>
      <c r="J3396" t="s">
        <v>20</v>
      </c>
      <c r="K3396" s="2" t="str">
        <f>HYPERLINK("https://www.nba.com/stats/events?CFID=&amp;CFPARAMS=&amp;GameEventID=129&amp;GameID=0021400354&amp;Season=2014-15&amp;flag=1&amp;title=Leonard%2019'%20Jump%20Shot%20(2%20PTS)%20(Diaw%202%20AST)", "Leonard 19' Jump Shot (2 PTS) (Diaw 2 AST)")</f>
        <v>Leonard 19' Jump Shot (2 PTS) (Diaw 2 AST)</v>
      </c>
      <c r="L3396" s="2" t="str">
        <f>HYPERLINK("https://www.nba.com/game/...-vs-...-0021400354/play-by-play?watchFullGame=true", "SAS vs DEN - Q2 11:30.00")</f>
        <v>SAS vs DEN - Q2 11:30.00</v>
      </c>
      <c r="M3396">
        <v>19</v>
      </c>
      <c r="N3396">
        <v>67</v>
      </c>
      <c r="O3396">
        <v>178</v>
      </c>
      <c r="P3396">
        <v>67</v>
      </c>
      <c r="Q3396">
        <v>178</v>
      </c>
      <c r="R3396" t="s">
        <v>21</v>
      </c>
      <c r="S3396" t="s">
        <v>21</v>
      </c>
    </row>
    <row r="3397" spans="1:19" hidden="1" x14ac:dyDescent="0.25">
      <c r="A3397">
        <v>21600053</v>
      </c>
      <c r="B3397" t="s">
        <v>18</v>
      </c>
      <c r="C3397" t="s">
        <v>19</v>
      </c>
      <c r="D3397">
        <v>39</v>
      </c>
      <c r="E3397">
        <v>47</v>
      </c>
      <c r="F3397">
        <v>8</v>
      </c>
      <c r="G3397">
        <v>2</v>
      </c>
      <c r="H3397" s="1">
        <v>3.7731481481481483E-3</v>
      </c>
      <c r="I3397">
        <v>2016</v>
      </c>
      <c r="J3397" t="s">
        <v>20</v>
      </c>
      <c r="K3397" s="2" t="str">
        <f>HYPERLINK("https://www.nba.com/stats/events?CFID=&amp;CFPARAMS=&amp;GameEventID=177&amp;GameID=0021600053&amp;Season=2016-17&amp;flag=1&amp;title=Leonard%2019'%20Jump%20Shot%20(13%20PTS)%20(Parker%205%20AST)", "Leonard 19' Jump Shot (13 PTS) (Parker 5 AST)")</f>
        <v>Leonard 19' Jump Shot (13 PTS) (Parker 5 AST)</v>
      </c>
      <c r="L3397" s="2" t="str">
        <f>HYPERLINK("https://www.nba.com/game/...-vs-...-0021600053/play-by-play?watchFullGame=true", "SAS vs UTA - Q2 05:26.00")</f>
        <v>SAS vs UTA - Q2 05:26.00</v>
      </c>
      <c r="M3397">
        <v>19</v>
      </c>
      <c r="N3397">
        <v>74</v>
      </c>
      <c r="O3397">
        <v>178</v>
      </c>
      <c r="P3397">
        <v>74</v>
      </c>
      <c r="Q3397">
        <v>178</v>
      </c>
      <c r="R3397" t="s">
        <v>21</v>
      </c>
      <c r="S3397" t="s">
        <v>21</v>
      </c>
    </row>
    <row r="3398" spans="1:19" hidden="1" x14ac:dyDescent="0.25">
      <c r="A3398">
        <v>21600525</v>
      </c>
      <c r="B3398" t="s">
        <v>18</v>
      </c>
      <c r="C3398" t="s">
        <v>36</v>
      </c>
      <c r="D3398">
        <v>4</v>
      </c>
      <c r="E3398">
        <v>2</v>
      </c>
      <c r="F3398">
        <v>2</v>
      </c>
      <c r="G3398">
        <v>1</v>
      </c>
      <c r="H3398" s="1">
        <v>7.2453703703703708E-3</v>
      </c>
      <c r="I3398">
        <v>2016</v>
      </c>
      <c r="J3398" t="s">
        <v>20</v>
      </c>
      <c r="K3398" s="2" t="str">
        <f>HYPERLINK("https://www.nba.com/stats/events?CFID=&amp;CFPARAMS=&amp;GameEventID=13&amp;GameID=0021600525&amp;Season=2016-17&amp;flag=1&amp;title=Leonard%2019'%20Pullup%20Jump%20Shot%20(2%20PTS)", "Leonard 19' Pullup Jump Shot (2 PTS)")</f>
        <v>Leonard 19' Pullup Jump Shot (2 PTS)</v>
      </c>
      <c r="L3398" s="2" t="str">
        <f>HYPERLINK("https://www.nba.com/game/...-vs-...-0021600525/play-by-play?watchFullGame=true", "SAS vs TOR - Q1 10:26.00")</f>
        <v>SAS vs TOR - Q1 10:26.00</v>
      </c>
      <c r="M3398">
        <v>19</v>
      </c>
      <c r="N3398">
        <v>74</v>
      </c>
      <c r="O3398">
        <v>178</v>
      </c>
      <c r="P3398">
        <v>74</v>
      </c>
      <c r="Q3398">
        <v>178</v>
      </c>
      <c r="R3398" t="s">
        <v>21</v>
      </c>
      <c r="S3398" t="s">
        <v>21</v>
      </c>
    </row>
    <row r="3399" spans="1:19" hidden="1" x14ac:dyDescent="0.25">
      <c r="A3399">
        <v>21600086</v>
      </c>
      <c r="B3399" t="s">
        <v>18</v>
      </c>
      <c r="C3399" t="s">
        <v>19</v>
      </c>
      <c r="D3399">
        <v>10</v>
      </c>
      <c r="E3399">
        <v>5</v>
      </c>
      <c r="F3399">
        <v>5</v>
      </c>
      <c r="G3399">
        <v>1</v>
      </c>
      <c r="H3399" s="1">
        <v>6.3888888888888893E-3</v>
      </c>
      <c r="I3399">
        <v>2016</v>
      </c>
      <c r="J3399" t="s">
        <v>20</v>
      </c>
      <c r="K3399" s="2" t="str">
        <f>HYPERLINK("https://www.nba.com/stats/events?CFID=&amp;CFPARAMS=&amp;GameEventID=25&amp;GameID=0021600086&amp;Season=2016-17&amp;flag=1&amp;title=Leonard%2020'%20Jump%20Shot%20(4%20PTS)%20(Mills%201%20AST)", "Leonard 20' Jump Shot (4 PTS) (Mills 1 AST)")</f>
        <v>Leonard 20' Jump Shot (4 PTS) (Mills 1 AST)</v>
      </c>
      <c r="L3399" s="2" t="str">
        <f>HYPERLINK("https://www.nba.com/game/...-vs-...-0021600086/play-by-play?watchFullGame=true", "SAS vs LAC - Q1 09:12.00")</f>
        <v>SAS vs LAC - Q1 09:12.00</v>
      </c>
      <c r="M3399">
        <v>20</v>
      </c>
      <c r="N3399">
        <v>96</v>
      </c>
      <c r="O3399">
        <v>178</v>
      </c>
      <c r="P3399">
        <v>96</v>
      </c>
      <c r="Q3399">
        <v>178</v>
      </c>
      <c r="R3399" t="s">
        <v>21</v>
      </c>
      <c r="S3399" t="s">
        <v>21</v>
      </c>
    </row>
    <row r="3400" spans="1:19" hidden="1" x14ac:dyDescent="0.25">
      <c r="A3400">
        <v>21300082</v>
      </c>
      <c r="B3400" t="s">
        <v>18</v>
      </c>
      <c r="C3400" t="s">
        <v>39</v>
      </c>
      <c r="D3400">
        <v>46</v>
      </c>
      <c r="E3400">
        <v>40</v>
      </c>
      <c r="F3400">
        <v>6</v>
      </c>
      <c r="G3400">
        <v>3</v>
      </c>
      <c r="H3400" s="1">
        <v>6.7245370370370367E-3</v>
      </c>
      <c r="I3400">
        <v>2013</v>
      </c>
      <c r="J3400" t="s">
        <v>20</v>
      </c>
      <c r="K3400" s="2" t="str">
        <f>HYPERLINK("https://www.nba.com/stats/events?CFID=&amp;CFPARAMS=&amp;GameEventID=246&amp;GameID=0021300082&amp;Season=2013-14&amp;flag=1&amp;title=Leonard%2018'%20Step%20Back%20Jump%20Shot%20(11%20PTS)", "Leonard 18' Step Back Jump Shot (11 PTS)")</f>
        <v>Leonard 18' Step Back Jump Shot (11 PTS)</v>
      </c>
      <c r="L3400" s="2" t="str">
        <f>HYPERLINK("https://www.nba.com/game/...-vs-...-0021300082/play-by-play?watchFullGame=true", "SAS vs GSW - Q3 09:41.00")</f>
        <v>SAS vs GSW - Q3 09:41.00</v>
      </c>
      <c r="M3400">
        <v>18</v>
      </c>
      <c r="N3400">
        <v>-7</v>
      </c>
      <c r="O3400">
        <v>179</v>
      </c>
      <c r="P3400">
        <v>-7</v>
      </c>
      <c r="Q3400">
        <v>179</v>
      </c>
      <c r="R3400" t="s">
        <v>21</v>
      </c>
      <c r="S3400" t="s">
        <v>21</v>
      </c>
    </row>
    <row r="3401" spans="1:19" hidden="1" x14ac:dyDescent="0.25">
      <c r="A3401">
        <v>21301154</v>
      </c>
      <c r="B3401" t="s">
        <v>18</v>
      </c>
      <c r="C3401" t="s">
        <v>19</v>
      </c>
      <c r="D3401">
        <v>73</v>
      </c>
      <c r="E3401">
        <v>49</v>
      </c>
      <c r="F3401">
        <v>24</v>
      </c>
      <c r="G3401">
        <v>3</v>
      </c>
      <c r="H3401" s="1">
        <v>4.6759259259259263E-3</v>
      </c>
      <c r="I3401">
        <v>2013</v>
      </c>
      <c r="J3401" t="s">
        <v>20</v>
      </c>
      <c r="K3401" s="2" t="str">
        <f>HYPERLINK("https://www.nba.com/stats/events?CFID=&amp;CFPARAMS=&amp;GameEventID=293&amp;GameID=0021301154&amp;Season=2013-14&amp;flag=1&amp;title=Leonard%2018'%20Jump%20Shot%20(19%20PTS)", "Leonard 18' Jump Shot (19 PTS)")</f>
        <v>Leonard 18' Jump Shot (19 PTS)</v>
      </c>
      <c r="L3401" s="2" t="str">
        <f>HYPERLINK("https://www.nba.com/game/...-vs-...-0021301154/play-by-play?watchFullGame=true", "SAS vs MEM - Q3 06:44.00")</f>
        <v>SAS vs MEM - Q3 06:44.00</v>
      </c>
      <c r="M3401">
        <v>18</v>
      </c>
      <c r="N3401">
        <v>-2</v>
      </c>
      <c r="O3401">
        <v>179</v>
      </c>
      <c r="P3401">
        <v>-2</v>
      </c>
      <c r="Q3401">
        <v>179</v>
      </c>
      <c r="R3401" t="s">
        <v>21</v>
      </c>
      <c r="S3401" t="s">
        <v>21</v>
      </c>
    </row>
    <row r="3402" spans="1:19" hidden="1" x14ac:dyDescent="0.25">
      <c r="A3402">
        <v>21301068</v>
      </c>
      <c r="B3402" t="s">
        <v>18</v>
      </c>
      <c r="C3402" t="s">
        <v>19</v>
      </c>
      <c r="D3402">
        <v>7</v>
      </c>
      <c r="E3402">
        <v>4</v>
      </c>
      <c r="F3402">
        <v>3</v>
      </c>
      <c r="G3402">
        <v>1</v>
      </c>
      <c r="H3402" s="1">
        <v>7.1180555555555554E-3</v>
      </c>
      <c r="I3402">
        <v>2013</v>
      </c>
      <c r="J3402" t="s">
        <v>20</v>
      </c>
      <c r="K3402" s="2" t="str">
        <f>HYPERLINK("https://www.nba.com/stats/events?CFID=&amp;CFPARAMS=&amp;GameEventID=12&amp;GameID=0021301068&amp;Season=2013-14&amp;flag=1&amp;title=Leonard%2019'%20Jump%20Shot%20(5%20PTS)", "Leonard 19' Jump Shot (5 PTS)")</f>
        <v>Leonard 19' Jump Shot (5 PTS)</v>
      </c>
      <c r="L3402" s="2" t="str">
        <f>HYPERLINK("https://www.nba.com/game/...-vs-...-0021301068/play-by-play?watchFullGame=true", "SAS vs DEN - Q1 10:15.00")</f>
        <v>SAS vs DEN - Q1 10:15.00</v>
      </c>
      <c r="M3402">
        <v>19</v>
      </c>
      <c r="N3402">
        <v>72</v>
      </c>
      <c r="O3402">
        <v>179</v>
      </c>
      <c r="P3402">
        <v>72</v>
      </c>
      <c r="Q3402">
        <v>179</v>
      </c>
      <c r="R3402" t="s">
        <v>21</v>
      </c>
      <c r="S3402" t="s">
        <v>21</v>
      </c>
    </row>
    <row r="3403" spans="1:19" hidden="1" x14ac:dyDescent="0.25">
      <c r="A3403">
        <v>41800214</v>
      </c>
      <c r="B3403" t="s">
        <v>18</v>
      </c>
      <c r="C3403" t="s">
        <v>39</v>
      </c>
      <c r="D3403">
        <v>59</v>
      </c>
      <c r="E3403">
        <v>62</v>
      </c>
      <c r="F3403">
        <v>3</v>
      </c>
      <c r="G3403">
        <v>3</v>
      </c>
      <c r="H3403" s="1">
        <v>4.0393518518518521E-3</v>
      </c>
      <c r="I3403" t="s">
        <v>60</v>
      </c>
      <c r="J3403" t="s">
        <v>48</v>
      </c>
      <c r="K3403" s="2" t="str">
        <f>HYPERLINK("https://www.nba.com/stats/events?CFID=&amp;CFPARAMS=&amp;GameEventID=401&amp;GameID=0041800214&amp;Season=2018-19&amp;flag=1&amp;title=Leonard%2018'%20Step%20Back%20Jump%20Shot%20(25%20PTS)%20(Siakam%202%20AST)", "Leonard 18' Step Back Jump Shot (25 PTS) (Siakam 2 AST)")</f>
        <v>Leonard 18' Step Back Jump Shot (25 PTS) (Siakam 2 AST)</v>
      </c>
      <c r="L3403" s="2" t="str">
        <f>HYPERLINK("https://www.nba.com/game/...-vs-...-0041800214/play-by-play?watchFullGame=true", "TOR vs PHI - Q3 05:49.00")</f>
        <v>TOR vs PHI - Q3 05:49.00</v>
      </c>
      <c r="M3403">
        <v>18</v>
      </c>
      <c r="N3403">
        <v>-5</v>
      </c>
      <c r="O3403">
        <v>180</v>
      </c>
      <c r="P3403">
        <v>-5</v>
      </c>
      <c r="Q3403">
        <v>180</v>
      </c>
      <c r="R3403" t="s">
        <v>21</v>
      </c>
      <c r="S3403" t="s">
        <v>21</v>
      </c>
    </row>
    <row r="3404" spans="1:19" hidden="1" x14ac:dyDescent="0.25">
      <c r="A3404">
        <v>41600232</v>
      </c>
      <c r="B3404" t="s">
        <v>18</v>
      </c>
      <c r="C3404" t="s">
        <v>36</v>
      </c>
      <c r="D3404">
        <v>43</v>
      </c>
      <c r="E3404">
        <v>39</v>
      </c>
      <c r="F3404">
        <v>4</v>
      </c>
      <c r="G3404">
        <v>2</v>
      </c>
      <c r="H3404" s="1">
        <v>5.8449074074074072E-3</v>
      </c>
      <c r="I3404" t="s">
        <v>58</v>
      </c>
      <c r="J3404" t="s">
        <v>20</v>
      </c>
      <c r="K3404" s="2" t="str">
        <f>HYPERLINK("https://www.nba.com/stats/events?CFID=&amp;CFPARAMS=&amp;GameEventID=128&amp;GameID=0041600232&amp;Season=2016-17&amp;flag=1&amp;title=Leonard%2019'%20Pullup%20Jump%20Shot%20(14%20PTS)", "Leonard 19' Pullup Jump Shot (14 PTS)")</f>
        <v>Leonard 19' Pullup Jump Shot (14 PTS)</v>
      </c>
      <c r="L3404" s="2" t="str">
        <f>HYPERLINK("https://www.nba.com/game/...-vs-...-0041600232/play-by-play?watchFullGame=true", "SAS vs HOU - Q2 08:25.00")</f>
        <v>SAS vs HOU - Q2 08:25.00</v>
      </c>
      <c r="M3404">
        <v>19</v>
      </c>
      <c r="N3404">
        <v>43</v>
      </c>
      <c r="O3404">
        <v>180</v>
      </c>
      <c r="P3404">
        <v>43</v>
      </c>
      <c r="Q3404">
        <v>180</v>
      </c>
      <c r="R3404" t="s">
        <v>21</v>
      </c>
      <c r="S3404" t="s">
        <v>21</v>
      </c>
    </row>
    <row r="3405" spans="1:19" hidden="1" x14ac:dyDescent="0.25">
      <c r="A3405">
        <v>21800271</v>
      </c>
      <c r="B3405" t="s">
        <v>18</v>
      </c>
      <c r="C3405" t="s">
        <v>36</v>
      </c>
      <c r="D3405">
        <v>10</v>
      </c>
      <c r="E3405">
        <v>7</v>
      </c>
      <c r="F3405">
        <v>3</v>
      </c>
      <c r="G3405">
        <v>1</v>
      </c>
      <c r="H3405" s="1">
        <v>6.3194444444444444E-3</v>
      </c>
      <c r="I3405">
        <v>2018</v>
      </c>
      <c r="J3405" t="s">
        <v>48</v>
      </c>
      <c r="K3405" s="2" t="str">
        <f>HYPERLINK("https://www.nba.com/stats/events?CFID=&amp;CFPARAMS=&amp;GameEventID=38&amp;GameID=0021800271&amp;Season=2018-19&amp;flag=1&amp;title=Leonard%2020'%20Pullup%20Jump%20Shot%20(4%20PTS)", "Leonard 20' Pullup Jump Shot (4 PTS)")</f>
        <v>Leonard 20' Pullup Jump Shot (4 PTS)</v>
      </c>
      <c r="L3405" s="2" t="str">
        <f>HYPERLINK("https://www.nba.com/game/...-vs-...-0021800271/play-by-play?watchFullGame=true", "TOR vs WAS - Q1 09:06.00")</f>
        <v>TOR vs WAS - Q1 09:06.00</v>
      </c>
      <c r="M3405">
        <v>20</v>
      </c>
      <c r="N3405">
        <v>-95</v>
      </c>
      <c r="O3405">
        <v>181</v>
      </c>
      <c r="P3405">
        <v>-95</v>
      </c>
      <c r="Q3405">
        <v>181</v>
      </c>
      <c r="R3405" t="s">
        <v>21</v>
      </c>
      <c r="S3405" t="s">
        <v>21</v>
      </c>
    </row>
    <row r="3406" spans="1:19" hidden="1" x14ac:dyDescent="0.25">
      <c r="A3406">
        <v>21400739</v>
      </c>
      <c r="B3406" t="s">
        <v>18</v>
      </c>
      <c r="C3406" t="s">
        <v>19</v>
      </c>
      <c r="D3406">
        <v>100</v>
      </c>
      <c r="E3406">
        <v>96</v>
      </c>
      <c r="F3406">
        <v>4</v>
      </c>
      <c r="G3406">
        <v>4</v>
      </c>
      <c r="H3406" s="1">
        <v>2.1296296296296298E-3</v>
      </c>
      <c r="I3406">
        <v>2014</v>
      </c>
      <c r="J3406" t="s">
        <v>20</v>
      </c>
      <c r="K3406" s="2" t="str">
        <f>HYPERLINK("https://www.nba.com/stats/events?CFID=&amp;CFPARAMS=&amp;GameEventID=399&amp;GameID=0021400739&amp;Season=2014-15&amp;flag=1&amp;title=Leonard%2022'%20Jump%20Shot%20(16%20PTS)%20(Diaw%203%20AST)", "Leonard 22' Jump Shot (16 PTS) (Diaw 3 AST)")</f>
        <v>Leonard 22' Jump Shot (16 PTS) (Diaw 3 AST)</v>
      </c>
      <c r="L3406" s="2" t="str">
        <f>HYPERLINK("https://www.nba.com/game/...-vs-...-0021400739/play-by-play?watchFullGame=true", "SAS vs ORL - Q4 03:04.00")</f>
        <v>SAS vs ORL - Q4 03:04.00</v>
      </c>
      <c r="M3406">
        <v>22</v>
      </c>
      <c r="N3406">
        <v>132</v>
      </c>
      <c r="O3406">
        <v>181</v>
      </c>
      <c r="P3406">
        <v>132</v>
      </c>
      <c r="Q3406">
        <v>181</v>
      </c>
      <c r="R3406" t="s">
        <v>21</v>
      </c>
      <c r="S3406" t="s">
        <v>21</v>
      </c>
    </row>
    <row r="3407" spans="1:19" hidden="1" x14ac:dyDescent="0.25">
      <c r="A3407">
        <v>21500960</v>
      </c>
      <c r="B3407" t="s">
        <v>18</v>
      </c>
      <c r="C3407" t="s">
        <v>36</v>
      </c>
      <c r="D3407">
        <v>66</v>
      </c>
      <c r="E3407">
        <v>60</v>
      </c>
      <c r="F3407">
        <v>6</v>
      </c>
      <c r="G3407">
        <v>3</v>
      </c>
      <c r="H3407" s="1">
        <v>4.5254629629629629E-3</v>
      </c>
      <c r="I3407">
        <v>2015</v>
      </c>
      <c r="J3407" t="s">
        <v>20</v>
      </c>
      <c r="K3407" s="2" t="str">
        <f>HYPERLINK("https://www.nba.com/stats/events?CFID=&amp;CFPARAMS=&amp;GameEventID=311&amp;GameID=0021500960&amp;Season=2015-16&amp;flag=1&amp;title=Leonard%2021'%20Pullup%20Jump%20Shot%20(16%20PTS)%20(Duncan%203%20AST)", "Leonard 21' Pullup Jump Shot (16 PTS) (Duncan 3 AST)")</f>
        <v>Leonard 21' Pullup Jump Shot (16 PTS) (Duncan 3 AST)</v>
      </c>
      <c r="L3407" s="2" t="str">
        <f>HYPERLINK("https://www.nba.com/game/...-vs-...-0021500960/play-by-play?watchFullGame=true", "SAS vs CHI - Q3 06:31.00")</f>
        <v>SAS vs CHI - Q3 06:31.00</v>
      </c>
      <c r="M3407">
        <v>21</v>
      </c>
      <c r="N3407">
        <v>-97</v>
      </c>
      <c r="O3407">
        <v>183</v>
      </c>
      <c r="P3407">
        <v>-97</v>
      </c>
      <c r="Q3407">
        <v>183</v>
      </c>
      <c r="R3407" t="s">
        <v>21</v>
      </c>
      <c r="S3407" t="s">
        <v>21</v>
      </c>
    </row>
    <row r="3408" spans="1:19" hidden="1" x14ac:dyDescent="0.25">
      <c r="A3408">
        <v>21601209</v>
      </c>
      <c r="B3408" t="s">
        <v>18</v>
      </c>
      <c r="C3408" t="s">
        <v>19</v>
      </c>
      <c r="D3408">
        <v>32</v>
      </c>
      <c r="E3408">
        <v>34</v>
      </c>
      <c r="F3408">
        <v>2</v>
      </c>
      <c r="G3408">
        <v>2</v>
      </c>
      <c r="H3408" s="1">
        <v>4.6180555555555558E-3</v>
      </c>
      <c r="I3408">
        <v>2016</v>
      </c>
      <c r="J3408" t="s">
        <v>20</v>
      </c>
      <c r="K3408" s="2" t="str">
        <f>HYPERLINK("https://www.nba.com/stats/events?CFID=&amp;CFPARAMS=&amp;GameEventID=180&amp;GameID=0021601209&amp;Season=2016-17&amp;flag=1&amp;title=Leonard%2019'%20Jump%20Shot%20(7%20PTS)%20(Bertans%201%20AST)", "Leonard 19' Jump Shot (7 PTS) (Bertans 1 AST)")</f>
        <v>Leonard 19' Jump Shot (7 PTS) (Bertans 1 AST)</v>
      </c>
      <c r="L3408" s="2" t="str">
        <f>HYPERLINK("https://www.nba.com/game/...-vs-...-0021601209/play-by-play?watchFullGame=true", "SAS vs POR - Q2 06:39.00")</f>
        <v>SAS vs POR - Q2 06:39.00</v>
      </c>
      <c r="M3408">
        <v>19</v>
      </c>
      <c r="N3408">
        <v>-56</v>
      </c>
      <c r="O3408">
        <v>183</v>
      </c>
      <c r="P3408">
        <v>-56</v>
      </c>
      <c r="Q3408">
        <v>183</v>
      </c>
      <c r="R3408" t="s">
        <v>21</v>
      </c>
      <c r="S3408" t="s">
        <v>21</v>
      </c>
    </row>
    <row r="3409" spans="1:19" hidden="1" x14ac:dyDescent="0.25">
      <c r="A3409">
        <v>21400108</v>
      </c>
      <c r="B3409" t="s">
        <v>18</v>
      </c>
      <c r="C3409" t="s">
        <v>36</v>
      </c>
      <c r="D3409">
        <v>6</v>
      </c>
      <c r="E3409">
        <v>6</v>
      </c>
      <c r="F3409">
        <v>0</v>
      </c>
      <c r="G3409">
        <v>1</v>
      </c>
      <c r="H3409" s="1">
        <v>6.4930555555555557E-3</v>
      </c>
      <c r="I3409">
        <v>2014</v>
      </c>
      <c r="J3409" t="s">
        <v>20</v>
      </c>
      <c r="K3409" s="2" t="str">
        <f>HYPERLINK("https://www.nba.com/stats/events?CFID=&amp;CFPARAMS=&amp;GameEventID=24&amp;GameID=0021400108&amp;Season=2014-15&amp;flag=1&amp;title=Leonard%2019'%20Pullup%20Jump%20Shot%20(2%20PTS)", "Leonard 19' Pullup Jump Shot (2 PTS)")</f>
        <v>Leonard 19' Pullup Jump Shot (2 PTS)</v>
      </c>
      <c r="L3409" s="2" t="str">
        <f>HYPERLINK("https://www.nba.com/game/...-vs-...-0021400108/play-by-play?watchFullGame=true", "SAS vs GSW - Q1 09:21.00")</f>
        <v>SAS vs GSW - Q1 09:21.00</v>
      </c>
      <c r="M3409">
        <v>19</v>
      </c>
      <c r="N3409">
        <v>64</v>
      </c>
      <c r="O3409">
        <v>183</v>
      </c>
      <c r="P3409">
        <v>64</v>
      </c>
      <c r="Q3409">
        <v>183</v>
      </c>
      <c r="R3409" t="s">
        <v>21</v>
      </c>
      <c r="S3409" t="s">
        <v>21</v>
      </c>
    </row>
    <row r="3410" spans="1:19" hidden="1" x14ac:dyDescent="0.25">
      <c r="A3410">
        <v>41400161</v>
      </c>
      <c r="B3410" t="s">
        <v>18</v>
      </c>
      <c r="C3410" t="s">
        <v>36</v>
      </c>
      <c r="D3410">
        <v>41</v>
      </c>
      <c r="E3410">
        <v>45</v>
      </c>
      <c r="F3410">
        <v>4</v>
      </c>
      <c r="G3410">
        <v>2</v>
      </c>
      <c r="H3410" s="1">
        <v>8.3333333333333339E-4</v>
      </c>
      <c r="I3410" t="s">
        <v>56</v>
      </c>
      <c r="J3410" t="s">
        <v>20</v>
      </c>
      <c r="K3410" s="2" t="str">
        <f>HYPERLINK("https://www.nba.com/stats/events?CFID=&amp;CFPARAMS=&amp;GameEventID=278&amp;GameID=0041400161&amp;Season=2014-15&amp;flag=1&amp;title=Leonard%2020'%20Pullup%20Jump%20Shot%20(9%20PTS)", "Leonard 20' Pullup Jump Shot (9 PTS)")</f>
        <v>Leonard 20' Pullup Jump Shot (9 PTS)</v>
      </c>
      <c r="L3410" s="2" t="str">
        <f>HYPERLINK("https://www.nba.com/game/...-vs-...-0041400161/play-by-play?watchFullGame=true", "SAS vs LAC - Q2 01:12.00")</f>
        <v>SAS vs LAC - Q2 01:12.00</v>
      </c>
      <c r="M3410">
        <v>20</v>
      </c>
      <c r="N3410">
        <v>69</v>
      </c>
      <c r="O3410">
        <v>183</v>
      </c>
      <c r="P3410">
        <v>69</v>
      </c>
      <c r="Q3410">
        <v>183</v>
      </c>
      <c r="R3410" t="s">
        <v>21</v>
      </c>
      <c r="S3410" t="s">
        <v>21</v>
      </c>
    </row>
    <row r="3411" spans="1:19" hidden="1" x14ac:dyDescent="0.25">
      <c r="A3411">
        <v>21800316</v>
      </c>
      <c r="B3411" t="s">
        <v>18</v>
      </c>
      <c r="C3411" t="s">
        <v>36</v>
      </c>
      <c r="D3411">
        <v>111</v>
      </c>
      <c r="E3411">
        <v>104</v>
      </c>
      <c r="F3411">
        <v>7</v>
      </c>
      <c r="G3411">
        <v>4</v>
      </c>
      <c r="H3411" s="1">
        <v>3.6342592592592594E-3</v>
      </c>
      <c r="I3411">
        <v>2018</v>
      </c>
      <c r="J3411" t="s">
        <v>48</v>
      </c>
      <c r="K3411" s="2" t="str">
        <f>HYPERLINK("https://www.nba.com/stats/events?CFID=&amp;CFPARAMS=&amp;GameEventID=587&amp;GameID=0021800316&amp;Season=2018-19&amp;flag=1&amp;title=Leonard%2020'%20Pullup%20Jump%20Shot%20(35%20PTS)", "Leonard 20' Pullup Jump Shot (35 PTS)")</f>
        <v>Leonard 20' Pullup Jump Shot (35 PTS)</v>
      </c>
      <c r="L3411" s="2" t="str">
        <f>HYPERLINK("https://www.nba.com/game/...-vs-...-0021800316/play-by-play?watchFullGame=true", "TOR vs GSW - Q4 05:14.00")</f>
        <v>TOR vs GSW - Q4 05:14.00</v>
      </c>
      <c r="M3411">
        <v>20</v>
      </c>
      <c r="N3411">
        <v>76</v>
      </c>
      <c r="O3411">
        <v>183</v>
      </c>
      <c r="P3411">
        <v>76</v>
      </c>
      <c r="Q3411">
        <v>183</v>
      </c>
      <c r="R3411" t="s">
        <v>21</v>
      </c>
      <c r="S3411" t="s">
        <v>21</v>
      </c>
    </row>
    <row r="3412" spans="1:19" hidden="1" x14ac:dyDescent="0.25">
      <c r="A3412">
        <v>21500257</v>
      </c>
      <c r="B3412" t="s">
        <v>18</v>
      </c>
      <c r="C3412" t="s">
        <v>19</v>
      </c>
      <c r="D3412">
        <v>23</v>
      </c>
      <c r="E3412">
        <v>17</v>
      </c>
      <c r="F3412">
        <v>6</v>
      </c>
      <c r="G3412">
        <v>1</v>
      </c>
      <c r="H3412" s="1">
        <v>9.7222222222222219E-4</v>
      </c>
      <c r="I3412">
        <v>2015</v>
      </c>
      <c r="J3412" t="s">
        <v>20</v>
      </c>
      <c r="K3412" s="2" t="str">
        <f>HYPERLINK("https://www.nba.com/stats/events?CFID=&amp;CFPARAMS=&amp;GameEventID=91&amp;GameID=0021500257&amp;Season=2015-16&amp;flag=1&amp;title=Leonard%2023'%20Jump%20Shot%20(7%20PTS)", "Leonard 23' Jump Shot (7 PTS)")</f>
        <v>Leonard 23' Jump Shot (7 PTS)</v>
      </c>
      <c r="L3412" s="2" t="str">
        <f>HYPERLINK("https://www.nba.com/game/...-vs-...-0021500257/play-by-play?watchFullGame=true", "SAS vs CHI - Q1 01:24.00")</f>
        <v>SAS vs CHI - Q1 01:24.00</v>
      </c>
      <c r="M3412">
        <v>23</v>
      </c>
      <c r="N3412">
        <v>135</v>
      </c>
      <c r="O3412">
        <v>183</v>
      </c>
      <c r="P3412">
        <v>135</v>
      </c>
      <c r="Q3412">
        <v>183</v>
      </c>
      <c r="R3412" t="s">
        <v>21</v>
      </c>
      <c r="S3412" t="s">
        <v>21</v>
      </c>
    </row>
    <row r="3413" spans="1:19" hidden="1" x14ac:dyDescent="0.25">
      <c r="A3413">
        <v>21700633</v>
      </c>
      <c r="B3413" t="s">
        <v>18</v>
      </c>
      <c r="C3413" t="s">
        <v>36</v>
      </c>
      <c r="D3413">
        <v>47</v>
      </c>
      <c r="E3413">
        <v>33</v>
      </c>
      <c r="F3413">
        <v>14</v>
      </c>
      <c r="G3413">
        <v>2</v>
      </c>
      <c r="H3413" s="1">
        <v>3.4953703703703705E-3</v>
      </c>
      <c r="I3413">
        <v>2017</v>
      </c>
      <c r="J3413" t="s">
        <v>20</v>
      </c>
      <c r="K3413" s="2" t="str">
        <f>HYPERLINK("https://www.nba.com/stats/events?CFID=&amp;CFPARAMS=&amp;GameEventID=242&amp;GameID=0021700633&amp;Season=2017-18&amp;flag=1&amp;title=Leonard%2018'%20Pullup%20Jump%20Shot%20(6%20PTS)", "Leonard 18' Pullup Jump Shot (6 PTS)")</f>
        <v>Leonard 18' Pullup Jump Shot (6 PTS)</v>
      </c>
      <c r="L3413" s="2" t="str">
        <f>HYPERLINK("https://www.nba.com/game/...-vs-...-0021700633/play-by-play?watchFullGame=true", "SAS vs DEN - Q2 05:02.00")</f>
        <v>SAS vs DEN - Q2 05:02.00</v>
      </c>
      <c r="M3413">
        <v>18</v>
      </c>
      <c r="N3413">
        <v>-1</v>
      </c>
      <c r="O3413">
        <v>184</v>
      </c>
      <c r="P3413">
        <v>-1</v>
      </c>
      <c r="Q3413">
        <v>184</v>
      </c>
      <c r="R3413" t="s">
        <v>21</v>
      </c>
      <c r="S3413" t="s">
        <v>21</v>
      </c>
    </row>
    <row r="3414" spans="1:19" hidden="1" x14ac:dyDescent="0.25">
      <c r="A3414">
        <v>21400064</v>
      </c>
      <c r="B3414" t="s">
        <v>18</v>
      </c>
      <c r="C3414" t="s">
        <v>19</v>
      </c>
      <c r="D3414">
        <v>51</v>
      </c>
      <c r="E3414">
        <v>43</v>
      </c>
      <c r="F3414">
        <v>8</v>
      </c>
      <c r="G3414">
        <v>3</v>
      </c>
      <c r="H3414" s="1">
        <v>7.1527777777777779E-3</v>
      </c>
      <c r="I3414">
        <v>2014</v>
      </c>
      <c r="J3414" t="s">
        <v>20</v>
      </c>
      <c r="K3414" s="2" t="str">
        <f>HYPERLINK("https://www.nba.com/stats/events?CFID=&amp;CFPARAMS=&amp;GameEventID=262&amp;GameID=0021400064&amp;Season=2014-15&amp;flag=1&amp;title=Leonard%2018'%20Jump%20Shot%20(7%20PTS)%20(Parker%204%20AST)", "Leonard 18' Jump Shot (7 PTS) (Parker 4 AST)")</f>
        <v>Leonard 18' Jump Shot (7 PTS) (Parker 4 AST)</v>
      </c>
      <c r="L3414" s="2" t="str">
        <f>HYPERLINK("https://www.nba.com/game/...-vs-...-0021400064/play-by-play?watchFullGame=true", "SAS vs ATL - Q3 10:18.00")</f>
        <v>SAS vs ATL - Q3 10:18.00</v>
      </c>
      <c r="M3414">
        <v>18</v>
      </c>
      <c r="N3414">
        <v>6</v>
      </c>
      <c r="O3414">
        <v>184</v>
      </c>
      <c r="P3414">
        <v>6</v>
      </c>
      <c r="Q3414">
        <v>184</v>
      </c>
      <c r="R3414" t="s">
        <v>21</v>
      </c>
      <c r="S3414" t="s">
        <v>21</v>
      </c>
    </row>
    <row r="3415" spans="1:19" hidden="1" x14ac:dyDescent="0.25">
      <c r="A3415">
        <v>21600575</v>
      </c>
      <c r="B3415" t="s">
        <v>18</v>
      </c>
      <c r="C3415" t="s">
        <v>36</v>
      </c>
      <c r="D3415">
        <v>73</v>
      </c>
      <c r="E3415">
        <v>68</v>
      </c>
      <c r="F3415">
        <v>5</v>
      </c>
      <c r="G3415">
        <v>3</v>
      </c>
      <c r="H3415" s="1">
        <v>3.2523148148148147E-3</v>
      </c>
      <c r="I3415">
        <v>2016</v>
      </c>
      <c r="J3415" t="s">
        <v>20</v>
      </c>
      <c r="K3415" s="2" t="str">
        <f>HYPERLINK("https://www.nba.com/stats/events?CFID=&amp;CFPARAMS=&amp;GameEventID=323&amp;GameID=0021600575&amp;Season=2016-17&amp;flag=1&amp;title=Leonard%2019'%20Pullup%20Jump%20Shot%20(23%20PTS)", "Leonard 19' Pullup Jump Shot (23 PTS)")</f>
        <v>Leonard 19' Pullup Jump Shot (23 PTS)</v>
      </c>
      <c r="L3415" s="2" t="str">
        <f>HYPERLINK("https://www.nba.com/game/...-vs-...-0021600575/play-by-play?watchFullGame=true", "SAS vs MIL - Q3 04:41.00")</f>
        <v>SAS vs MIL - Q3 04:41.00</v>
      </c>
      <c r="M3415">
        <v>19</v>
      </c>
      <c r="N3415">
        <v>-20</v>
      </c>
      <c r="O3415">
        <v>185</v>
      </c>
      <c r="P3415">
        <v>-20</v>
      </c>
      <c r="Q3415">
        <v>185</v>
      </c>
      <c r="R3415" t="s">
        <v>21</v>
      </c>
      <c r="S3415" t="s">
        <v>21</v>
      </c>
    </row>
    <row r="3416" spans="1:19" hidden="1" x14ac:dyDescent="0.25">
      <c r="A3416">
        <v>21600016</v>
      </c>
      <c r="B3416" t="s">
        <v>18</v>
      </c>
      <c r="C3416" t="s">
        <v>19</v>
      </c>
      <c r="D3416">
        <v>96</v>
      </c>
      <c r="E3416">
        <v>87</v>
      </c>
      <c r="F3416">
        <v>9</v>
      </c>
      <c r="G3416">
        <v>4</v>
      </c>
      <c r="H3416" s="1">
        <v>1.736111111111111E-3</v>
      </c>
      <c r="I3416">
        <v>2016</v>
      </c>
      <c r="J3416" t="s">
        <v>20</v>
      </c>
      <c r="K3416" s="2" t="str">
        <f>HYPERLINK("https://www.nba.com/stats/events?CFID=&amp;CFPARAMS=&amp;GameEventID=530&amp;GameID=0021600016&amp;Season=2016-17&amp;flag=1&amp;title=Leonard%2019'%20Jump%20Shot%20(26%20PTS)%20(Parker%202%20AST)", "Leonard 19' Jump Shot (26 PTS) (Parker 2 AST)")</f>
        <v>Leonard 19' Jump Shot (26 PTS) (Parker 2 AST)</v>
      </c>
      <c r="L3416" s="2" t="str">
        <f>HYPERLINK("https://www.nba.com/game/...-vs-...-0021600016/play-by-play?watchFullGame=true", "SAS vs SAC - Q4 02:30.00")</f>
        <v>SAS vs SAC - Q4 02:30.00</v>
      </c>
      <c r="M3416">
        <v>19</v>
      </c>
      <c r="N3416">
        <v>35</v>
      </c>
      <c r="O3416">
        <v>185</v>
      </c>
      <c r="P3416">
        <v>35</v>
      </c>
      <c r="Q3416">
        <v>185</v>
      </c>
      <c r="R3416" t="s">
        <v>21</v>
      </c>
      <c r="S3416" t="s">
        <v>21</v>
      </c>
    </row>
    <row r="3417" spans="1:19" hidden="1" x14ac:dyDescent="0.25">
      <c r="A3417">
        <v>21400757</v>
      </c>
      <c r="B3417" t="s">
        <v>18</v>
      </c>
      <c r="C3417" t="s">
        <v>19</v>
      </c>
      <c r="D3417">
        <v>94</v>
      </c>
      <c r="E3417">
        <v>74</v>
      </c>
      <c r="F3417">
        <v>20</v>
      </c>
      <c r="G3417">
        <v>4</v>
      </c>
      <c r="H3417" s="1">
        <v>2.2800925925925927E-3</v>
      </c>
      <c r="I3417">
        <v>2014</v>
      </c>
      <c r="J3417" t="s">
        <v>20</v>
      </c>
      <c r="K3417" s="2" t="str">
        <f>HYPERLINK("https://www.nba.com/stats/events?CFID=&amp;CFPARAMS=&amp;GameEventID=397&amp;GameID=0021400757&amp;Season=2014-15&amp;flag=1&amp;title=Leonard%2020'%20Jump%20Shot%20(24%20PTS)", "Leonard 20' Jump Shot (24 PTS)")</f>
        <v>Leonard 20' Jump Shot (24 PTS)</v>
      </c>
      <c r="L3417" s="2" t="str">
        <f>HYPERLINK("https://www.nba.com/game/...-vs-...-0021400757/play-by-play?watchFullGame=true", "SAS vs MIA - Q4 03:17.00")</f>
        <v>SAS vs MIA - Q4 03:17.00</v>
      </c>
      <c r="M3417">
        <v>20</v>
      </c>
      <c r="N3417">
        <v>-71</v>
      </c>
      <c r="O3417">
        <v>186</v>
      </c>
      <c r="P3417">
        <v>-71</v>
      </c>
      <c r="Q3417">
        <v>186</v>
      </c>
      <c r="R3417" t="s">
        <v>21</v>
      </c>
      <c r="S3417" t="s">
        <v>21</v>
      </c>
    </row>
    <row r="3418" spans="1:19" hidden="1" x14ac:dyDescent="0.25">
      <c r="A3418">
        <v>21300170</v>
      </c>
      <c r="B3418" t="s">
        <v>18</v>
      </c>
      <c r="C3418" t="s">
        <v>19</v>
      </c>
      <c r="D3418">
        <v>53</v>
      </c>
      <c r="E3418">
        <v>50</v>
      </c>
      <c r="F3418">
        <v>3</v>
      </c>
      <c r="G3418">
        <v>3</v>
      </c>
      <c r="H3418" s="1">
        <v>6.7592592592592591E-3</v>
      </c>
      <c r="I3418">
        <v>2013</v>
      </c>
      <c r="J3418" t="s">
        <v>20</v>
      </c>
      <c r="K3418" s="2" t="str">
        <f>HYPERLINK("https://www.nba.com/stats/events?CFID=&amp;CFPARAMS=&amp;GameEventID=258&amp;GameID=0021300170&amp;Season=2013-14&amp;flag=1&amp;title=Leonard%2019'%20Jump%20Shot%20(8%20PTS)", "Leonard 19' Jump Shot (8 PTS)")</f>
        <v>Leonard 19' Jump Shot (8 PTS)</v>
      </c>
      <c r="L3418" s="2" t="str">
        <f>HYPERLINK("https://www.nba.com/game/...-vs-...-0021300170/play-by-play?watchFullGame=true", "SAS vs BOS - Q3 09:44.00")</f>
        <v>SAS vs BOS - Q3 09:44.00</v>
      </c>
      <c r="M3418">
        <v>19</v>
      </c>
      <c r="N3418">
        <v>-40</v>
      </c>
      <c r="O3418">
        <v>187</v>
      </c>
      <c r="P3418">
        <v>-40</v>
      </c>
      <c r="Q3418">
        <v>187</v>
      </c>
      <c r="R3418" t="s">
        <v>21</v>
      </c>
      <c r="S3418" t="s">
        <v>21</v>
      </c>
    </row>
    <row r="3419" spans="1:19" hidden="1" x14ac:dyDescent="0.25">
      <c r="A3419">
        <v>21400663</v>
      </c>
      <c r="B3419" t="s">
        <v>18</v>
      </c>
      <c r="C3419" t="s">
        <v>36</v>
      </c>
      <c r="D3419">
        <v>61</v>
      </c>
      <c r="E3419">
        <v>62</v>
      </c>
      <c r="F3419">
        <v>1</v>
      </c>
      <c r="G3419">
        <v>3</v>
      </c>
      <c r="H3419" s="1">
        <v>2.7777777777777779E-3</v>
      </c>
      <c r="I3419">
        <v>2014</v>
      </c>
      <c r="J3419" t="s">
        <v>20</v>
      </c>
      <c r="K3419" s="2" t="str">
        <f>HYPERLINK("https://www.nba.com/stats/events?CFID=&amp;CFPARAMS=&amp;GameEventID=343&amp;GameID=0021400663&amp;Season=2014-15&amp;flag=1&amp;title=Leonard%2020'%20Pullup%20Jump%20Shot%20(10%20PTS)", "Leonard 20' Pullup Jump Shot (10 PTS)")</f>
        <v>Leonard 20' Pullup Jump Shot (10 PTS)</v>
      </c>
      <c r="L3419" s="2" t="str">
        <f>HYPERLINK("https://www.nba.com/game/...-vs-...-0021400663/play-by-play?watchFullGame=true", "SAS vs MIL - Q3 04:00.00")</f>
        <v>SAS vs MIL - Q3 04:00.00</v>
      </c>
      <c r="M3419">
        <v>20</v>
      </c>
      <c r="N3419">
        <v>62</v>
      </c>
      <c r="O3419">
        <v>187</v>
      </c>
      <c r="P3419">
        <v>62</v>
      </c>
      <c r="Q3419">
        <v>187</v>
      </c>
      <c r="R3419" t="s">
        <v>21</v>
      </c>
      <c r="S3419" t="s">
        <v>21</v>
      </c>
    </row>
    <row r="3420" spans="1:19" hidden="1" x14ac:dyDescent="0.25">
      <c r="A3420">
        <v>21600744</v>
      </c>
      <c r="B3420" t="s">
        <v>18</v>
      </c>
      <c r="C3420" t="s">
        <v>36</v>
      </c>
      <c r="D3420">
        <v>2</v>
      </c>
      <c r="E3420">
        <v>0</v>
      </c>
      <c r="F3420">
        <v>2</v>
      </c>
      <c r="G3420">
        <v>1</v>
      </c>
      <c r="H3420" s="1">
        <v>7.766203703703704E-3</v>
      </c>
      <c r="I3420">
        <v>2016</v>
      </c>
      <c r="J3420" t="s">
        <v>20</v>
      </c>
      <c r="K3420" s="2" t="str">
        <f>HYPERLINK("https://www.nba.com/stats/events?CFID=&amp;CFPARAMS=&amp;GameEventID=10&amp;GameID=0021600744&amp;Season=2016-17&amp;flag=1&amp;title=Leonard%2019'%20Pullup%20Jump%20Shot%20(2%20PTS)", "Leonard 19' Pullup Jump Shot (2 PTS)")</f>
        <v>Leonard 19' Pullup Jump Shot (2 PTS)</v>
      </c>
      <c r="L3420" s="2" t="str">
        <f>HYPERLINK("https://www.nba.com/game/...-vs-...-0021600744/play-by-play?watchFullGame=true", "SAS vs PHI - Q1 11:11.00")</f>
        <v>SAS vs PHI - Q1 11:11.00</v>
      </c>
      <c r="M3420">
        <v>19</v>
      </c>
      <c r="N3420">
        <v>-30</v>
      </c>
      <c r="O3420">
        <v>188</v>
      </c>
      <c r="P3420">
        <v>-30</v>
      </c>
      <c r="Q3420">
        <v>188</v>
      </c>
      <c r="R3420" t="s">
        <v>21</v>
      </c>
      <c r="S3420" t="s">
        <v>21</v>
      </c>
    </row>
    <row r="3421" spans="1:19" hidden="1" x14ac:dyDescent="0.25">
      <c r="A3421">
        <v>21600289</v>
      </c>
      <c r="B3421" t="s">
        <v>18</v>
      </c>
      <c r="C3421" t="s">
        <v>19</v>
      </c>
      <c r="D3421">
        <v>107</v>
      </c>
      <c r="E3421">
        <v>105</v>
      </c>
      <c r="F3421">
        <v>2</v>
      </c>
      <c r="G3421">
        <v>4</v>
      </c>
      <c r="H3421" s="1">
        <v>7.0601851851851845E-5</v>
      </c>
      <c r="I3421">
        <v>2016</v>
      </c>
      <c r="J3421" t="s">
        <v>20</v>
      </c>
      <c r="K3421" s="2" t="str">
        <f>HYPERLINK("https://www.nba.com/stats/events?CFID=&amp;CFPARAMS=&amp;GameEventID=547&amp;GameID=0021600289&amp;Season=2016-17&amp;flag=1&amp;title=Leonard%2020'%20Jump%20Shot%20(23%20PTS)%20(Ginobili%207%20AST)", "Leonard 20' Jump Shot (23 PTS) (Ginobili 7 AST)")</f>
        <v>Leonard 20' Jump Shot (23 PTS) (Ginobili 7 AST)</v>
      </c>
      <c r="L3421" s="2" t="str">
        <f>HYPERLINK("https://www.nba.com/game/...-vs-...-0021600289/play-by-play?watchFullGame=true", "SAS vs WAS - Q4 00:06.10")</f>
        <v>SAS vs WAS - Q4 00:06.10</v>
      </c>
      <c r="M3421">
        <v>20</v>
      </c>
      <c r="N3421">
        <v>69</v>
      </c>
      <c r="O3421">
        <v>188</v>
      </c>
      <c r="P3421">
        <v>69</v>
      </c>
      <c r="Q3421">
        <v>188</v>
      </c>
      <c r="R3421" t="s">
        <v>21</v>
      </c>
      <c r="S3421" t="s">
        <v>21</v>
      </c>
    </row>
    <row r="3422" spans="1:19" hidden="1" x14ac:dyDescent="0.25">
      <c r="A3422">
        <v>41300404</v>
      </c>
      <c r="B3422" t="s">
        <v>18</v>
      </c>
      <c r="C3422" t="s">
        <v>19</v>
      </c>
      <c r="D3422">
        <v>66</v>
      </c>
      <c r="E3422">
        <v>48</v>
      </c>
      <c r="F3422">
        <v>18</v>
      </c>
      <c r="G3422">
        <v>3</v>
      </c>
      <c r="H3422" s="1">
        <v>4.4791666666666669E-3</v>
      </c>
      <c r="I3422" t="s">
        <v>55</v>
      </c>
      <c r="J3422" t="s">
        <v>20</v>
      </c>
      <c r="K3422" s="2" t="str">
        <f>HYPERLINK("https://www.nba.com/stats/events?CFID=&amp;CFPARAMS=&amp;GameEventID=293&amp;GameID=0041300404&amp;Season=2013-14&amp;flag=1&amp;title=Leonard%2019'%20Jump%20Shot%20(10%20PTS)", "Leonard 19' Jump Shot (10 PTS)")</f>
        <v>Leonard 19' Jump Shot (10 PTS)</v>
      </c>
      <c r="L3422" s="2" t="str">
        <f>HYPERLINK("https://www.nba.com/game/...-vs-...-0041300404/play-by-play?watchFullGame=true", "SAS vs MIA - Q3 06:27.00")</f>
        <v>SAS vs MIA - Q3 06:27.00</v>
      </c>
      <c r="M3422">
        <v>19</v>
      </c>
      <c r="N3422">
        <v>-46</v>
      </c>
      <c r="O3422">
        <v>189</v>
      </c>
      <c r="P3422">
        <v>-46</v>
      </c>
      <c r="Q3422">
        <v>189</v>
      </c>
      <c r="R3422" t="s">
        <v>21</v>
      </c>
      <c r="S3422" t="s">
        <v>21</v>
      </c>
    </row>
    <row r="3423" spans="1:19" hidden="1" x14ac:dyDescent="0.25">
      <c r="A3423">
        <v>21800271</v>
      </c>
      <c r="B3423" t="s">
        <v>18</v>
      </c>
      <c r="C3423" t="s">
        <v>36</v>
      </c>
      <c r="D3423">
        <v>4</v>
      </c>
      <c r="E3423">
        <v>2</v>
      </c>
      <c r="F3423">
        <v>2</v>
      </c>
      <c r="G3423">
        <v>1</v>
      </c>
      <c r="H3423" s="1">
        <v>7.7314814814814815E-3</v>
      </c>
      <c r="I3423">
        <v>2018</v>
      </c>
      <c r="J3423" t="s">
        <v>48</v>
      </c>
      <c r="K3423" s="2" t="str">
        <f>HYPERLINK("https://www.nba.com/stats/events?CFID=&amp;CFPARAMS=&amp;GameEventID=11&amp;GameID=0021800271&amp;Season=2018-19&amp;flag=1&amp;title=Leonard%2019'%20Pullup%20Jump%20Shot%20(2%20PTS)%20(Siakam%201%20AST)", "Leonard 19' Pullup Jump Shot (2 PTS) (Siakam 1 AST)")</f>
        <v>Leonard 19' Pullup Jump Shot (2 PTS) (Siakam 1 AST)</v>
      </c>
      <c r="L3423" s="2" t="str">
        <f>HYPERLINK("https://www.nba.com/game/...-vs-...-0021800271/play-by-play?watchFullGame=true", "TOR vs WAS - Q1 11:08.00")</f>
        <v>TOR vs WAS - Q1 11:08.00</v>
      </c>
      <c r="M3423">
        <v>19</v>
      </c>
      <c r="N3423">
        <v>-13</v>
      </c>
      <c r="O3423">
        <v>189</v>
      </c>
      <c r="P3423">
        <v>-13</v>
      </c>
      <c r="Q3423">
        <v>189</v>
      </c>
      <c r="R3423" t="s">
        <v>21</v>
      </c>
      <c r="S3423" t="s">
        <v>21</v>
      </c>
    </row>
    <row r="3424" spans="1:19" hidden="1" x14ac:dyDescent="0.25">
      <c r="A3424">
        <v>21801180</v>
      </c>
      <c r="B3424" t="s">
        <v>18</v>
      </c>
      <c r="C3424" t="s">
        <v>36</v>
      </c>
      <c r="D3424">
        <v>104</v>
      </c>
      <c r="E3424">
        <v>108</v>
      </c>
      <c r="F3424">
        <v>4</v>
      </c>
      <c r="G3424">
        <v>4</v>
      </c>
      <c r="H3424" s="1">
        <v>2.2916666666666667E-3</v>
      </c>
      <c r="I3424">
        <v>2018</v>
      </c>
      <c r="J3424" t="s">
        <v>48</v>
      </c>
      <c r="K3424" s="2" t="str">
        <f>HYPERLINK("https://www.nba.com/stats/events?CFID=&amp;CFPARAMS=&amp;GameEventID=567&amp;GameID=0021801180&amp;Season=2018-19&amp;flag=1&amp;title=Leonard%2021'%20Pullup%20Jump%20Shot%20(27%20PTS)", "Leonard 21' Pullup Jump Shot (27 PTS)")</f>
        <v>Leonard 21' Pullup Jump Shot (27 PTS)</v>
      </c>
      <c r="L3424" s="2" t="str">
        <f>HYPERLINK("https://www.nba.com/game/...-vs-...-0021801180/play-by-play?watchFullGame=true", "TOR vs CHA - Q4 03:18.00")</f>
        <v>TOR vs CHA - Q4 03:18.00</v>
      </c>
      <c r="M3424">
        <v>21</v>
      </c>
      <c r="N3424">
        <v>89</v>
      </c>
      <c r="O3424">
        <v>189</v>
      </c>
      <c r="P3424">
        <v>89</v>
      </c>
      <c r="Q3424">
        <v>189</v>
      </c>
      <c r="R3424" t="s">
        <v>21</v>
      </c>
      <c r="S3424" t="s">
        <v>21</v>
      </c>
    </row>
    <row r="3425" spans="1:19" hidden="1" x14ac:dyDescent="0.25">
      <c r="A3425">
        <v>21400220</v>
      </c>
      <c r="B3425" t="s">
        <v>18</v>
      </c>
      <c r="C3425" t="s">
        <v>19</v>
      </c>
      <c r="D3425">
        <v>66</v>
      </c>
      <c r="E3425">
        <v>66</v>
      </c>
      <c r="F3425">
        <v>0</v>
      </c>
      <c r="G3425">
        <v>3</v>
      </c>
      <c r="H3425" s="1">
        <v>2.627314814814815E-3</v>
      </c>
      <c r="I3425">
        <v>2014</v>
      </c>
      <c r="J3425" t="s">
        <v>20</v>
      </c>
      <c r="K3425" s="2" t="str">
        <f>HYPERLINK("https://www.nba.com/stats/events?CFID=&amp;CFPARAMS=&amp;GameEventID=329&amp;GameID=0021400220&amp;Season=2014-15&amp;flag=1&amp;title=Leonard%2021'%20Jump%20Shot%20(13%20PTS)%20(Ginobili%202%20AST)", "Leonard 21' Jump Shot (13 PTS) (Ginobili 2 AST)")</f>
        <v>Leonard 21' Jump Shot (13 PTS) (Ginobili 2 AST)</v>
      </c>
      <c r="L3425" s="2" t="str">
        <f>HYPERLINK("https://www.nba.com/game/...-vs-...-0021400220/play-by-play?watchFullGame=true", "SAS vs IND - Q3 03:47.00")</f>
        <v>SAS vs IND - Q3 03:47.00</v>
      </c>
      <c r="M3425">
        <v>21</v>
      </c>
      <c r="N3425">
        <v>97</v>
      </c>
      <c r="O3425">
        <v>189</v>
      </c>
      <c r="P3425">
        <v>97</v>
      </c>
      <c r="Q3425">
        <v>189</v>
      </c>
      <c r="R3425" t="s">
        <v>21</v>
      </c>
      <c r="S3425" t="s">
        <v>21</v>
      </c>
    </row>
    <row r="3426" spans="1:19" hidden="1" x14ac:dyDescent="0.25">
      <c r="A3426">
        <v>21800192</v>
      </c>
      <c r="B3426" t="s">
        <v>18</v>
      </c>
      <c r="C3426" t="s">
        <v>36</v>
      </c>
      <c r="D3426">
        <v>9</v>
      </c>
      <c r="E3426">
        <v>13</v>
      </c>
      <c r="F3426">
        <v>4</v>
      </c>
      <c r="G3426">
        <v>1</v>
      </c>
      <c r="H3426" s="1">
        <v>5.7638888888888887E-3</v>
      </c>
      <c r="I3426">
        <v>2018</v>
      </c>
      <c r="J3426" t="s">
        <v>48</v>
      </c>
      <c r="K3426" s="2" t="str">
        <f>HYPERLINK("https://www.nba.com/stats/events?CFID=&amp;CFPARAMS=&amp;GameEventID=44&amp;GameID=0021800192&amp;Season=2018-19&amp;flag=1&amp;title=Leonard%2021'%20Pullup%20Jump%20Shot%20(4%20PTS)%20(Ibaka%201%20AST)", "Leonard 21' Pullup Jump Shot (4 PTS) (Ibaka 1 AST)")</f>
        <v>Leonard 21' Pullup Jump Shot (4 PTS) (Ibaka 1 AST)</v>
      </c>
      <c r="L3426" s="2" t="str">
        <f>HYPERLINK("https://www.nba.com/game/...-vs-...-0021800192/play-by-play?watchFullGame=true", "TOR vs NOP - Q1 08:18.00")</f>
        <v>TOR vs NOP - Q1 08:18.00</v>
      </c>
      <c r="M3426">
        <v>21</v>
      </c>
      <c r="N3426">
        <v>100</v>
      </c>
      <c r="O3426">
        <v>189</v>
      </c>
      <c r="P3426">
        <v>100</v>
      </c>
      <c r="Q3426">
        <v>189</v>
      </c>
      <c r="R3426" t="s">
        <v>21</v>
      </c>
      <c r="S3426" t="s">
        <v>21</v>
      </c>
    </row>
    <row r="3427" spans="1:19" hidden="1" x14ac:dyDescent="0.25">
      <c r="A3427">
        <v>41400163</v>
      </c>
      <c r="B3427" t="s">
        <v>18</v>
      </c>
      <c r="C3427" t="s">
        <v>19</v>
      </c>
      <c r="D3427">
        <v>84</v>
      </c>
      <c r="E3427">
        <v>55</v>
      </c>
      <c r="F3427">
        <v>29</v>
      </c>
      <c r="G3427">
        <v>4</v>
      </c>
      <c r="H3427" s="1">
        <v>5.3125000000000004E-3</v>
      </c>
      <c r="I3427" t="s">
        <v>56</v>
      </c>
      <c r="J3427" t="s">
        <v>20</v>
      </c>
      <c r="K3427" s="2" t="str">
        <f>HYPERLINK("https://www.nba.com/stats/events?CFID=&amp;CFPARAMS=&amp;GameEventID=394&amp;GameID=0041400163&amp;Season=2014-15&amp;flag=1&amp;title=Leonard%2019'%20Jump%20Shot%20(31%20PTS)", "Leonard 19' Jump Shot (31 PTS)")</f>
        <v>Leonard 19' Jump Shot (31 PTS)</v>
      </c>
      <c r="L3427" s="2" t="str">
        <f>HYPERLINK("https://www.nba.com/game/...-vs-...-0041400163/play-by-play?watchFullGame=true", "SAS vs LAC - Q4 07:39.00")</f>
        <v>SAS vs LAC - Q4 07:39.00</v>
      </c>
      <c r="M3427">
        <v>19</v>
      </c>
      <c r="N3427">
        <v>-32</v>
      </c>
      <c r="O3427">
        <v>190</v>
      </c>
      <c r="P3427">
        <v>-32</v>
      </c>
      <c r="Q3427">
        <v>190</v>
      </c>
      <c r="R3427" t="s">
        <v>21</v>
      </c>
      <c r="S3427" t="s">
        <v>21</v>
      </c>
    </row>
    <row r="3428" spans="1:19" hidden="1" x14ac:dyDescent="0.25">
      <c r="A3428">
        <v>21500759</v>
      </c>
      <c r="B3428" t="s">
        <v>18</v>
      </c>
      <c r="C3428" t="s">
        <v>36</v>
      </c>
      <c r="D3428">
        <v>17</v>
      </c>
      <c r="E3428">
        <v>10</v>
      </c>
      <c r="F3428">
        <v>7</v>
      </c>
      <c r="G3428">
        <v>1</v>
      </c>
      <c r="H3428" s="1">
        <v>2.5925925925925925E-3</v>
      </c>
      <c r="I3428">
        <v>2015</v>
      </c>
      <c r="J3428" t="s">
        <v>20</v>
      </c>
      <c r="K3428" s="2" t="str">
        <f>HYPERLINK("https://www.nba.com/stats/events?CFID=&amp;CFPARAMS=&amp;GameEventID=76&amp;GameID=0021500759&amp;Season=2015-16&amp;flag=1&amp;title=Leonard%2019'%20Pullup%20Jump%20Shot%20(6%20PTS)", "Leonard 19' Pullup Jump Shot (6 PTS)")</f>
        <v>Leonard 19' Pullup Jump Shot (6 PTS)</v>
      </c>
      <c r="L3428" s="2" t="str">
        <f>HYPERLINK("https://www.nba.com/game/...-vs-...-0021500759/play-by-play?watchFullGame=true", "SAS vs DAL - Q1 03:44.00")</f>
        <v>SAS vs DAL - Q1 03:44.00</v>
      </c>
      <c r="M3428">
        <v>19</v>
      </c>
      <c r="N3428">
        <v>2</v>
      </c>
      <c r="O3428">
        <v>190</v>
      </c>
      <c r="P3428">
        <v>2</v>
      </c>
      <c r="Q3428">
        <v>190</v>
      </c>
      <c r="R3428" t="s">
        <v>21</v>
      </c>
      <c r="S3428" t="s">
        <v>21</v>
      </c>
    </row>
    <row r="3429" spans="1:19" hidden="1" x14ac:dyDescent="0.25">
      <c r="A3429">
        <v>21500790</v>
      </c>
      <c r="B3429" t="s">
        <v>18</v>
      </c>
      <c r="C3429" t="s">
        <v>36</v>
      </c>
      <c r="D3429">
        <v>98</v>
      </c>
      <c r="E3429">
        <v>96</v>
      </c>
      <c r="F3429">
        <v>2</v>
      </c>
      <c r="G3429">
        <v>4</v>
      </c>
      <c r="H3429" s="1">
        <v>1.0416666666666666E-5</v>
      </c>
      <c r="I3429">
        <v>2015</v>
      </c>
      <c r="J3429" t="s">
        <v>20</v>
      </c>
      <c r="K3429" s="2" t="str">
        <f>HYPERLINK("https://www.nba.com/stats/events?CFID=&amp;CFPARAMS=&amp;GameEventID=510&amp;GameID=0021500790&amp;Season=2015-16&amp;flag=1&amp;title=Leonard%2019'%20Pullup%20Jump%20Shot%20(29%20PTS)", "Leonard 19' Pullup Jump Shot (29 PTS)")</f>
        <v>Leonard 19' Pullup Jump Shot (29 PTS)</v>
      </c>
      <c r="L3429" s="2" t="str">
        <f>HYPERLINK("https://www.nba.com/game/...-vs-...-0021500790/play-by-play?watchFullGame=true", "SAS vs ORL - Q4 00:00.90")</f>
        <v>SAS vs ORL - Q4 00:00.90</v>
      </c>
      <c r="M3429">
        <v>19</v>
      </c>
      <c r="N3429">
        <v>24</v>
      </c>
      <c r="O3429">
        <v>190</v>
      </c>
      <c r="P3429">
        <v>24</v>
      </c>
      <c r="Q3429">
        <v>190</v>
      </c>
      <c r="R3429" t="s">
        <v>21</v>
      </c>
      <c r="S3429" t="s">
        <v>21</v>
      </c>
    </row>
    <row r="3430" spans="1:19" hidden="1" x14ac:dyDescent="0.25">
      <c r="A3430">
        <v>21600213</v>
      </c>
      <c r="B3430" t="s">
        <v>18</v>
      </c>
      <c r="C3430" t="s">
        <v>19</v>
      </c>
      <c r="D3430">
        <v>66</v>
      </c>
      <c r="E3430">
        <v>65</v>
      </c>
      <c r="F3430">
        <v>1</v>
      </c>
      <c r="G3430">
        <v>3</v>
      </c>
      <c r="H3430" s="1">
        <v>6.5972222222222222E-3</v>
      </c>
      <c r="I3430">
        <v>2016</v>
      </c>
      <c r="J3430" t="s">
        <v>20</v>
      </c>
      <c r="K3430" s="2" t="str">
        <f>HYPERLINK("https://www.nba.com/stats/events?CFID=&amp;CFPARAMS=&amp;GameEventID=261&amp;GameID=0021600213&amp;Season=2016-17&amp;flag=1&amp;title=Leonard%2020'%20Jump%20Shot%20(20%20PTS)", "Leonard 20' Jump Shot (20 PTS)")</f>
        <v>Leonard 20' Jump Shot (20 PTS)</v>
      </c>
      <c r="L3430" s="2" t="str">
        <f>HYPERLINK("https://www.nba.com/game/...-vs-...-0021600213/play-by-play?watchFullGame=true", "SAS vs CHA - Q3 09:30.00")</f>
        <v>SAS vs CHA - Q3 09:30.00</v>
      </c>
      <c r="M3430">
        <v>20</v>
      </c>
      <c r="N3430">
        <v>51</v>
      </c>
      <c r="O3430">
        <v>190</v>
      </c>
      <c r="P3430">
        <v>51</v>
      </c>
      <c r="Q3430">
        <v>190</v>
      </c>
      <c r="R3430" t="s">
        <v>21</v>
      </c>
      <c r="S3430" t="s">
        <v>21</v>
      </c>
    </row>
    <row r="3431" spans="1:19" hidden="1" x14ac:dyDescent="0.25">
      <c r="A3431">
        <v>21800123</v>
      </c>
      <c r="B3431" t="s">
        <v>18</v>
      </c>
      <c r="C3431" t="s">
        <v>19</v>
      </c>
      <c r="D3431">
        <v>18</v>
      </c>
      <c r="E3431">
        <v>19</v>
      </c>
      <c r="F3431">
        <v>1</v>
      </c>
      <c r="G3431">
        <v>1</v>
      </c>
      <c r="H3431" s="1">
        <v>2.5694444444444445E-3</v>
      </c>
      <c r="I3431">
        <v>2018</v>
      </c>
      <c r="J3431" t="s">
        <v>48</v>
      </c>
      <c r="K3431" s="2" t="str">
        <f>HYPERLINK("https://www.nba.com/stats/events?CFID=&amp;CFPARAMS=&amp;GameEventID=99&amp;GameID=0021800123&amp;Season=2018-19&amp;flag=1&amp;title=Leonard%2019'%20Jump%20Shot%20(2%20PTS)", "Leonard 19' Jump Shot (2 PTS)")</f>
        <v>Leonard 19' Jump Shot (2 PTS)</v>
      </c>
      <c r="L3431" s="2" t="str">
        <f>HYPERLINK("https://www.nba.com/game/...-vs-...-0021800123/play-by-play?watchFullGame=true", "TOR vs PHX - Q1 03:42.00")</f>
        <v>TOR vs PHX - Q1 03:42.00</v>
      </c>
      <c r="M3431">
        <v>19</v>
      </c>
      <c r="N3431">
        <v>21</v>
      </c>
      <c r="O3431">
        <v>191</v>
      </c>
      <c r="P3431">
        <v>21</v>
      </c>
      <c r="Q3431">
        <v>191</v>
      </c>
      <c r="R3431" t="s">
        <v>21</v>
      </c>
      <c r="S3431" t="s">
        <v>21</v>
      </c>
    </row>
    <row r="3432" spans="1:19" hidden="1" x14ac:dyDescent="0.25">
      <c r="A3432">
        <v>21401168</v>
      </c>
      <c r="B3432" t="s">
        <v>18</v>
      </c>
      <c r="C3432" t="s">
        <v>36</v>
      </c>
      <c r="D3432">
        <v>98</v>
      </c>
      <c r="E3432">
        <v>81</v>
      </c>
      <c r="F3432">
        <v>17</v>
      </c>
      <c r="G3432">
        <v>4</v>
      </c>
      <c r="H3432" s="1">
        <v>4.9189814814814816E-3</v>
      </c>
      <c r="I3432">
        <v>2014</v>
      </c>
      <c r="J3432" t="s">
        <v>20</v>
      </c>
      <c r="K3432" s="2" t="str">
        <f>HYPERLINK("https://www.nba.com/stats/events?CFID=&amp;CFPARAMS=&amp;GameEventID=405&amp;GameID=0021401168&amp;Season=2014-15&amp;flag=1&amp;title=Leonard%2020'%20Pullup%20Jump%20Shot%20(18%20PTS)", "Leonard 20' Pullup Jump Shot (18 PTS)")</f>
        <v>Leonard 20' Pullup Jump Shot (18 PTS)</v>
      </c>
      <c r="L3432" s="2" t="str">
        <f>HYPERLINK("https://www.nba.com/game/...-vs-...-0021401168/play-by-play?watchFullGame=true", "SAS vs HOU - Q4 07:05.00")</f>
        <v>SAS vs HOU - Q4 07:05.00</v>
      </c>
      <c r="M3432">
        <v>20</v>
      </c>
      <c r="N3432">
        <v>62</v>
      </c>
      <c r="O3432">
        <v>192</v>
      </c>
      <c r="P3432">
        <v>62</v>
      </c>
      <c r="Q3432">
        <v>192</v>
      </c>
      <c r="R3432" t="s">
        <v>21</v>
      </c>
      <c r="S3432" t="s">
        <v>21</v>
      </c>
    </row>
    <row r="3433" spans="1:19" hidden="1" x14ac:dyDescent="0.25">
      <c r="A3433">
        <v>21601161</v>
      </c>
      <c r="B3433" t="s">
        <v>18</v>
      </c>
      <c r="C3433" t="s">
        <v>36</v>
      </c>
      <c r="D3433">
        <v>27</v>
      </c>
      <c r="E3433">
        <v>28</v>
      </c>
      <c r="F3433">
        <v>1</v>
      </c>
      <c r="G3433">
        <v>2</v>
      </c>
      <c r="H3433" s="1">
        <v>2.8009259259259259E-3</v>
      </c>
      <c r="I3433">
        <v>2016</v>
      </c>
      <c r="J3433" t="s">
        <v>20</v>
      </c>
      <c r="K3433" s="2" t="str">
        <f>HYPERLINK("https://www.nba.com/stats/events?CFID=&amp;CFPARAMS=&amp;GameEventID=194&amp;GameID=0021601161&amp;Season=2016-17&amp;flag=1&amp;title=Leonard%2020'%20Pullup%20Jump%20Shot%20(5%20PTS)", "Leonard 20' Pullup Jump Shot (5 PTS)")</f>
        <v>Leonard 20' Pullup Jump Shot (5 PTS)</v>
      </c>
      <c r="L3433" s="2" t="str">
        <f>HYPERLINK("https://www.nba.com/game/...-vs-...-0021601161/play-by-play?watchFullGame=true", "SAS vs MEM - Q2 04:02.00")</f>
        <v>SAS vs MEM - Q2 04:02.00</v>
      </c>
      <c r="M3433">
        <v>20</v>
      </c>
      <c r="N3433">
        <v>-55</v>
      </c>
      <c r="O3433">
        <v>193</v>
      </c>
      <c r="P3433">
        <v>-55</v>
      </c>
      <c r="Q3433">
        <v>193</v>
      </c>
      <c r="R3433" t="s">
        <v>21</v>
      </c>
      <c r="S3433" t="s">
        <v>21</v>
      </c>
    </row>
    <row r="3434" spans="1:19" hidden="1" x14ac:dyDescent="0.25">
      <c r="A3434">
        <v>21600425</v>
      </c>
      <c r="B3434" t="s">
        <v>18</v>
      </c>
      <c r="C3434" t="s">
        <v>36</v>
      </c>
      <c r="D3434">
        <v>63</v>
      </c>
      <c r="E3434">
        <v>58</v>
      </c>
      <c r="F3434">
        <v>5</v>
      </c>
      <c r="G3434">
        <v>3</v>
      </c>
      <c r="H3434" s="1">
        <v>4.5601851851851853E-3</v>
      </c>
      <c r="I3434">
        <v>2016</v>
      </c>
      <c r="J3434" t="s">
        <v>20</v>
      </c>
      <c r="K3434" s="2" t="str">
        <f>HYPERLINK("https://www.nba.com/stats/events?CFID=&amp;CFPARAMS=&amp;GameEventID=308&amp;GameID=0021600425&amp;Season=2016-17&amp;flag=1&amp;title=Leonard%2020'%20Pullup%20Jump%20Shot%20(15%20PTS)", "Leonard 20' Pullup Jump Shot (15 PTS)")</f>
        <v>Leonard 20' Pullup Jump Shot (15 PTS)</v>
      </c>
      <c r="L3434" s="2" t="str">
        <f>HYPERLINK("https://www.nba.com/game/...-vs-...-0021600425/play-by-play?watchFullGame=true", "SAS vs HOU - Q3 06:34.00")</f>
        <v>SAS vs HOU - Q3 06:34.00</v>
      </c>
      <c r="M3434">
        <v>20</v>
      </c>
      <c r="N3434">
        <v>-40</v>
      </c>
      <c r="O3434">
        <v>193</v>
      </c>
      <c r="P3434">
        <v>-40</v>
      </c>
      <c r="Q3434">
        <v>193</v>
      </c>
      <c r="R3434" t="s">
        <v>21</v>
      </c>
      <c r="S3434" t="s">
        <v>21</v>
      </c>
    </row>
    <row r="3435" spans="1:19" hidden="1" x14ac:dyDescent="0.25">
      <c r="A3435">
        <v>21500224</v>
      </c>
      <c r="B3435" t="s">
        <v>18</v>
      </c>
      <c r="C3435" t="s">
        <v>19</v>
      </c>
      <c r="D3435">
        <v>24</v>
      </c>
      <c r="E3435">
        <v>13</v>
      </c>
      <c r="F3435">
        <v>11</v>
      </c>
      <c r="G3435">
        <v>1</v>
      </c>
      <c r="H3435" s="1">
        <v>9.837962962962962E-4</v>
      </c>
      <c r="I3435">
        <v>2015</v>
      </c>
      <c r="J3435" t="s">
        <v>20</v>
      </c>
      <c r="K3435" s="2" t="str">
        <f>HYPERLINK("https://www.nba.com/stats/events?CFID=&amp;CFPARAMS=&amp;GameEventID=107&amp;GameID=0021500224&amp;Season=2015-16&amp;flag=1&amp;title=Leonard%2019'%20Jump%20Shot%20(8%20PTS)%20(Ginobili%201%20AST)", "Leonard 19' Jump Shot (8 PTS) (Ginobili 1 AST)")</f>
        <v>Leonard 19' Jump Shot (8 PTS) (Ginobili 1 AST)</v>
      </c>
      <c r="L3435" s="2" t="str">
        <f>HYPERLINK("https://www.nba.com/game/...-vs-...-0021500224/play-by-play?watchFullGame=true", "SAS vs DAL - Q1 01:25.00")</f>
        <v>SAS vs DAL - Q1 01:25.00</v>
      </c>
      <c r="M3435">
        <v>19</v>
      </c>
      <c r="N3435">
        <v>-6</v>
      </c>
      <c r="O3435">
        <v>193</v>
      </c>
      <c r="P3435">
        <v>-6</v>
      </c>
      <c r="Q3435">
        <v>193</v>
      </c>
      <c r="R3435" t="s">
        <v>21</v>
      </c>
      <c r="S3435" t="s">
        <v>21</v>
      </c>
    </row>
    <row r="3436" spans="1:19" hidden="1" x14ac:dyDescent="0.25">
      <c r="A3436">
        <v>21601033</v>
      </c>
      <c r="B3436" t="s">
        <v>18</v>
      </c>
      <c r="C3436" t="s">
        <v>36</v>
      </c>
      <c r="D3436">
        <v>43</v>
      </c>
      <c r="E3436">
        <v>44</v>
      </c>
      <c r="F3436">
        <v>1</v>
      </c>
      <c r="G3436">
        <v>2</v>
      </c>
      <c r="H3436" s="1">
        <v>1.7361111111111111E-5</v>
      </c>
      <c r="I3436">
        <v>2016</v>
      </c>
      <c r="J3436" t="s">
        <v>20</v>
      </c>
      <c r="K3436" s="2" t="str">
        <f>HYPERLINK("https://www.nba.com/stats/events?CFID=&amp;CFPARAMS=&amp;GameEventID=242&amp;GameID=0021601033&amp;Season=2016-17&amp;flag=1&amp;title=Leonard%2019'%20Pullup%20Jump%20Shot%20(11%20PTS)", "Leonard 19' Pullup Jump Shot (11 PTS)")</f>
        <v>Leonard 19' Pullup Jump Shot (11 PTS)</v>
      </c>
      <c r="L3436" s="2" t="str">
        <f>HYPERLINK("https://www.nba.com/game/...-vs-...-0021601033/play-by-play?watchFullGame=true", "SAS vs MEM - Q2 00:01.50")</f>
        <v>SAS vs MEM - Q2 00:01.50</v>
      </c>
      <c r="M3436">
        <v>19</v>
      </c>
      <c r="N3436">
        <v>9</v>
      </c>
      <c r="O3436">
        <v>193</v>
      </c>
      <c r="P3436">
        <v>9</v>
      </c>
      <c r="Q3436">
        <v>193</v>
      </c>
      <c r="R3436" t="s">
        <v>21</v>
      </c>
      <c r="S3436" t="s">
        <v>21</v>
      </c>
    </row>
    <row r="3437" spans="1:19" hidden="1" x14ac:dyDescent="0.25">
      <c r="A3437">
        <v>21600319</v>
      </c>
      <c r="B3437" t="s">
        <v>18</v>
      </c>
      <c r="C3437" t="s">
        <v>19</v>
      </c>
      <c r="D3437">
        <v>63</v>
      </c>
      <c r="E3437">
        <v>58</v>
      </c>
      <c r="F3437">
        <v>5</v>
      </c>
      <c r="G3437">
        <v>3</v>
      </c>
      <c r="H3437" s="1">
        <v>2.0486111111111113E-3</v>
      </c>
      <c r="I3437">
        <v>2016</v>
      </c>
      <c r="J3437" t="s">
        <v>20</v>
      </c>
      <c r="K3437" s="2" t="str">
        <f>HYPERLINK("https://www.nba.com/stats/events?CFID=&amp;CFPARAMS=&amp;GameEventID=306&amp;GameID=0021600319&amp;Season=2016-17&amp;flag=1&amp;title=Leonard%2020'%20Jump%20Shot%20(20%20PTS)", "Leonard 20' Jump Shot (20 PTS)")</f>
        <v>Leonard 20' Jump Shot (20 PTS)</v>
      </c>
      <c r="L3437" s="2" t="str">
        <f>HYPERLINK("https://www.nba.com/game/...-vs-...-0021600319/play-by-play?watchFullGame=true", "SAS vs MIN - Q3 02:57.00")</f>
        <v>SAS vs MIN - Q3 02:57.00</v>
      </c>
      <c r="M3437">
        <v>20</v>
      </c>
      <c r="N3437">
        <v>51</v>
      </c>
      <c r="O3437">
        <v>193</v>
      </c>
      <c r="P3437">
        <v>51</v>
      </c>
      <c r="Q3437">
        <v>193</v>
      </c>
      <c r="R3437" t="s">
        <v>21</v>
      </c>
      <c r="S3437" t="s">
        <v>21</v>
      </c>
    </row>
    <row r="3438" spans="1:19" hidden="1" x14ac:dyDescent="0.25">
      <c r="A3438">
        <v>21800639</v>
      </c>
      <c r="B3438" t="s">
        <v>18</v>
      </c>
      <c r="C3438" t="s">
        <v>36</v>
      </c>
      <c r="D3438">
        <v>122</v>
      </c>
      <c r="E3438">
        <v>118</v>
      </c>
      <c r="F3438">
        <v>4</v>
      </c>
      <c r="G3438">
        <v>4</v>
      </c>
      <c r="H3438" s="1">
        <v>1.1458333333333333E-3</v>
      </c>
      <c r="I3438">
        <v>2018</v>
      </c>
      <c r="J3438" t="s">
        <v>48</v>
      </c>
      <c r="K3438" s="2" t="str">
        <f>HYPERLINK("https://www.nba.com/stats/events?CFID=&amp;CFPARAMS=&amp;GameEventID=646&amp;GameID=0021800639&amp;Season=2018-19&amp;flag=1&amp;title=Leonard%2022'%20Pullup%20Jump%20Shot%20(29%20PTS)", "Leonard 22' Pullup Jump Shot (29 PTS)")</f>
        <v>Leonard 22' Pullup Jump Shot (29 PTS)</v>
      </c>
      <c r="L3438" s="2" t="str">
        <f>HYPERLINK("https://www.nba.com/game/...-vs-...-0021800639/play-by-play?watchFullGame=true", "TOR vs WAS - Q4 01:39.00")</f>
        <v>TOR vs WAS - Q4 01:39.00</v>
      </c>
      <c r="M3438">
        <v>22</v>
      </c>
      <c r="N3438">
        <v>111</v>
      </c>
      <c r="O3438">
        <v>193</v>
      </c>
      <c r="P3438">
        <v>111</v>
      </c>
      <c r="Q3438">
        <v>193</v>
      </c>
      <c r="R3438" t="s">
        <v>21</v>
      </c>
      <c r="S3438" t="s">
        <v>21</v>
      </c>
    </row>
    <row r="3439" spans="1:19" hidden="1" x14ac:dyDescent="0.25">
      <c r="A3439">
        <v>21400714</v>
      </c>
      <c r="B3439" t="s">
        <v>18</v>
      </c>
      <c r="C3439" t="s">
        <v>36</v>
      </c>
      <c r="D3439">
        <v>39</v>
      </c>
      <c r="E3439">
        <v>47</v>
      </c>
      <c r="F3439">
        <v>8</v>
      </c>
      <c r="G3439">
        <v>2</v>
      </c>
      <c r="H3439" s="1">
        <v>1.4930555555555556E-3</v>
      </c>
      <c r="I3439">
        <v>2014</v>
      </c>
      <c r="J3439" t="s">
        <v>20</v>
      </c>
      <c r="K3439" s="2" t="str">
        <f>HYPERLINK("https://www.nba.com/stats/events?CFID=&amp;CFPARAMS=&amp;GameEventID=221&amp;GameID=0021400714&amp;Season=2014-15&amp;flag=1&amp;title=Leonard%2022'%20Pullup%20Jump%20Shot%20(9%20PTS)%20(Parker%205%20AST)", "Leonard 22' Pullup Jump Shot (9 PTS) (Parker 5 AST)")</f>
        <v>Leonard 22' Pullup Jump Shot (9 PTS) (Parker 5 AST)</v>
      </c>
      <c r="L3439" s="2" t="str">
        <f>HYPERLINK("https://www.nba.com/game/...-vs-...-0021400714/play-by-play?watchFullGame=true", "SAS vs LAC - Q2 02:09.00")</f>
        <v>SAS vs LAC - Q2 02:09.00</v>
      </c>
      <c r="M3439">
        <v>22</v>
      </c>
      <c r="N3439">
        <v>-95</v>
      </c>
      <c r="O3439">
        <v>194</v>
      </c>
      <c r="P3439">
        <v>-95</v>
      </c>
      <c r="Q3439">
        <v>194</v>
      </c>
      <c r="R3439" t="s">
        <v>21</v>
      </c>
      <c r="S3439" t="s">
        <v>21</v>
      </c>
    </row>
    <row r="3440" spans="1:19" hidden="1" x14ac:dyDescent="0.25">
      <c r="A3440">
        <v>21801001</v>
      </c>
      <c r="B3440" t="s">
        <v>18</v>
      </c>
      <c r="C3440" t="s">
        <v>36</v>
      </c>
      <c r="D3440">
        <v>43</v>
      </c>
      <c r="E3440">
        <v>48</v>
      </c>
      <c r="F3440">
        <v>5</v>
      </c>
      <c r="G3440">
        <v>2</v>
      </c>
      <c r="H3440" s="1">
        <v>3.1944444444444446E-3</v>
      </c>
      <c r="I3440">
        <v>2018</v>
      </c>
      <c r="J3440" t="s">
        <v>48</v>
      </c>
      <c r="K3440" s="2" t="str">
        <f>HYPERLINK("https://www.nba.com/stats/events?CFID=&amp;CFPARAMS=&amp;GameEventID=277&amp;GameID=0021801001&amp;Season=2018-19&amp;flag=1&amp;title=Leonard%2019'%20Pullup%20Jump%20Shot%20(11%20PTS)", "Leonard 19' Pullup Jump Shot (11 PTS)")</f>
        <v>Leonard 19' Pullup Jump Shot (11 PTS)</v>
      </c>
      <c r="L3440" s="2" t="str">
        <f>HYPERLINK("https://www.nba.com/game/...-vs-...-0021801001/play-by-play?watchFullGame=true", "TOR vs CLE - Q2 04:36.00")</f>
        <v>TOR vs CLE - Q2 04:36.00</v>
      </c>
      <c r="M3440">
        <v>19</v>
      </c>
      <c r="N3440">
        <v>-14</v>
      </c>
      <c r="O3440">
        <v>194</v>
      </c>
      <c r="P3440">
        <v>-14</v>
      </c>
      <c r="Q3440">
        <v>194</v>
      </c>
      <c r="R3440" t="s">
        <v>21</v>
      </c>
      <c r="S3440" t="s">
        <v>21</v>
      </c>
    </row>
    <row r="3441" spans="1:19" hidden="1" x14ac:dyDescent="0.25">
      <c r="A3441">
        <v>21800271</v>
      </c>
      <c r="B3441" t="s">
        <v>18</v>
      </c>
      <c r="C3441" t="s">
        <v>36</v>
      </c>
      <c r="D3441">
        <v>16</v>
      </c>
      <c r="E3441">
        <v>16</v>
      </c>
      <c r="F3441">
        <v>0</v>
      </c>
      <c r="G3441">
        <v>1</v>
      </c>
      <c r="H3441" s="1">
        <v>3.7037037037037038E-3</v>
      </c>
      <c r="I3441">
        <v>2018</v>
      </c>
      <c r="J3441" t="s">
        <v>48</v>
      </c>
      <c r="K3441" s="2" t="str">
        <f>HYPERLINK("https://www.nba.com/stats/events?CFID=&amp;CFPARAMS=&amp;GameEventID=82&amp;GameID=0021800271&amp;Season=2018-19&amp;flag=1&amp;title=Leonard%2019'%20Pullup%20Jump%20Shot%20(6%20PTS)%20(Valanciunas%201%20AST)", "Leonard 19' Pullup Jump Shot (6 PTS) (Valanciunas 1 AST)")</f>
        <v>Leonard 19' Pullup Jump Shot (6 PTS) (Valanciunas 1 AST)</v>
      </c>
      <c r="L3441" s="2" t="str">
        <f>HYPERLINK("https://www.nba.com/game/...-vs-...-0021800271/play-by-play?watchFullGame=true", "TOR vs WAS - Q1 05:20.00")</f>
        <v>TOR vs WAS - Q1 05:20.00</v>
      </c>
      <c r="M3441">
        <v>19</v>
      </c>
      <c r="N3441">
        <v>13</v>
      </c>
      <c r="O3441">
        <v>194</v>
      </c>
      <c r="P3441">
        <v>13</v>
      </c>
      <c r="Q3441">
        <v>194</v>
      </c>
      <c r="R3441" t="s">
        <v>21</v>
      </c>
      <c r="S3441" t="s">
        <v>21</v>
      </c>
    </row>
    <row r="3442" spans="1:19" hidden="1" x14ac:dyDescent="0.25">
      <c r="A3442">
        <v>21300039</v>
      </c>
      <c r="B3442" t="s">
        <v>18</v>
      </c>
      <c r="C3442" t="s">
        <v>19</v>
      </c>
      <c r="D3442">
        <v>35</v>
      </c>
      <c r="E3442">
        <v>41</v>
      </c>
      <c r="F3442">
        <v>6</v>
      </c>
      <c r="G3442">
        <v>2</v>
      </c>
      <c r="H3442" s="1">
        <v>1.4583333333333334E-3</v>
      </c>
      <c r="I3442">
        <v>2013</v>
      </c>
      <c r="J3442" t="s">
        <v>20</v>
      </c>
      <c r="K3442" s="2" t="str">
        <f>HYPERLINK("https://www.nba.com/stats/events?CFID=&amp;CFPARAMS=&amp;GameEventID=224&amp;GameID=0021300039&amp;Season=2013-14&amp;flag=1&amp;title=Leonard%2019'%20Jump%20Shot%20(4%20PTS)%20(Parker%204%20AST)", "Leonard 19' Jump Shot (4 PTS) (Parker 4 AST)")</f>
        <v>Leonard 19' Jump Shot (4 PTS) (Parker 4 AST)</v>
      </c>
      <c r="L3442" s="2" t="str">
        <f>HYPERLINK("https://www.nba.com/game/...-vs-...-0021300039/play-by-play?watchFullGame=true", "SAS vs POR - Q2 02:06.00")</f>
        <v>SAS vs POR - Q2 02:06.00</v>
      </c>
      <c r="M3442">
        <v>19</v>
      </c>
      <c r="N3442">
        <v>15</v>
      </c>
      <c r="O3442">
        <v>194</v>
      </c>
      <c r="P3442">
        <v>15</v>
      </c>
      <c r="Q3442">
        <v>194</v>
      </c>
      <c r="R3442" t="s">
        <v>21</v>
      </c>
      <c r="S3442" t="s">
        <v>21</v>
      </c>
    </row>
    <row r="3443" spans="1:19" hidden="1" x14ac:dyDescent="0.25">
      <c r="A3443">
        <v>21400637</v>
      </c>
      <c r="B3443" t="s">
        <v>18</v>
      </c>
      <c r="C3443" t="s">
        <v>19</v>
      </c>
      <c r="D3443">
        <v>38</v>
      </c>
      <c r="E3443">
        <v>41</v>
      </c>
      <c r="F3443">
        <v>3</v>
      </c>
      <c r="G3443">
        <v>2</v>
      </c>
      <c r="H3443" s="1">
        <v>1.0648148148148149E-3</v>
      </c>
      <c r="I3443">
        <v>2014</v>
      </c>
      <c r="J3443" t="s">
        <v>20</v>
      </c>
      <c r="K3443" s="2" t="str">
        <f>HYPERLINK("https://www.nba.com/stats/events?CFID=&amp;CFPARAMS=&amp;GameEventID=214&amp;GameID=0021400637&amp;Season=2014-15&amp;flag=1&amp;title=Leonard%2019'%20Jump%20Shot%20(14%20PTS)%20(Mills%202%20AST)", "Leonard 19' Jump Shot (14 PTS) (Mills 2 AST)")</f>
        <v>Leonard 19' Jump Shot (14 PTS) (Mills 2 AST)</v>
      </c>
      <c r="L3443" s="2" t="str">
        <f>HYPERLINK("https://www.nba.com/game/...-vs-...-0021400637/play-by-play?watchFullGame=true", "SAS vs CHI - Q2 01:32.00")</f>
        <v>SAS vs CHI - Q2 01:32.00</v>
      </c>
      <c r="M3443">
        <v>19</v>
      </c>
      <c r="N3443">
        <v>18</v>
      </c>
      <c r="O3443">
        <v>194</v>
      </c>
      <c r="P3443">
        <v>18</v>
      </c>
      <c r="Q3443">
        <v>194</v>
      </c>
      <c r="R3443" t="s">
        <v>21</v>
      </c>
      <c r="S3443" t="s">
        <v>21</v>
      </c>
    </row>
    <row r="3444" spans="1:19" hidden="1" x14ac:dyDescent="0.25">
      <c r="A3444">
        <v>21800930</v>
      </c>
      <c r="B3444" t="s">
        <v>18</v>
      </c>
      <c r="C3444" t="s">
        <v>19</v>
      </c>
      <c r="D3444">
        <v>105</v>
      </c>
      <c r="E3444">
        <v>105</v>
      </c>
      <c r="F3444">
        <v>0</v>
      </c>
      <c r="G3444">
        <v>4</v>
      </c>
      <c r="H3444" s="1">
        <v>2.0138888888888888E-3</v>
      </c>
      <c r="I3444">
        <v>2018</v>
      </c>
      <c r="J3444" t="s">
        <v>48</v>
      </c>
      <c r="K3444" s="2" t="str">
        <f>HYPERLINK("https://www.nba.com/stats/events?CFID=&amp;CFPARAMS=&amp;GameEventID=589&amp;GameID=0021800930&amp;Season=2018-19&amp;flag=1&amp;title=Leonard%2021'%20Jump%20Shot%20(31%20PTS)", "Leonard 21' Jump Shot (31 PTS)")</f>
        <v>Leonard 21' Jump Shot (31 PTS)</v>
      </c>
      <c r="L3444" s="2" t="str">
        <f>HYPERLINK("https://www.nba.com/game/...-vs-...-0021800930/play-by-play?watchFullGame=true", "TOR vs POR - Q4 02:54.00")</f>
        <v>TOR vs POR - Q4 02:54.00</v>
      </c>
      <c r="M3444">
        <v>21</v>
      </c>
      <c r="N3444">
        <v>-85</v>
      </c>
      <c r="O3444">
        <v>195</v>
      </c>
      <c r="P3444">
        <v>-85</v>
      </c>
      <c r="Q3444">
        <v>195</v>
      </c>
      <c r="R3444" t="s">
        <v>21</v>
      </c>
      <c r="S3444" t="s">
        <v>21</v>
      </c>
    </row>
    <row r="3445" spans="1:19" hidden="1" x14ac:dyDescent="0.25">
      <c r="A3445">
        <v>41600234</v>
      </c>
      <c r="B3445" t="s">
        <v>18</v>
      </c>
      <c r="C3445" t="s">
        <v>36</v>
      </c>
      <c r="D3445">
        <v>35</v>
      </c>
      <c r="E3445">
        <v>41</v>
      </c>
      <c r="F3445">
        <v>6</v>
      </c>
      <c r="G3445">
        <v>2</v>
      </c>
      <c r="H3445" s="1">
        <v>5.4629629629629629E-3</v>
      </c>
      <c r="I3445" t="s">
        <v>58</v>
      </c>
      <c r="J3445" t="s">
        <v>20</v>
      </c>
      <c r="K3445" s="2" t="str">
        <f>HYPERLINK("https://www.nba.com/stats/events?CFID=&amp;CFPARAMS=&amp;GameEventID=188&amp;GameID=0041600234&amp;Season=2016-17&amp;flag=1&amp;title=Leonard%2020'%20Pullup%20Jump%20Shot%20(10%20PTS)", "Leonard 20' Pullup Jump Shot (10 PTS)")</f>
        <v>Leonard 20' Pullup Jump Shot (10 PTS)</v>
      </c>
      <c r="L3445" s="2" t="str">
        <f>HYPERLINK("https://www.nba.com/game/...-vs-...-0041600234/play-by-play?watchFullGame=true", "SAS vs HOU - Q2 07:52.00")</f>
        <v>SAS vs HOU - Q2 07:52.00</v>
      </c>
      <c r="M3445">
        <v>20</v>
      </c>
      <c r="N3445">
        <v>9</v>
      </c>
      <c r="O3445">
        <v>195</v>
      </c>
      <c r="P3445">
        <v>9</v>
      </c>
      <c r="Q3445">
        <v>195</v>
      </c>
      <c r="R3445" t="s">
        <v>21</v>
      </c>
      <c r="S3445" t="s">
        <v>21</v>
      </c>
    </row>
    <row r="3446" spans="1:19" hidden="1" x14ac:dyDescent="0.25">
      <c r="A3446">
        <v>21401113</v>
      </c>
      <c r="B3446" t="s">
        <v>18</v>
      </c>
      <c r="C3446" t="s">
        <v>19</v>
      </c>
      <c r="D3446">
        <v>5</v>
      </c>
      <c r="E3446">
        <v>0</v>
      </c>
      <c r="F3446">
        <v>5</v>
      </c>
      <c r="G3446">
        <v>1</v>
      </c>
      <c r="H3446" s="1">
        <v>7.6041666666666671E-3</v>
      </c>
      <c r="I3446">
        <v>2014</v>
      </c>
      <c r="J3446" t="s">
        <v>20</v>
      </c>
      <c r="K3446" s="2" t="str">
        <f>HYPERLINK("https://www.nba.com/stats/events?CFID=&amp;CFPARAMS=&amp;GameEventID=9&amp;GameID=0021401113&amp;Season=2014-15&amp;flag=1&amp;title=Leonard%2020'%20Jump%20Shot%20(2%20PTS)", "Leonard 20' Jump Shot (2 PTS)")</f>
        <v>Leonard 20' Jump Shot (2 PTS)</v>
      </c>
      <c r="L3446" s="2" t="str">
        <f>HYPERLINK("https://www.nba.com/game/...-vs-...-0021401113/play-by-play?watchFullGame=true", "SAS vs ORL - Q1 10:57.00")</f>
        <v>SAS vs ORL - Q1 10:57.00</v>
      </c>
      <c r="M3446">
        <v>20</v>
      </c>
      <c r="N3446">
        <v>15</v>
      </c>
      <c r="O3446">
        <v>195</v>
      </c>
      <c r="P3446">
        <v>15</v>
      </c>
      <c r="Q3446">
        <v>195</v>
      </c>
      <c r="R3446" t="s">
        <v>21</v>
      </c>
      <c r="S3446" t="s">
        <v>21</v>
      </c>
    </row>
    <row r="3447" spans="1:19" hidden="1" x14ac:dyDescent="0.25">
      <c r="A3447">
        <v>21600865</v>
      </c>
      <c r="B3447" t="s">
        <v>18</v>
      </c>
      <c r="C3447" t="s">
        <v>19</v>
      </c>
      <c r="D3447">
        <v>49</v>
      </c>
      <c r="E3447">
        <v>42</v>
      </c>
      <c r="F3447">
        <v>7</v>
      </c>
      <c r="G3447">
        <v>3</v>
      </c>
      <c r="H3447" s="1">
        <v>7.4537037037037037E-3</v>
      </c>
      <c r="I3447">
        <v>2016</v>
      </c>
      <c r="J3447" t="s">
        <v>20</v>
      </c>
      <c r="K3447" s="2" t="str">
        <f>HYPERLINK("https://www.nba.com/stats/events?CFID=&amp;CFPARAMS=&amp;GameEventID=264&amp;GameID=0021600865&amp;Season=2016-17&amp;flag=1&amp;title=Leonard%2021'%20Jump%20Shot%20(12%20PTS)%20(Dedmon%202%20AST)", "Leonard 21' Jump Shot (12 PTS) (Dedmon 2 AST)")</f>
        <v>Leonard 21' Jump Shot (12 PTS) (Dedmon 2 AST)</v>
      </c>
      <c r="L3447" s="2" t="str">
        <f>HYPERLINK("https://www.nba.com/game/...-vs-...-0021600865/play-by-play?watchFullGame=true", "SAS vs LAC - Q3 10:44.00")</f>
        <v>SAS vs LAC - Q3 10:44.00</v>
      </c>
      <c r="M3447">
        <v>21</v>
      </c>
      <c r="N3447">
        <v>79</v>
      </c>
      <c r="O3447">
        <v>195</v>
      </c>
      <c r="P3447">
        <v>79</v>
      </c>
      <c r="Q3447">
        <v>195</v>
      </c>
      <c r="R3447" t="s">
        <v>21</v>
      </c>
      <c r="S3447" t="s">
        <v>21</v>
      </c>
    </row>
    <row r="3448" spans="1:19" hidden="1" x14ac:dyDescent="0.25">
      <c r="A3448">
        <v>21600701</v>
      </c>
      <c r="B3448" t="s">
        <v>18</v>
      </c>
      <c r="C3448" t="s">
        <v>19</v>
      </c>
      <c r="D3448">
        <v>60</v>
      </c>
      <c r="E3448">
        <v>55</v>
      </c>
      <c r="F3448">
        <v>5</v>
      </c>
      <c r="G3448">
        <v>3</v>
      </c>
      <c r="H3448" s="1">
        <v>6.2615740740740739E-3</v>
      </c>
      <c r="I3448">
        <v>2016</v>
      </c>
      <c r="J3448" t="s">
        <v>20</v>
      </c>
      <c r="K3448" s="2" t="str">
        <f>HYPERLINK("https://www.nba.com/stats/events?CFID=&amp;CFPARAMS=&amp;GameEventID=322&amp;GameID=0021600701&amp;Season=2016-17&amp;flag=1&amp;title=Leonard%2021'%20Jump%20Shot%20(16%20PTS)", "Leonard 21' Jump Shot (16 PTS)")</f>
        <v>Leonard 21' Jump Shot (16 PTS)</v>
      </c>
      <c r="L3448" s="2" t="str">
        <f>HYPERLINK("https://www.nba.com/game/...-vs-...-0021600701/play-by-play?watchFullGame=true", "SAS vs NOP - Q3 09:01.00")</f>
        <v>SAS vs NOP - Q3 09:01.00</v>
      </c>
      <c r="M3448">
        <v>21</v>
      </c>
      <c r="N3448">
        <v>-83</v>
      </c>
      <c r="O3448">
        <v>198</v>
      </c>
      <c r="P3448">
        <v>-83</v>
      </c>
      <c r="Q3448">
        <v>198</v>
      </c>
      <c r="R3448" t="s">
        <v>21</v>
      </c>
      <c r="S3448" t="s">
        <v>21</v>
      </c>
    </row>
    <row r="3449" spans="1:19" hidden="1" x14ac:dyDescent="0.25">
      <c r="A3449">
        <v>21300032</v>
      </c>
      <c r="B3449" t="s">
        <v>18</v>
      </c>
      <c r="C3449" t="s">
        <v>19</v>
      </c>
      <c r="D3449">
        <v>35</v>
      </c>
      <c r="E3449">
        <v>37</v>
      </c>
      <c r="F3449">
        <v>2</v>
      </c>
      <c r="G3449">
        <v>2</v>
      </c>
      <c r="H3449" s="1">
        <v>2.6157407407407405E-3</v>
      </c>
      <c r="I3449">
        <v>2013</v>
      </c>
      <c r="J3449" t="s">
        <v>20</v>
      </c>
      <c r="K3449" s="2" t="str">
        <f>HYPERLINK("https://www.nba.com/stats/events?CFID=&amp;CFPARAMS=&amp;GameEventID=229&amp;GameID=0021300032&amp;Season=2013-14&amp;flag=1&amp;title=Leonard%2021'%20Jump%20Shot%20(9%20PTS)%20(Parker%203%20AST)", "Leonard 21' Jump Shot (9 PTS) (Parker 3 AST)")</f>
        <v>Leonard 21' Jump Shot (9 PTS) (Parker 3 AST)</v>
      </c>
      <c r="L3449" s="2" t="str">
        <f>HYPERLINK("https://www.nba.com/game/...-vs-...-0021300032/play-by-play?watchFullGame=true", "SAS vs LAL - Q2 03:46.00")</f>
        <v>SAS vs LAL - Q2 03:46.00</v>
      </c>
      <c r="M3449">
        <v>21</v>
      </c>
      <c r="N3449">
        <v>-73</v>
      </c>
      <c r="O3449">
        <v>198</v>
      </c>
      <c r="P3449">
        <v>-73</v>
      </c>
      <c r="Q3449">
        <v>198</v>
      </c>
      <c r="R3449" t="s">
        <v>21</v>
      </c>
      <c r="S3449" t="s">
        <v>21</v>
      </c>
    </row>
    <row r="3450" spans="1:19" hidden="1" x14ac:dyDescent="0.25">
      <c r="A3450">
        <v>21500566</v>
      </c>
      <c r="B3450" t="s">
        <v>18</v>
      </c>
      <c r="C3450" t="s">
        <v>19</v>
      </c>
      <c r="D3450">
        <v>58</v>
      </c>
      <c r="E3450">
        <v>47</v>
      </c>
      <c r="F3450">
        <v>11</v>
      </c>
      <c r="G3450">
        <v>3</v>
      </c>
      <c r="H3450" s="1">
        <v>4.5717592592592589E-3</v>
      </c>
      <c r="I3450">
        <v>2015</v>
      </c>
      <c r="J3450" t="s">
        <v>20</v>
      </c>
      <c r="K3450" s="2" t="str">
        <f>HYPERLINK("https://www.nba.com/stats/events?CFID=&amp;CFPARAMS=&amp;GameEventID=254&amp;GameID=0021500566&amp;Season=2015-16&amp;flag=1&amp;title=Leonard%2020'%20Jump%20Shot%20(9%20PTS)%20(Parker%204%20AST)", "Leonard 20' Jump Shot (9 PTS) (Parker 4 AST)")</f>
        <v>Leonard 20' Jump Shot (9 PTS) (Parker 4 AST)</v>
      </c>
      <c r="L3450" s="2" t="str">
        <f>HYPERLINK("https://www.nba.com/game/...-vs-...-0021500566/play-by-play?watchFullGame=true", "SAS vs BKN - Q3 06:35.00")</f>
        <v>SAS vs BKN - Q3 06:35.00</v>
      </c>
      <c r="M3450">
        <v>20</v>
      </c>
      <c r="N3450">
        <v>-2</v>
      </c>
      <c r="O3450">
        <v>198</v>
      </c>
      <c r="P3450">
        <v>-2</v>
      </c>
      <c r="Q3450">
        <v>198</v>
      </c>
      <c r="R3450" t="s">
        <v>21</v>
      </c>
      <c r="S3450" t="s">
        <v>21</v>
      </c>
    </row>
    <row r="3451" spans="1:19" hidden="1" x14ac:dyDescent="0.25">
      <c r="A3451">
        <v>21400220</v>
      </c>
      <c r="B3451" t="s">
        <v>18</v>
      </c>
      <c r="C3451" t="s">
        <v>36</v>
      </c>
      <c r="D3451">
        <v>20</v>
      </c>
      <c r="E3451">
        <v>16</v>
      </c>
      <c r="F3451">
        <v>4</v>
      </c>
      <c r="G3451">
        <v>1</v>
      </c>
      <c r="H3451" s="1">
        <v>2.7199074074074074E-3</v>
      </c>
      <c r="I3451">
        <v>2014</v>
      </c>
      <c r="J3451" t="s">
        <v>20</v>
      </c>
      <c r="K3451" s="2" t="str">
        <f>HYPERLINK("https://www.nba.com/stats/events?CFID=&amp;CFPARAMS=&amp;GameEventID=68&amp;GameID=0021400220&amp;Season=2014-15&amp;flag=1&amp;title=Leonard%2020'%20Pullup%20Jump%20Shot%20(9%20PTS)", "Leonard 20' Pullup Jump Shot (9 PTS)")</f>
        <v>Leonard 20' Pullup Jump Shot (9 PTS)</v>
      </c>
      <c r="L3451" s="2" t="str">
        <f>HYPERLINK("https://www.nba.com/game/...-vs-...-0021400220/play-by-play?watchFullGame=true", "SAS vs IND - Q1 03:55.00")</f>
        <v>SAS vs IND - Q1 03:55.00</v>
      </c>
      <c r="M3451">
        <v>20</v>
      </c>
      <c r="N3451">
        <v>-19</v>
      </c>
      <c r="O3451">
        <v>200</v>
      </c>
      <c r="P3451">
        <v>-19</v>
      </c>
      <c r="Q3451">
        <v>200</v>
      </c>
      <c r="R3451" t="s">
        <v>21</v>
      </c>
      <c r="S3451" t="s">
        <v>21</v>
      </c>
    </row>
    <row r="3452" spans="1:19" hidden="1" x14ac:dyDescent="0.25">
      <c r="A3452">
        <v>41800304</v>
      </c>
      <c r="B3452" t="s">
        <v>18</v>
      </c>
      <c r="C3452" t="s">
        <v>39</v>
      </c>
      <c r="D3452">
        <v>86</v>
      </c>
      <c r="E3452">
        <v>74</v>
      </c>
      <c r="F3452">
        <v>12</v>
      </c>
      <c r="G3452">
        <v>3</v>
      </c>
      <c r="H3452" s="1">
        <v>2.2569444444444442E-3</v>
      </c>
      <c r="I3452" t="s">
        <v>60</v>
      </c>
      <c r="J3452" t="s">
        <v>48</v>
      </c>
      <c r="K3452" s="2" t="str">
        <f>HYPERLINK("https://www.nba.com/stats/events?CFID=&amp;CFPARAMS=&amp;GameEventID=500&amp;GameID=0041800304&amp;Season=2018-19&amp;flag=1&amp;title=Leonard%2020'%20Step%20Back%20Jump%20Shot%20(13%20PTS)%20(Powell%202%20AST)", "Leonard 20' Step Back Jump Shot (13 PTS) (Powell 2 AST)")</f>
        <v>Leonard 20' Step Back Jump Shot (13 PTS) (Powell 2 AST)</v>
      </c>
      <c r="L3452" s="2" t="str">
        <f>HYPERLINK("https://www.nba.com/game/...-vs-...-0041800304/play-by-play?watchFullGame=true", "TOR vs MIL - Q3 03:15.00")</f>
        <v>TOR vs MIL - Q3 03:15.00</v>
      </c>
      <c r="M3452">
        <v>20</v>
      </c>
      <c r="N3452">
        <v>-9</v>
      </c>
      <c r="O3452">
        <v>200</v>
      </c>
      <c r="P3452">
        <v>-9</v>
      </c>
      <c r="Q3452">
        <v>200</v>
      </c>
      <c r="R3452" t="s">
        <v>21</v>
      </c>
      <c r="S3452" t="s">
        <v>21</v>
      </c>
    </row>
    <row r="3453" spans="1:19" hidden="1" x14ac:dyDescent="0.25">
      <c r="A3453">
        <v>21600289</v>
      </c>
      <c r="B3453" t="s">
        <v>18</v>
      </c>
      <c r="C3453" t="s">
        <v>19</v>
      </c>
      <c r="D3453">
        <v>2</v>
      </c>
      <c r="E3453">
        <v>0</v>
      </c>
      <c r="F3453">
        <v>2</v>
      </c>
      <c r="G3453">
        <v>1</v>
      </c>
      <c r="H3453" s="1">
        <v>8.1828703703703699E-3</v>
      </c>
      <c r="I3453">
        <v>2016</v>
      </c>
      <c r="J3453" t="s">
        <v>20</v>
      </c>
      <c r="K3453" s="2" t="str">
        <f>HYPERLINK("https://www.nba.com/stats/events?CFID=&amp;CFPARAMS=&amp;GameEventID=3&amp;GameID=0021600289&amp;Season=2016-17&amp;flag=1&amp;title=Leonard%2020'%20Jump%20Shot%20(2%20PTS)%20(Gasol%201%20AST)", "Leonard 20' Jump Shot (2 PTS) (Gasol 1 AST)")</f>
        <v>Leonard 20' Jump Shot (2 PTS) (Gasol 1 AST)</v>
      </c>
      <c r="L3453" s="2" t="str">
        <f>HYPERLINK("https://www.nba.com/game/...-vs-...-0021600289/play-by-play?watchFullGame=true", "SAS vs WAS - Q1 11:47.00")</f>
        <v>SAS vs WAS - Q1 11:47.00</v>
      </c>
      <c r="M3453">
        <v>20</v>
      </c>
      <c r="N3453">
        <v>-7</v>
      </c>
      <c r="O3453">
        <v>200</v>
      </c>
      <c r="P3453">
        <v>-7</v>
      </c>
      <c r="Q3453">
        <v>200</v>
      </c>
      <c r="R3453" t="s">
        <v>21</v>
      </c>
      <c r="S3453" t="s">
        <v>21</v>
      </c>
    </row>
    <row r="3454" spans="1:19" hidden="1" x14ac:dyDescent="0.25">
      <c r="A3454">
        <v>21600865</v>
      </c>
      <c r="B3454" t="s">
        <v>18</v>
      </c>
      <c r="C3454" t="s">
        <v>36</v>
      </c>
      <c r="D3454">
        <v>39</v>
      </c>
      <c r="E3454">
        <v>37</v>
      </c>
      <c r="F3454">
        <v>2</v>
      </c>
      <c r="G3454">
        <v>2</v>
      </c>
      <c r="H3454" s="1">
        <v>1.25E-3</v>
      </c>
      <c r="I3454">
        <v>2016</v>
      </c>
      <c r="J3454" t="s">
        <v>20</v>
      </c>
      <c r="K3454" s="2" t="str">
        <f>HYPERLINK("https://www.nba.com/stats/events?CFID=&amp;CFPARAMS=&amp;GameEventID=222&amp;GameID=0021600865&amp;Season=2016-17&amp;flag=1&amp;title=Leonard%2020'%20Pullup%20Jump%20Shot%20(8%20PTS)", "Leonard 20' Pullup Jump Shot (8 PTS)")</f>
        <v>Leonard 20' Pullup Jump Shot (8 PTS)</v>
      </c>
      <c r="L3454" s="2" t="str">
        <f>HYPERLINK("https://www.nba.com/game/...-vs-...-0021600865/play-by-play?watchFullGame=true", "SAS vs LAC - Q2 01:48.00")</f>
        <v>SAS vs LAC - Q2 01:48.00</v>
      </c>
      <c r="M3454">
        <v>20</v>
      </c>
      <c r="N3454">
        <v>-1</v>
      </c>
      <c r="O3454">
        <v>200</v>
      </c>
      <c r="P3454">
        <v>-1</v>
      </c>
      <c r="Q3454">
        <v>200</v>
      </c>
      <c r="R3454" t="s">
        <v>21</v>
      </c>
      <c r="S3454" t="s">
        <v>21</v>
      </c>
    </row>
    <row r="3455" spans="1:19" hidden="1" x14ac:dyDescent="0.25">
      <c r="A3455">
        <v>21800909</v>
      </c>
      <c r="B3455" t="s">
        <v>18</v>
      </c>
      <c r="C3455" t="s">
        <v>36</v>
      </c>
      <c r="D3455">
        <v>61</v>
      </c>
      <c r="E3455">
        <v>41</v>
      </c>
      <c r="F3455">
        <v>20</v>
      </c>
      <c r="G3455">
        <v>2</v>
      </c>
      <c r="H3455" s="1">
        <v>1.8171296296296297E-3</v>
      </c>
      <c r="I3455">
        <v>2018</v>
      </c>
      <c r="J3455" t="s">
        <v>48</v>
      </c>
      <c r="K3455" s="2" t="str">
        <f>HYPERLINK("https://www.nba.com/stats/events?CFID=&amp;CFPARAMS=&amp;GameEventID=294&amp;GameID=0021800909&amp;Season=2018-19&amp;flag=1&amp;title=Leonard%2020'%20Pullup%20Jump%20Shot%20(10%20PTS)", "Leonard 20' Pullup Jump Shot (10 PTS)")</f>
        <v>Leonard 20' Pullup Jump Shot (10 PTS)</v>
      </c>
      <c r="L3455" s="2" t="str">
        <f>HYPERLINK("https://www.nba.com/game/...-vs-...-0021800909/play-by-play?watchFullGame=true", "TOR vs BOS - Q2 02:37.00")</f>
        <v>TOR vs BOS - Q2 02:37.00</v>
      </c>
      <c r="M3455">
        <v>20</v>
      </c>
      <c r="N3455">
        <v>14</v>
      </c>
      <c r="O3455">
        <v>201</v>
      </c>
      <c r="P3455">
        <v>14</v>
      </c>
      <c r="Q3455">
        <v>201</v>
      </c>
      <c r="R3455" t="s">
        <v>21</v>
      </c>
      <c r="S3455" t="s">
        <v>21</v>
      </c>
    </row>
    <row r="3456" spans="1:19" hidden="1" x14ac:dyDescent="0.25">
      <c r="A3456">
        <v>21801001</v>
      </c>
      <c r="B3456" t="s">
        <v>18</v>
      </c>
      <c r="C3456" t="s">
        <v>36</v>
      </c>
      <c r="D3456">
        <v>66</v>
      </c>
      <c r="E3456">
        <v>75</v>
      </c>
      <c r="F3456">
        <v>9</v>
      </c>
      <c r="G3456">
        <v>3</v>
      </c>
      <c r="H3456" s="1">
        <v>3.8194444444444443E-3</v>
      </c>
      <c r="I3456">
        <v>2018</v>
      </c>
      <c r="J3456" t="s">
        <v>48</v>
      </c>
      <c r="K3456" s="2" t="str">
        <f>HYPERLINK("https://www.nba.com/stats/events?CFID=&amp;CFPARAMS=&amp;GameEventID=423&amp;GameID=0021801001&amp;Season=2018-19&amp;flag=1&amp;title=Leonard%2020'%20Pullup%20Jump%20Shot%20(21%20PTS)", "Leonard 20' Pullup Jump Shot (21 PTS)")</f>
        <v>Leonard 20' Pullup Jump Shot (21 PTS)</v>
      </c>
      <c r="L3456" s="2" t="str">
        <f>HYPERLINK("https://www.nba.com/game/...-vs-...-0021801001/play-by-play?watchFullGame=true", "TOR vs CLE - Q3 05:30.00")</f>
        <v>TOR vs CLE - Q3 05:30.00</v>
      </c>
      <c r="M3456">
        <v>20</v>
      </c>
      <c r="N3456">
        <v>37</v>
      </c>
      <c r="O3456">
        <v>201</v>
      </c>
      <c r="P3456">
        <v>37</v>
      </c>
      <c r="Q3456">
        <v>201</v>
      </c>
      <c r="R3456" t="s">
        <v>21</v>
      </c>
      <c r="S3456" t="s">
        <v>21</v>
      </c>
    </row>
    <row r="3457" spans="1:19" hidden="1" x14ac:dyDescent="0.25">
      <c r="A3457">
        <v>21700402</v>
      </c>
      <c r="B3457" t="s">
        <v>18</v>
      </c>
      <c r="C3457" t="s">
        <v>36</v>
      </c>
      <c r="D3457">
        <v>8</v>
      </c>
      <c r="E3457">
        <v>10</v>
      </c>
      <c r="F3457">
        <v>2</v>
      </c>
      <c r="G3457">
        <v>1</v>
      </c>
      <c r="H3457" s="1">
        <v>5.0231481481481481E-3</v>
      </c>
      <c r="I3457">
        <v>2017</v>
      </c>
      <c r="J3457" t="s">
        <v>20</v>
      </c>
      <c r="K3457" s="2" t="str">
        <f>HYPERLINK("https://www.nba.com/stats/events?CFID=&amp;CFPARAMS=&amp;GameEventID=44&amp;GameID=0021700402&amp;Season=2017-18&amp;flag=1&amp;title=Leonard%2020'%20Pullup%20Jump%20Shot%20(6%20PTS)", "Leonard 20' Pullup Jump Shot (6 PTS)")</f>
        <v>Leonard 20' Pullup Jump Shot (6 PTS)</v>
      </c>
      <c r="L3457" s="2" t="str">
        <f>HYPERLINK("https://www.nba.com/game/...-vs-...-0021700402/play-by-play?watchFullGame=true", "SAS vs DAL - Q1 07:14.00")</f>
        <v>SAS vs DAL - Q1 07:14.00</v>
      </c>
      <c r="M3457">
        <v>20</v>
      </c>
      <c r="N3457">
        <v>-2</v>
      </c>
      <c r="O3457">
        <v>202</v>
      </c>
      <c r="P3457">
        <v>-2</v>
      </c>
      <c r="Q3457">
        <v>202</v>
      </c>
      <c r="R3457" t="s">
        <v>21</v>
      </c>
      <c r="S3457" t="s">
        <v>21</v>
      </c>
    </row>
    <row r="3458" spans="1:19" hidden="1" x14ac:dyDescent="0.25">
      <c r="A3458">
        <v>21600458</v>
      </c>
      <c r="B3458" t="s">
        <v>18</v>
      </c>
      <c r="C3458" t="s">
        <v>36</v>
      </c>
      <c r="D3458">
        <v>23</v>
      </c>
      <c r="E3458">
        <v>8</v>
      </c>
      <c r="F3458">
        <v>15</v>
      </c>
      <c r="G3458">
        <v>1</v>
      </c>
      <c r="H3458" s="1">
        <v>3.9120370370370368E-3</v>
      </c>
      <c r="I3458">
        <v>2016</v>
      </c>
      <c r="J3458" t="s">
        <v>20</v>
      </c>
      <c r="K3458" s="2" t="str">
        <f>HYPERLINK("https://www.nba.com/stats/events?CFID=&amp;CFPARAMS=&amp;GameEventID=46&amp;GameID=0021600458&amp;Season=2016-17&amp;flag=1&amp;title=Leonard%2020'%20Pullup%20Jump%20Shot%20(11%20PTS)%20(Gasol%201%20AST)", "Leonard 20' Pullup Jump Shot (11 PTS) (Gasol 1 AST)")</f>
        <v>Leonard 20' Pullup Jump Shot (11 PTS) (Gasol 1 AST)</v>
      </c>
      <c r="L3458" s="2" t="str">
        <f>HYPERLINK("https://www.nba.com/game/...-vs-...-0021600458/play-by-play?watchFullGame=true", "SAS vs CHI - Q1 05:38.00")</f>
        <v>SAS vs CHI - Q1 05:38.00</v>
      </c>
      <c r="M3458">
        <v>20</v>
      </c>
      <c r="N3458">
        <v>-9</v>
      </c>
      <c r="O3458">
        <v>203</v>
      </c>
      <c r="P3458">
        <v>-9</v>
      </c>
      <c r="Q3458">
        <v>203</v>
      </c>
      <c r="R3458" t="s">
        <v>21</v>
      </c>
      <c r="S3458" t="s">
        <v>21</v>
      </c>
    </row>
    <row r="3459" spans="1:19" hidden="1" x14ac:dyDescent="0.25">
      <c r="A3459">
        <v>21600387</v>
      </c>
      <c r="B3459" t="s">
        <v>18</v>
      </c>
      <c r="C3459" t="s">
        <v>36</v>
      </c>
      <c r="D3459">
        <v>7</v>
      </c>
      <c r="E3459">
        <v>12</v>
      </c>
      <c r="F3459">
        <v>5</v>
      </c>
      <c r="G3459">
        <v>1</v>
      </c>
      <c r="H3459" s="1">
        <v>5.1041666666666666E-3</v>
      </c>
      <c r="I3459">
        <v>2016</v>
      </c>
      <c r="J3459" t="s">
        <v>20</v>
      </c>
      <c r="K3459" s="2" t="str">
        <f>HYPERLINK("https://www.nba.com/stats/events?CFID=&amp;CFPARAMS=&amp;GameEventID=32&amp;GameID=0021600387&amp;Season=2016-17&amp;flag=1&amp;title=Leonard%2021'%20Pullup%20Jump%20Shot%20(2%20PTS)", "Leonard 21' Pullup Jump Shot (2 PTS)")</f>
        <v>Leonard 21' Pullup Jump Shot (2 PTS)</v>
      </c>
      <c r="L3459" s="2" t="str">
        <f>HYPERLINK("https://www.nba.com/game/...-vs-...-0021600387/play-by-play?watchFullGame=true", "SAS vs PHX - Q1 07:21.00")</f>
        <v>SAS vs PHX - Q1 07:21.00</v>
      </c>
      <c r="M3459">
        <v>21</v>
      </c>
      <c r="N3459">
        <v>42</v>
      </c>
      <c r="O3459">
        <v>203</v>
      </c>
      <c r="P3459">
        <v>42</v>
      </c>
      <c r="Q3459">
        <v>203</v>
      </c>
      <c r="R3459" t="s">
        <v>21</v>
      </c>
      <c r="S3459" t="s">
        <v>21</v>
      </c>
    </row>
    <row r="3460" spans="1:19" hidden="1" x14ac:dyDescent="0.25">
      <c r="A3460">
        <v>41800306</v>
      </c>
      <c r="B3460" t="s">
        <v>18</v>
      </c>
      <c r="C3460" t="s">
        <v>39</v>
      </c>
      <c r="D3460">
        <v>23</v>
      </c>
      <c r="E3460">
        <v>33</v>
      </c>
      <c r="F3460">
        <v>10</v>
      </c>
      <c r="G3460">
        <v>2</v>
      </c>
      <c r="H3460" s="1">
        <v>7.4884259259259262E-3</v>
      </c>
      <c r="I3460" t="s">
        <v>60</v>
      </c>
      <c r="J3460" t="s">
        <v>48</v>
      </c>
      <c r="K3460" s="2" t="str">
        <f>HYPERLINK("https://www.nba.com/stats/events?CFID=&amp;CFPARAMS=&amp;GameEventID=166&amp;GameID=0041800306&amp;Season=2018-19&amp;flag=1&amp;title=Leonard%2021'%20Step%20Back%20Jump%20Shot%20(6%20PTS)", "Leonard 21' Step Back Jump Shot (6 PTS)")</f>
        <v>Leonard 21' Step Back Jump Shot (6 PTS)</v>
      </c>
      <c r="L3460" s="2" t="str">
        <f>HYPERLINK("https://www.nba.com/game/...-vs-...-0041800306/play-by-play?watchFullGame=true", "TOR vs MIL - Q2 10:47.00")</f>
        <v>TOR vs MIL - Q2 10:47.00</v>
      </c>
      <c r="M3460">
        <v>21</v>
      </c>
      <c r="N3460">
        <v>34</v>
      </c>
      <c r="O3460">
        <v>204</v>
      </c>
      <c r="P3460">
        <v>34</v>
      </c>
      <c r="Q3460">
        <v>204</v>
      </c>
      <c r="R3460" t="s">
        <v>21</v>
      </c>
      <c r="S3460" t="s">
        <v>21</v>
      </c>
    </row>
    <row r="3461" spans="1:19" hidden="1" x14ac:dyDescent="0.25">
      <c r="A3461">
        <v>21601227</v>
      </c>
      <c r="B3461" t="s">
        <v>18</v>
      </c>
      <c r="C3461" t="s">
        <v>19</v>
      </c>
      <c r="D3461">
        <v>46</v>
      </c>
      <c r="E3461">
        <v>53</v>
      </c>
      <c r="F3461">
        <v>7</v>
      </c>
      <c r="G3461">
        <v>2</v>
      </c>
      <c r="H3461" s="1">
        <v>8.2175925925925917E-5</v>
      </c>
      <c r="I3461">
        <v>2016</v>
      </c>
      <c r="J3461" t="s">
        <v>20</v>
      </c>
      <c r="K3461" s="2" t="str">
        <f>HYPERLINK("https://www.nba.com/stats/events?CFID=&amp;CFPARAMS=&amp;GameEventID=222&amp;GameID=0021601227&amp;Season=2016-17&amp;flag=1&amp;title=Leonard%2021'%20Jump%20Shot%20(9%20PTS)", "Leonard 21' Jump Shot (9 PTS)")</f>
        <v>Leonard 21' Jump Shot (9 PTS)</v>
      </c>
      <c r="L3461" s="2" t="str">
        <f>HYPERLINK("https://www.nba.com/game/...-vs-...-0021601227/play-by-play?watchFullGame=true", "SAS vs UTA - Q2 00:07.10")</f>
        <v>SAS vs UTA - Q2 00:07.10</v>
      </c>
      <c r="M3461">
        <v>21</v>
      </c>
      <c r="N3461">
        <v>-2</v>
      </c>
      <c r="O3461">
        <v>208</v>
      </c>
      <c r="P3461">
        <v>-2</v>
      </c>
      <c r="Q3461">
        <v>208</v>
      </c>
      <c r="R3461" t="s">
        <v>21</v>
      </c>
      <c r="S3461" t="s">
        <v>21</v>
      </c>
    </row>
    <row r="3462" spans="1:19" hidden="1" x14ac:dyDescent="0.25">
      <c r="A3462">
        <v>21800161</v>
      </c>
      <c r="B3462" t="s">
        <v>18</v>
      </c>
      <c r="C3462" t="s">
        <v>19</v>
      </c>
      <c r="D3462">
        <v>86</v>
      </c>
      <c r="E3462">
        <v>71</v>
      </c>
      <c r="F3462">
        <v>15</v>
      </c>
      <c r="G3462">
        <v>3</v>
      </c>
      <c r="H3462" s="1">
        <v>2.673611111111111E-3</v>
      </c>
      <c r="I3462">
        <v>2018</v>
      </c>
      <c r="J3462" t="s">
        <v>48</v>
      </c>
      <c r="K3462" s="2" t="str">
        <f>HYPERLINK("https://www.nba.com/stats/events?CFID=&amp;CFPARAMS=&amp;GameEventID=449&amp;GameID=0021800161&amp;Season=2018-19&amp;flag=1&amp;title=Leonard%2021'%20Jump%20Shot%20(19%20PTS)", "Leonard 21' Jump Shot (19 PTS)")</f>
        <v>Leonard 21' Jump Shot (19 PTS)</v>
      </c>
      <c r="L3462" s="2" t="str">
        <f>HYPERLINK("https://www.nba.com/game/...-vs-...-0021800161/play-by-play?watchFullGame=true", "TOR vs SAC - Q3 03:51.00")</f>
        <v>TOR vs SAC - Q3 03:51.00</v>
      </c>
      <c r="M3462">
        <v>21</v>
      </c>
      <c r="N3462">
        <v>-18</v>
      </c>
      <c r="O3462">
        <v>209</v>
      </c>
      <c r="P3462">
        <v>-18</v>
      </c>
      <c r="Q3462">
        <v>209</v>
      </c>
      <c r="R3462" t="s">
        <v>21</v>
      </c>
      <c r="S3462" t="s">
        <v>21</v>
      </c>
    </row>
    <row r="3463" spans="1:19" hidden="1" x14ac:dyDescent="0.25">
      <c r="A3463">
        <v>21301221</v>
      </c>
      <c r="B3463" t="s">
        <v>18</v>
      </c>
      <c r="C3463" t="s">
        <v>36</v>
      </c>
      <c r="D3463">
        <v>37</v>
      </c>
      <c r="E3463">
        <v>42</v>
      </c>
      <c r="F3463">
        <v>5</v>
      </c>
      <c r="G3463">
        <v>2</v>
      </c>
      <c r="H3463" s="1">
        <v>5.0115740740740737E-3</v>
      </c>
      <c r="I3463">
        <v>2013</v>
      </c>
      <c r="J3463" t="s">
        <v>20</v>
      </c>
      <c r="K3463" s="2" t="str">
        <f>HYPERLINK("https://www.nba.com/stats/events?CFID=&amp;CFPARAMS=&amp;GameEventID=165&amp;GameID=0021301221&amp;Season=2013-14&amp;flag=1&amp;title=Leonard%2022'%20Pullup%20Jump%20Shot%20(9%20PTS)", "Leonard 22' Pullup Jump Shot (9 PTS)")</f>
        <v>Leonard 22' Pullup Jump Shot (9 PTS)</v>
      </c>
      <c r="L3463" s="2" t="str">
        <f>HYPERLINK("https://www.nba.com/game/...-vs-...-0021301221/play-by-play?watchFullGame=true", "SAS vs LAL - Q2 07:13.00")</f>
        <v>SAS vs LAL - Q2 07:13.00</v>
      </c>
      <c r="M3463">
        <v>22</v>
      </c>
      <c r="N3463">
        <v>42</v>
      </c>
      <c r="O3463">
        <v>211</v>
      </c>
      <c r="P3463">
        <v>42</v>
      </c>
      <c r="Q3463">
        <v>211</v>
      </c>
      <c r="R3463" t="s">
        <v>21</v>
      </c>
      <c r="S3463" t="s">
        <v>21</v>
      </c>
    </row>
    <row r="3464" spans="1:19" hidden="1" x14ac:dyDescent="0.25">
      <c r="A3464">
        <v>21600213</v>
      </c>
      <c r="B3464" t="s">
        <v>18</v>
      </c>
      <c r="C3464" t="s">
        <v>19</v>
      </c>
      <c r="D3464">
        <v>79</v>
      </c>
      <c r="E3464">
        <v>76</v>
      </c>
      <c r="F3464">
        <v>3</v>
      </c>
      <c r="G3464">
        <v>3</v>
      </c>
      <c r="H3464" s="1">
        <v>2.1643518518518518E-3</v>
      </c>
      <c r="I3464">
        <v>2016</v>
      </c>
      <c r="J3464" t="s">
        <v>20</v>
      </c>
      <c r="K3464" s="2" t="str">
        <f>HYPERLINK("https://www.nba.com/stats/events?CFID=&amp;CFPARAMS=&amp;GameEventID=322&amp;GameID=0021600213&amp;Season=2016-17&amp;flag=1&amp;title=Leonard%2022'%20Jump%20Shot%20(26%20PTS)", "Leonard 22' Jump Shot (26 PTS)")</f>
        <v>Leonard 22' Jump Shot (26 PTS)</v>
      </c>
      <c r="L3464" s="2" t="str">
        <f>HYPERLINK("https://www.nba.com/game/...-vs-...-0021600213/play-by-play?watchFullGame=true", "SAS vs CHA - Q3 03:07.00")</f>
        <v>SAS vs CHA - Q3 03:07.00</v>
      </c>
      <c r="M3464">
        <v>22</v>
      </c>
      <c r="N3464">
        <v>-47</v>
      </c>
      <c r="O3464">
        <v>213</v>
      </c>
      <c r="P3464">
        <v>-47</v>
      </c>
      <c r="Q3464">
        <v>213</v>
      </c>
      <c r="R3464" t="s">
        <v>21</v>
      </c>
      <c r="S3464" t="s">
        <v>21</v>
      </c>
    </row>
    <row r="3465" spans="1:19" hidden="1" x14ac:dyDescent="0.25">
      <c r="A3465">
        <v>21600454</v>
      </c>
      <c r="B3465" t="s">
        <v>18</v>
      </c>
      <c r="C3465" t="s">
        <v>36</v>
      </c>
      <c r="D3465">
        <v>8</v>
      </c>
      <c r="E3465">
        <v>7</v>
      </c>
      <c r="F3465">
        <v>1</v>
      </c>
      <c r="G3465">
        <v>1</v>
      </c>
      <c r="H3465" s="1">
        <v>5.2893518518518515E-3</v>
      </c>
      <c r="I3465">
        <v>2016</v>
      </c>
      <c r="J3465" t="s">
        <v>20</v>
      </c>
      <c r="K3465" s="2" t="str">
        <f>HYPERLINK("https://www.nba.com/stats/events?CFID=&amp;CFPARAMS=&amp;GameEventID=51&amp;GameID=0021600454&amp;Season=2016-17&amp;flag=1&amp;title=Leonard%2022'%20Pullup%20Jump%20Shot%20(4%20PTS)", "Leonard 22' Pullup Jump Shot (4 PTS)")</f>
        <v>Leonard 22' Pullup Jump Shot (4 PTS)</v>
      </c>
      <c r="L3465" s="2" t="str">
        <f>HYPERLINK("https://www.nba.com/game/...-vs-...-0021600454/play-by-play?watchFullGame=true", "SAS vs POR - Q1 07:37.00")</f>
        <v>SAS vs POR - Q1 07:37.00</v>
      </c>
      <c r="M3465">
        <v>22</v>
      </c>
      <c r="N3465">
        <v>69</v>
      </c>
      <c r="O3465">
        <v>213</v>
      </c>
      <c r="P3465">
        <v>69</v>
      </c>
      <c r="Q3465">
        <v>213</v>
      </c>
      <c r="R3465" t="s">
        <v>21</v>
      </c>
      <c r="S3465" t="s">
        <v>21</v>
      </c>
    </row>
    <row r="3466" spans="1:19" hidden="1" x14ac:dyDescent="0.25">
      <c r="A3466">
        <v>41800306</v>
      </c>
      <c r="B3466" t="s">
        <v>18</v>
      </c>
      <c r="C3466" t="s">
        <v>36</v>
      </c>
      <c r="D3466">
        <v>66</v>
      </c>
      <c r="E3466">
        <v>76</v>
      </c>
      <c r="F3466">
        <v>10</v>
      </c>
      <c r="G3466">
        <v>3</v>
      </c>
      <c r="H3466" s="1">
        <v>1.0300925925925926E-3</v>
      </c>
      <c r="I3466" t="s">
        <v>60</v>
      </c>
      <c r="J3466" t="s">
        <v>48</v>
      </c>
      <c r="K3466" s="2" t="str">
        <f>HYPERLINK("https://www.nba.com/stats/events?CFID=&amp;CFPARAMS=&amp;GameEventID=468&amp;GameID=0041800306&amp;Season=2018-19&amp;flag=1&amp;title=Leonard%2021'%20Pullup%20Jump%20Shot%20(17%20PTS)", "Leonard 21' Pullup Jump Shot (17 PTS)")</f>
        <v>Leonard 21' Pullup Jump Shot (17 PTS)</v>
      </c>
      <c r="L3466" s="2" t="str">
        <f>HYPERLINK("https://www.nba.com/game/...-vs-...-0041800306/play-by-play?watchFullGame=true", "TOR vs MIL - Q3 01:29.00")</f>
        <v>TOR vs MIL - Q3 01:29.00</v>
      </c>
      <c r="M3466">
        <v>21</v>
      </c>
      <c r="N3466">
        <v>-12</v>
      </c>
      <c r="O3466">
        <v>214</v>
      </c>
      <c r="P3466">
        <v>-12</v>
      </c>
      <c r="Q3466">
        <v>214</v>
      </c>
      <c r="R3466" t="s">
        <v>21</v>
      </c>
      <c r="S3466" t="s">
        <v>21</v>
      </c>
    </row>
    <row r="3467" spans="1:19" hidden="1" x14ac:dyDescent="0.25">
      <c r="A3467">
        <v>41800406</v>
      </c>
      <c r="B3467" t="s">
        <v>18</v>
      </c>
      <c r="C3467" t="s">
        <v>36</v>
      </c>
      <c r="D3467">
        <v>45</v>
      </c>
      <c r="E3467">
        <v>46</v>
      </c>
      <c r="F3467">
        <v>1</v>
      </c>
      <c r="G3467">
        <v>2</v>
      </c>
      <c r="H3467" s="1">
        <v>3.2407407407407406E-3</v>
      </c>
      <c r="I3467" t="s">
        <v>60</v>
      </c>
      <c r="J3467" t="s">
        <v>48</v>
      </c>
      <c r="K3467" s="2" t="str">
        <f>HYPERLINK("https://www.nba.com/stats/events?CFID=&amp;CFPARAMS=&amp;GameEventID=260&amp;GameID=0041800406&amp;Season=2018-19&amp;flag=1&amp;title=Leonard%2022'%20Pullup%20Jump%20Shot%20(6%20PTS)%20(Siakam%201%20AST)", "Leonard 22' Pullup Jump Shot (6 PTS) (Siakam 1 AST)")</f>
        <v>Leonard 22' Pullup Jump Shot (6 PTS) (Siakam 1 AST)</v>
      </c>
      <c r="L3467" s="2" t="str">
        <f>HYPERLINK("https://www.nba.com/game/...-vs-...-0041800406/play-by-play?watchFullGame=true", "TOR vs GSW - Q2 04:40.00")</f>
        <v>TOR vs GSW - Q2 04:40.00</v>
      </c>
      <c r="M3467">
        <v>22</v>
      </c>
      <c r="N3467">
        <v>-14</v>
      </c>
      <c r="O3467">
        <v>216</v>
      </c>
      <c r="P3467">
        <v>-14</v>
      </c>
      <c r="Q3467">
        <v>216</v>
      </c>
      <c r="R3467" t="s">
        <v>21</v>
      </c>
      <c r="S3467" t="s">
        <v>21</v>
      </c>
    </row>
    <row r="3468" spans="1:19" hidden="1" x14ac:dyDescent="0.25">
      <c r="A3468">
        <v>21600016</v>
      </c>
      <c r="B3468" t="s">
        <v>18</v>
      </c>
      <c r="C3468" t="s">
        <v>36</v>
      </c>
      <c r="D3468">
        <v>102</v>
      </c>
      <c r="E3468">
        <v>94</v>
      </c>
      <c r="F3468">
        <v>8</v>
      </c>
      <c r="G3468">
        <v>4</v>
      </c>
      <c r="H3468" s="1">
        <v>3.2986111111111112E-4</v>
      </c>
      <c r="I3468">
        <v>2016</v>
      </c>
      <c r="J3468" t="s">
        <v>20</v>
      </c>
      <c r="K3468" s="2" t="str">
        <f>HYPERLINK("https://www.nba.com/stats/events?CFID=&amp;CFPARAMS=&amp;GameEventID=548&amp;GameID=0021600016&amp;Season=2016-17&amp;flag=1&amp;title=Leonard%2022'%20Pullup%20Jump%20Shot%20(30%20PTS)", "Leonard 22' Pullup Jump Shot (30 PTS)")</f>
        <v>Leonard 22' Pullup Jump Shot (30 PTS)</v>
      </c>
      <c r="L3468" s="2" t="str">
        <f>HYPERLINK("https://www.nba.com/game/...-vs-...-0021600016/play-by-play?watchFullGame=true", "SAS vs SAC - Q4 00:28.50")</f>
        <v>SAS vs SAC - Q4 00:28.50</v>
      </c>
      <c r="M3468">
        <v>22</v>
      </c>
      <c r="N3468">
        <v>32</v>
      </c>
      <c r="O3468">
        <v>219</v>
      </c>
      <c r="P3468">
        <v>32</v>
      </c>
      <c r="Q3468">
        <v>219</v>
      </c>
      <c r="R3468" t="s">
        <v>21</v>
      </c>
      <c r="S3468" t="s">
        <v>21</v>
      </c>
    </row>
    <row r="3469" spans="1:19" hidden="1" x14ac:dyDescent="0.25">
      <c r="A3469">
        <v>21800427</v>
      </c>
      <c r="B3469" t="s">
        <v>18</v>
      </c>
      <c r="C3469" t="s">
        <v>36</v>
      </c>
      <c r="D3469">
        <v>54</v>
      </c>
      <c r="E3469">
        <v>62</v>
      </c>
      <c r="F3469">
        <v>8</v>
      </c>
      <c r="G3469">
        <v>3</v>
      </c>
      <c r="H3469" s="1">
        <v>7.1412037037037034E-3</v>
      </c>
      <c r="I3469">
        <v>2018</v>
      </c>
      <c r="J3469" t="s">
        <v>48</v>
      </c>
      <c r="K3469" s="2" t="str">
        <f>HYPERLINK("https://www.nba.com/stats/events?CFID=&amp;CFPARAMS=&amp;GameEventID=307&amp;GameID=0021800427&amp;Season=2018-19&amp;flag=1&amp;title=Leonard%2022'%20Pullup%20Jump%20Shot%20(7%20PTS)", "Leonard 22' Pullup Jump Shot (7 PTS)")</f>
        <v>Leonard 22' Pullup Jump Shot (7 PTS)</v>
      </c>
      <c r="L3469" s="2" t="str">
        <f>HYPERLINK("https://www.nba.com/game/...-vs-...-0021800427/play-by-play?watchFullGame=true", "TOR vs POR - Q3 10:17.00")</f>
        <v>TOR vs POR - Q3 10:17.00</v>
      </c>
      <c r="M3469">
        <v>22</v>
      </c>
      <c r="N3469">
        <v>-6</v>
      </c>
      <c r="O3469">
        <v>220</v>
      </c>
      <c r="P3469">
        <v>-6</v>
      </c>
      <c r="Q3469">
        <v>220</v>
      </c>
      <c r="R3469" t="s">
        <v>21</v>
      </c>
      <c r="S3469" t="s">
        <v>21</v>
      </c>
    </row>
    <row r="3470" spans="1:19" hidden="1" x14ac:dyDescent="0.25">
      <c r="A3470">
        <v>41800215</v>
      </c>
      <c r="B3470" t="s">
        <v>18</v>
      </c>
      <c r="C3470" t="s">
        <v>36</v>
      </c>
      <c r="D3470">
        <v>66</v>
      </c>
      <c r="E3470">
        <v>48</v>
      </c>
      <c r="F3470">
        <v>18</v>
      </c>
      <c r="G3470">
        <v>3</v>
      </c>
      <c r="H3470" s="1">
        <v>6.9907407407407409E-3</v>
      </c>
      <c r="I3470" t="s">
        <v>60</v>
      </c>
      <c r="J3470" t="s">
        <v>48</v>
      </c>
      <c r="K3470" s="2" t="str">
        <f>HYPERLINK("https://www.nba.com/stats/events?CFID=&amp;CFPARAMS=&amp;GameEventID=379&amp;GameID=0041800215&amp;Season=2018-19&amp;flag=1&amp;title=Leonard%2023'%20Pullup%20Jump%20Shot%20(15%20PTS)%20(Siakam%203%20AST)", "Leonard 23' Pullup Jump Shot (15 PTS) (Siakam 3 AST)")</f>
        <v>Leonard 23' Pullup Jump Shot (15 PTS) (Siakam 3 AST)</v>
      </c>
      <c r="L3470" s="2" t="str">
        <f>HYPERLINK("https://www.nba.com/game/...-vs-...-0041800215/play-by-play?watchFullGame=true", "TOR vs PHI - Q3 10:04.00")</f>
        <v>TOR vs PHI - Q3 10:04.00</v>
      </c>
      <c r="M3470">
        <v>23</v>
      </c>
      <c r="N3470">
        <v>0</v>
      </c>
      <c r="O3470">
        <v>225</v>
      </c>
      <c r="P3470">
        <v>0</v>
      </c>
      <c r="Q3470">
        <v>225</v>
      </c>
      <c r="R3470" t="s">
        <v>21</v>
      </c>
      <c r="S3470" t="s">
        <v>21</v>
      </c>
    </row>
    <row r="3471" spans="1:19" hidden="1" x14ac:dyDescent="0.25">
      <c r="A3471">
        <v>21601099</v>
      </c>
      <c r="B3471" t="s">
        <v>18</v>
      </c>
      <c r="C3471" t="s">
        <v>47</v>
      </c>
      <c r="D3471">
        <v>64</v>
      </c>
      <c r="E3471">
        <v>40</v>
      </c>
      <c r="F3471">
        <v>24</v>
      </c>
      <c r="G3471">
        <v>2</v>
      </c>
      <c r="H3471" s="1">
        <v>0</v>
      </c>
      <c r="I3471">
        <v>2016</v>
      </c>
      <c r="J3471" t="s">
        <v>20</v>
      </c>
      <c r="K3471" s="2" t="str">
        <f>HYPERLINK("https://www.nba.com/stats/events?CFID=&amp;CFPARAMS=&amp;GameEventID=258&amp;GameID=0021601099&amp;Season=2016-17&amp;flag=1&amp;title=Leonard%2015'%20Hook%20Shot%20(15%20PTS)", "Leonard 15' Hook Shot (15 PTS)")</f>
        <v>Leonard 15' Hook Shot (15 PTS)</v>
      </c>
      <c r="L3471" s="2" t="str">
        <f>HYPERLINK("https://www.nba.com/game/...-vs-...-0021601099/play-by-play?watchFullGame=true", "SAS vs CLE - Q2 00:00.00")</f>
        <v>SAS vs CLE - Q2 00:00.00</v>
      </c>
      <c r="M3471">
        <v>15</v>
      </c>
      <c r="N3471">
        <v>-53</v>
      </c>
      <c r="O3471">
        <v>139</v>
      </c>
      <c r="P3471">
        <v>-53</v>
      </c>
      <c r="Q3471">
        <v>139</v>
      </c>
      <c r="R3471" t="s">
        <v>21</v>
      </c>
      <c r="S3471" t="s">
        <v>21</v>
      </c>
    </row>
    <row r="3472" spans="1:19" hidden="1" x14ac:dyDescent="0.25">
      <c r="A3472">
        <v>41800217</v>
      </c>
      <c r="B3472" t="s">
        <v>18</v>
      </c>
      <c r="C3472" t="s">
        <v>37</v>
      </c>
      <c r="D3472">
        <v>92</v>
      </c>
      <c r="E3472">
        <v>90</v>
      </c>
      <c r="F3472">
        <v>2</v>
      </c>
      <c r="G3472">
        <v>4</v>
      </c>
      <c r="H3472" s="1">
        <v>0</v>
      </c>
      <c r="I3472" t="s">
        <v>60</v>
      </c>
      <c r="J3472" t="s">
        <v>48</v>
      </c>
      <c r="K3472" s="2" t="str">
        <f>HYPERLINK("https://www.nba.com/stats/events?CFID=&amp;CFPARAMS=&amp;GameEventID=603&amp;GameID=0041800217&amp;Season=2018-19&amp;flag=1&amp;title=Leonard%2015'%20Fadeaway%20Jumper%20(41%20PTS)", "Leonard 15' Fadeaway Jumper (41 PTS)")</f>
        <v>Leonard 15' Fadeaway Jumper (41 PTS)</v>
      </c>
      <c r="L3472" s="2" t="str">
        <f>HYPERLINK("https://www.nba.com/game/...-vs-...-0041800217/play-by-play?watchFullGame=true", "TOR vs PHI - Q4 00:00.00")</f>
        <v>TOR vs PHI - Q4 00:00.00</v>
      </c>
      <c r="M3472">
        <v>15</v>
      </c>
      <c r="N3472">
        <v>149</v>
      </c>
      <c r="O3472">
        <v>32</v>
      </c>
      <c r="P3472">
        <v>149</v>
      </c>
      <c r="Q3472">
        <v>32</v>
      </c>
      <c r="R3472" t="s">
        <v>21</v>
      </c>
      <c r="S3472" t="s">
        <v>21</v>
      </c>
    </row>
    <row r="3473" spans="1:19" hidden="1" x14ac:dyDescent="0.25">
      <c r="A3473">
        <v>21600114</v>
      </c>
      <c r="B3473" t="s">
        <v>18</v>
      </c>
      <c r="C3473" t="s">
        <v>36</v>
      </c>
      <c r="D3473">
        <v>80</v>
      </c>
      <c r="E3473">
        <v>85</v>
      </c>
      <c r="F3473">
        <v>5</v>
      </c>
      <c r="G3473">
        <v>3</v>
      </c>
      <c r="H3473" s="1">
        <v>3.3564814814814815E-5</v>
      </c>
      <c r="I3473">
        <v>2016</v>
      </c>
      <c r="J3473" t="s">
        <v>20</v>
      </c>
      <c r="K3473" s="2" t="str">
        <f>HYPERLINK("https://www.nba.com/stats/events?CFID=&amp;CFPARAMS=&amp;GameEventID=428&amp;GameID=0021600114&amp;Season=2016-17&amp;flag=1&amp;title=Leonard%2015'%20Pullup%20Jump%20Shot%20(27%20PTS)", "Leonard 15' Pullup Jump Shot (27 PTS)")</f>
        <v>Leonard 15' Pullup Jump Shot (27 PTS)</v>
      </c>
      <c r="L3473" s="2" t="str">
        <f>HYPERLINK("https://www.nba.com/game/...-vs-...-0021600114/play-by-play?watchFullGame=true", "SAS vs HOU - Q3 00:02.90")</f>
        <v>SAS vs HOU - Q3 00:02.90</v>
      </c>
      <c r="M3473">
        <v>15</v>
      </c>
      <c r="N3473">
        <v>-101</v>
      </c>
      <c r="O3473">
        <v>110</v>
      </c>
      <c r="P3473">
        <v>-101</v>
      </c>
      <c r="Q3473">
        <v>110</v>
      </c>
      <c r="R3473" t="s">
        <v>21</v>
      </c>
      <c r="S3473" t="s">
        <v>21</v>
      </c>
    </row>
    <row r="3474" spans="1:19" hidden="1" x14ac:dyDescent="0.25">
      <c r="A3474">
        <v>21601161</v>
      </c>
      <c r="B3474" t="s">
        <v>18</v>
      </c>
      <c r="C3474" t="s">
        <v>39</v>
      </c>
      <c r="D3474">
        <v>82</v>
      </c>
      <c r="E3474">
        <v>82</v>
      </c>
      <c r="F3474">
        <v>0</v>
      </c>
      <c r="G3474">
        <v>4</v>
      </c>
      <c r="H3474" s="1">
        <v>5.6712962962962965E-5</v>
      </c>
      <c r="I3474">
        <v>2016</v>
      </c>
      <c r="J3474" t="s">
        <v>20</v>
      </c>
      <c r="K3474" s="2" t="str">
        <f>HYPERLINK("https://www.nba.com/stats/events?CFID=&amp;CFPARAMS=&amp;GameEventID=477&amp;GameID=0021601161&amp;Season=2016-17&amp;flag=1&amp;title=Leonard%2015'%20Step%20Back%20Jump%20Shot%20(29%20PTS)", "Leonard 15' Step Back Jump Shot (29 PTS)")</f>
        <v>Leonard 15' Step Back Jump Shot (29 PTS)</v>
      </c>
      <c r="L3474" s="2" t="str">
        <f>HYPERLINK("https://www.nba.com/game/...-vs-...-0021601161/play-by-play?watchFullGame=true", "SAS vs MEM - Q4 00:04.90")</f>
        <v>SAS vs MEM - Q4 00:04.90</v>
      </c>
      <c r="M3474">
        <v>15</v>
      </c>
      <c r="N3474">
        <v>-92</v>
      </c>
      <c r="O3474">
        <v>120</v>
      </c>
      <c r="P3474">
        <v>-92</v>
      </c>
      <c r="Q3474">
        <v>120</v>
      </c>
      <c r="R3474" t="s">
        <v>21</v>
      </c>
      <c r="S3474" t="s">
        <v>21</v>
      </c>
    </row>
    <row r="3475" spans="1:19" hidden="1" x14ac:dyDescent="0.25">
      <c r="A3475">
        <v>41800213</v>
      </c>
      <c r="B3475" t="s">
        <v>18</v>
      </c>
      <c r="C3475" t="s">
        <v>36</v>
      </c>
      <c r="D3475">
        <v>81</v>
      </c>
      <c r="E3475">
        <v>89</v>
      </c>
      <c r="F3475">
        <v>8</v>
      </c>
      <c r="G3475">
        <v>3</v>
      </c>
      <c r="H3475" s="1">
        <v>4.0277777777777773E-4</v>
      </c>
      <c r="I3475" t="s">
        <v>60</v>
      </c>
      <c r="J3475" t="s">
        <v>48</v>
      </c>
      <c r="K3475" s="2" t="str">
        <f>HYPERLINK("https://www.nba.com/stats/events?CFID=&amp;CFPARAMS=&amp;GameEventID=455&amp;GameID=0041800213&amp;Season=2018-19&amp;flag=1&amp;title=Leonard%2015'%20Pullup%20Jump%20Shot%20(31%20PTS)", "Leonard 15' Pullup Jump Shot (31 PTS)")</f>
        <v>Leonard 15' Pullup Jump Shot (31 PTS)</v>
      </c>
      <c r="L3475" s="2" t="str">
        <f>HYPERLINK("https://www.nba.com/game/...-vs-...-0041800213/play-by-play?watchFullGame=true", "TOR vs PHI - Q3 00:34.80")</f>
        <v>TOR vs PHI - Q3 00:34.80</v>
      </c>
      <c r="M3475">
        <v>15</v>
      </c>
      <c r="N3475">
        <v>144</v>
      </c>
      <c r="O3475">
        <v>31</v>
      </c>
      <c r="P3475">
        <v>144</v>
      </c>
      <c r="Q3475">
        <v>31</v>
      </c>
      <c r="R3475" t="s">
        <v>21</v>
      </c>
      <c r="S3475" t="s">
        <v>21</v>
      </c>
    </row>
    <row r="3476" spans="1:19" hidden="1" x14ac:dyDescent="0.25">
      <c r="A3476">
        <v>21501215</v>
      </c>
      <c r="B3476" t="s">
        <v>18</v>
      </c>
      <c r="C3476" t="s">
        <v>36</v>
      </c>
      <c r="D3476">
        <v>100</v>
      </c>
      <c r="E3476">
        <v>98</v>
      </c>
      <c r="F3476">
        <v>2</v>
      </c>
      <c r="G3476">
        <v>5</v>
      </c>
      <c r="H3476" s="1">
        <v>5.6712962962962967E-4</v>
      </c>
      <c r="I3476">
        <v>2015</v>
      </c>
      <c r="J3476" t="s">
        <v>20</v>
      </c>
      <c r="K3476" s="2" t="str">
        <f>HYPERLINK("https://www.nba.com/stats/events?CFID=&amp;CFPARAMS=&amp;GameEventID=558&amp;GameID=0021501215&amp;Season=2015-16&amp;flag=1&amp;title=Leonard%2015'%20Pullup%20Jump%20Shot%20(26%20PTS)", "Leonard 15' Pullup Jump Shot (26 PTS)")</f>
        <v>Leonard 15' Pullup Jump Shot (26 PTS)</v>
      </c>
      <c r="L3476" s="2" t="str">
        <f>HYPERLINK("https://www.nba.com/game/...-vs-...-0021501215/play-by-play?watchFullGame=true", "SAS vs OKC - Q5 00:49.00")</f>
        <v>SAS vs OKC - Q5 00:49.00</v>
      </c>
      <c r="M3476">
        <v>15</v>
      </c>
      <c r="N3476">
        <v>91</v>
      </c>
      <c r="O3476">
        <v>124</v>
      </c>
      <c r="P3476">
        <v>91</v>
      </c>
      <c r="Q3476">
        <v>124</v>
      </c>
      <c r="R3476" t="s">
        <v>21</v>
      </c>
      <c r="S3476" t="s">
        <v>21</v>
      </c>
    </row>
    <row r="3477" spans="1:19" hidden="1" x14ac:dyDescent="0.25">
      <c r="A3477">
        <v>21500759</v>
      </c>
      <c r="B3477" t="s">
        <v>18</v>
      </c>
      <c r="C3477" t="s">
        <v>19</v>
      </c>
      <c r="D3477">
        <v>27</v>
      </c>
      <c r="E3477">
        <v>12</v>
      </c>
      <c r="F3477">
        <v>15</v>
      </c>
      <c r="G3477">
        <v>1</v>
      </c>
      <c r="H3477" s="1">
        <v>7.1759259259259259E-4</v>
      </c>
      <c r="I3477">
        <v>2015</v>
      </c>
      <c r="J3477" t="s">
        <v>20</v>
      </c>
      <c r="K3477" s="2" t="str">
        <f>HYPERLINK("https://www.nba.com/stats/events?CFID=&amp;CFPARAMS=&amp;GameEventID=105&amp;GameID=0021500759&amp;Season=2015-16&amp;flag=1&amp;title=Leonard%2015'%20Jump%20Shot%20(11%20PTS)", "Leonard 15' Jump Shot (11 PTS)")</f>
        <v>Leonard 15' Jump Shot (11 PTS)</v>
      </c>
      <c r="L3477" s="2" t="str">
        <f>HYPERLINK("https://www.nba.com/game/...-vs-...-0021500759/play-by-play?watchFullGame=true", "SAS vs DAL - Q1 01:02.00")</f>
        <v>SAS vs DAL - Q1 01:02.00</v>
      </c>
      <c r="M3477">
        <v>15</v>
      </c>
      <c r="N3477">
        <v>-143</v>
      </c>
      <c r="O3477">
        <v>38</v>
      </c>
      <c r="P3477">
        <v>-143</v>
      </c>
      <c r="Q3477">
        <v>38</v>
      </c>
      <c r="R3477" t="s">
        <v>21</v>
      </c>
      <c r="S3477" t="s">
        <v>21</v>
      </c>
    </row>
    <row r="3478" spans="1:19" hidden="1" x14ac:dyDescent="0.25">
      <c r="A3478">
        <v>21800842</v>
      </c>
      <c r="B3478" t="s">
        <v>18</v>
      </c>
      <c r="C3478" t="s">
        <v>36</v>
      </c>
      <c r="D3478">
        <v>56</v>
      </c>
      <c r="E3478">
        <v>54</v>
      </c>
      <c r="F3478">
        <v>2</v>
      </c>
      <c r="G3478">
        <v>2</v>
      </c>
      <c r="H3478" s="1">
        <v>7.6388888888888893E-4</v>
      </c>
      <c r="I3478">
        <v>2018</v>
      </c>
      <c r="J3478" t="s">
        <v>48</v>
      </c>
      <c r="K3478" s="2" t="str">
        <f>HYPERLINK("https://www.nba.com/stats/events?CFID=&amp;CFPARAMS=&amp;GameEventID=286&amp;GameID=0021800842&amp;Season=2018-19&amp;flag=1&amp;title=Leonard%2015'%20Pullup%20Jump%20Shot%20(15%20PTS)%20(Green%203%20AST)", "Leonard 15' Pullup Jump Shot (15 PTS) (Green 3 AST)")</f>
        <v>Leonard 15' Pullup Jump Shot (15 PTS) (Green 3 AST)</v>
      </c>
      <c r="L3478" s="2" t="str">
        <f>HYPERLINK("https://www.nba.com/game/...-vs-...-0021800842/play-by-play?watchFullGame=true", "TOR vs BKN - Q2 01:06.00")</f>
        <v>TOR vs BKN - Q2 01:06.00</v>
      </c>
      <c r="M3478">
        <v>15</v>
      </c>
      <c r="N3478">
        <v>18</v>
      </c>
      <c r="O3478">
        <v>152</v>
      </c>
      <c r="P3478">
        <v>18</v>
      </c>
      <c r="Q3478">
        <v>152</v>
      </c>
      <c r="R3478" t="s">
        <v>21</v>
      </c>
      <c r="S3478" t="s">
        <v>21</v>
      </c>
    </row>
    <row r="3479" spans="1:19" hidden="1" x14ac:dyDescent="0.25">
      <c r="A3479">
        <v>21600114</v>
      </c>
      <c r="B3479" t="s">
        <v>18</v>
      </c>
      <c r="C3479" t="s">
        <v>39</v>
      </c>
      <c r="D3479">
        <v>99</v>
      </c>
      <c r="E3479">
        <v>101</v>
      </c>
      <c r="F3479">
        <v>2</v>
      </c>
      <c r="G3479">
        <v>4</v>
      </c>
      <c r="H3479" s="1">
        <v>8.1018518518518516E-4</v>
      </c>
      <c r="I3479">
        <v>2016</v>
      </c>
      <c r="J3479" t="s">
        <v>20</v>
      </c>
      <c r="K3479" s="2" t="str">
        <f>HYPERLINK("https://www.nba.com/stats/events?CFID=&amp;CFPARAMS=&amp;GameEventID=557&amp;GameID=0021600114&amp;Season=2016-17&amp;flag=1&amp;title=Leonard%2015'%20Step%20Back%20Jump%20Shot%20(34%20PTS)", "Leonard 15' Step Back Jump Shot (34 PTS)")</f>
        <v>Leonard 15' Step Back Jump Shot (34 PTS)</v>
      </c>
      <c r="L3479" s="2" t="str">
        <f>HYPERLINK("https://www.nba.com/game/...-vs-...-0021600114/play-by-play?watchFullGame=true", "SAS vs HOU - Q4 01:10.00")</f>
        <v>SAS vs HOU - Q4 01:10.00</v>
      </c>
      <c r="M3479">
        <v>15</v>
      </c>
      <c r="N3479">
        <v>-150</v>
      </c>
      <c r="O3479">
        <v>8</v>
      </c>
      <c r="P3479">
        <v>-150</v>
      </c>
      <c r="Q3479">
        <v>8</v>
      </c>
      <c r="R3479" t="s">
        <v>21</v>
      </c>
      <c r="S3479" t="s">
        <v>21</v>
      </c>
    </row>
    <row r="3480" spans="1:19" hidden="1" x14ac:dyDescent="0.25">
      <c r="A3480">
        <v>41800303</v>
      </c>
      <c r="B3480" t="s">
        <v>18</v>
      </c>
      <c r="C3480" t="s">
        <v>39</v>
      </c>
      <c r="D3480">
        <v>103</v>
      </c>
      <c r="E3480">
        <v>99</v>
      </c>
      <c r="F3480">
        <v>4</v>
      </c>
      <c r="G3480">
        <v>5</v>
      </c>
      <c r="H3480" s="1">
        <v>1.0300925925925926E-3</v>
      </c>
      <c r="I3480" t="s">
        <v>60</v>
      </c>
      <c r="J3480" t="s">
        <v>48</v>
      </c>
      <c r="K3480" s="2" t="str">
        <f>HYPERLINK("https://www.nba.com/stats/events?CFID=&amp;CFPARAMS=&amp;GameEventID=772&amp;GameID=0041800303&amp;Season=2018-19&amp;flag=1&amp;title=Leonard%2015'%20Step%20Back%20Jump%20Shot%20(28%20PTS)", "Leonard 15' Step Back Jump Shot (28 PTS)")</f>
        <v>Leonard 15' Step Back Jump Shot (28 PTS)</v>
      </c>
      <c r="L3480" s="2" t="str">
        <f>HYPERLINK("https://www.nba.com/game/...-vs-...-0041800303/play-by-play?watchFullGame=true", "TOR vs MIL - Q5 01:29.00")</f>
        <v>TOR vs MIL - Q5 01:29.00</v>
      </c>
      <c r="M3480">
        <v>15</v>
      </c>
      <c r="N3480">
        <v>-70</v>
      </c>
      <c r="O3480">
        <v>137</v>
      </c>
      <c r="P3480">
        <v>-70</v>
      </c>
      <c r="Q3480">
        <v>137</v>
      </c>
      <c r="R3480" t="s">
        <v>21</v>
      </c>
      <c r="S3480" t="s">
        <v>21</v>
      </c>
    </row>
    <row r="3481" spans="1:19" hidden="1" x14ac:dyDescent="0.25">
      <c r="A3481">
        <v>21400220</v>
      </c>
      <c r="B3481" t="s">
        <v>18</v>
      </c>
      <c r="C3481" t="s">
        <v>19</v>
      </c>
      <c r="D3481">
        <v>104</v>
      </c>
      <c r="E3481">
        <v>93</v>
      </c>
      <c r="F3481">
        <v>11</v>
      </c>
      <c r="G3481">
        <v>4</v>
      </c>
      <c r="H3481" s="1">
        <v>1.2962962962962963E-3</v>
      </c>
      <c r="I3481">
        <v>2014</v>
      </c>
      <c r="J3481" t="s">
        <v>20</v>
      </c>
      <c r="K3481" s="2" t="str">
        <f>HYPERLINK("https://www.nba.com/stats/events?CFID=&amp;CFPARAMS=&amp;GameEventID=468&amp;GameID=0021400220&amp;Season=2014-15&amp;flag=1&amp;title=Leonard%2015'%20Jump%20Shot%20(20%20PTS)", "Leonard 15' Jump Shot (20 PTS)")</f>
        <v>Leonard 15' Jump Shot (20 PTS)</v>
      </c>
      <c r="L3481" s="2" t="str">
        <f>HYPERLINK("https://www.nba.com/game/...-vs-...-0021400220/play-by-play?watchFullGame=true", "SAS vs IND - Q4 01:52.00")</f>
        <v>SAS vs IND - Q4 01:52.00</v>
      </c>
      <c r="M3481">
        <v>15</v>
      </c>
      <c r="N3481">
        <v>149</v>
      </c>
      <c r="O3481">
        <v>41</v>
      </c>
      <c r="P3481">
        <v>149</v>
      </c>
      <c r="Q3481">
        <v>41</v>
      </c>
      <c r="R3481" t="s">
        <v>21</v>
      </c>
      <c r="S3481" t="s">
        <v>21</v>
      </c>
    </row>
    <row r="3482" spans="1:19" hidden="1" x14ac:dyDescent="0.25">
      <c r="A3482">
        <v>21501063</v>
      </c>
      <c r="B3482" t="s">
        <v>18</v>
      </c>
      <c r="C3482" t="s">
        <v>19</v>
      </c>
      <c r="D3482">
        <v>52</v>
      </c>
      <c r="E3482">
        <v>43</v>
      </c>
      <c r="F3482">
        <v>9</v>
      </c>
      <c r="G3482">
        <v>2</v>
      </c>
      <c r="H3482" s="1">
        <v>1.4583333333333334E-3</v>
      </c>
      <c r="I3482">
        <v>2015</v>
      </c>
      <c r="J3482" t="s">
        <v>20</v>
      </c>
      <c r="K3482" s="2" t="str">
        <f>HYPERLINK("https://www.nba.com/stats/events?CFID=&amp;CFPARAMS=&amp;GameEventID=217&amp;GameID=0021501063&amp;Season=2015-16&amp;flag=1&amp;title=Leonard%2015'%20Jump%20Shot%20(20%20PTS)", "Leonard 15' Jump Shot (20 PTS)")</f>
        <v>Leonard 15' Jump Shot (20 PTS)</v>
      </c>
      <c r="L3482" s="2" t="str">
        <f>HYPERLINK("https://www.nba.com/game/...-vs-...-0021501063/play-by-play?watchFullGame=true", "SAS vs MIA - Q2 02:06.00")</f>
        <v>SAS vs MIA - Q2 02:06.00</v>
      </c>
      <c r="M3482">
        <v>15</v>
      </c>
      <c r="N3482">
        <v>4</v>
      </c>
      <c r="O3482">
        <v>151</v>
      </c>
      <c r="P3482">
        <v>4</v>
      </c>
      <c r="Q3482">
        <v>151</v>
      </c>
      <c r="R3482" t="s">
        <v>21</v>
      </c>
      <c r="S3482" t="s">
        <v>21</v>
      </c>
    </row>
    <row r="3483" spans="1:19" hidden="1" x14ac:dyDescent="0.25">
      <c r="A3483">
        <v>21800442</v>
      </c>
      <c r="B3483" t="s">
        <v>18</v>
      </c>
      <c r="C3483" t="s">
        <v>39</v>
      </c>
      <c r="D3483">
        <v>40</v>
      </c>
      <c r="E3483">
        <v>39</v>
      </c>
      <c r="F3483">
        <v>1</v>
      </c>
      <c r="G3483">
        <v>2</v>
      </c>
      <c r="H3483" s="1">
        <v>1.5856481481481481E-3</v>
      </c>
      <c r="I3483">
        <v>2018</v>
      </c>
      <c r="J3483" t="s">
        <v>48</v>
      </c>
      <c r="K3483" s="2" t="str">
        <f>HYPERLINK("https://www.nba.com/stats/events?CFID=&amp;CFPARAMS=&amp;GameEventID=261&amp;GameID=0021800442&amp;Season=2018-19&amp;flag=1&amp;title=Leonard%2015'%20Step%20Back%20Jump%20Shot%20(8%20PTS)", "Leonard 15' Step Back Jump Shot (8 PTS)")</f>
        <v>Leonard 15' Step Back Jump Shot (8 PTS)</v>
      </c>
      <c r="L3483" s="2" t="str">
        <f>HYPERLINK("https://www.nba.com/game/...-vs-...-0021800442/play-by-play?watchFullGame=true", "TOR vs DEN - Q2 02:17.00")</f>
        <v>TOR vs DEN - Q2 02:17.00</v>
      </c>
      <c r="M3483">
        <v>15</v>
      </c>
      <c r="N3483">
        <v>-35</v>
      </c>
      <c r="O3483">
        <v>145</v>
      </c>
      <c r="P3483">
        <v>-35</v>
      </c>
      <c r="Q3483">
        <v>145</v>
      </c>
      <c r="R3483" t="s">
        <v>21</v>
      </c>
      <c r="S3483" t="s">
        <v>21</v>
      </c>
    </row>
    <row r="3484" spans="1:19" hidden="1" x14ac:dyDescent="0.25">
      <c r="A3484">
        <v>21601193</v>
      </c>
      <c r="B3484" t="s">
        <v>18</v>
      </c>
      <c r="C3484" t="s">
        <v>39</v>
      </c>
      <c r="D3484">
        <v>68</v>
      </c>
      <c r="E3484">
        <v>72</v>
      </c>
      <c r="F3484">
        <v>4</v>
      </c>
      <c r="G3484">
        <v>3</v>
      </c>
      <c r="H3484" s="1">
        <v>1.712962962962963E-3</v>
      </c>
      <c r="I3484">
        <v>2016</v>
      </c>
      <c r="J3484" t="s">
        <v>20</v>
      </c>
      <c r="K3484" s="2" t="str">
        <f>HYPERLINK("https://www.nba.com/stats/events?CFID=&amp;CFPARAMS=&amp;GameEventID=332&amp;GameID=0021601193&amp;Season=2016-17&amp;flag=1&amp;title=Leonard%2015'%20Step%20Back%20Jump%20Shot%20(25%20PTS)", "Leonard 15' Step Back Jump Shot (25 PTS)")</f>
        <v>Leonard 15' Step Back Jump Shot (25 PTS)</v>
      </c>
      <c r="L3484" s="2" t="str">
        <f>HYPERLINK("https://www.nba.com/game/...-vs-...-0021601193/play-by-play?watchFullGame=true", "SAS vs LAC - Q3 02:28.00")</f>
        <v>SAS vs LAC - Q3 02:28.00</v>
      </c>
      <c r="M3484">
        <v>15</v>
      </c>
      <c r="N3484">
        <v>120</v>
      </c>
      <c r="O3484">
        <v>90</v>
      </c>
      <c r="P3484">
        <v>120</v>
      </c>
      <c r="Q3484">
        <v>90</v>
      </c>
      <c r="R3484" t="s">
        <v>21</v>
      </c>
      <c r="S3484" t="s">
        <v>21</v>
      </c>
    </row>
    <row r="3485" spans="1:19" hidden="1" x14ac:dyDescent="0.25">
      <c r="A3485">
        <v>21600625</v>
      </c>
      <c r="B3485" t="s">
        <v>18</v>
      </c>
      <c r="C3485" t="s">
        <v>36</v>
      </c>
      <c r="D3485">
        <v>115</v>
      </c>
      <c r="E3485">
        <v>105</v>
      </c>
      <c r="F3485">
        <v>10</v>
      </c>
      <c r="G3485">
        <v>4</v>
      </c>
      <c r="H3485" s="1">
        <v>1.8287037037037037E-3</v>
      </c>
      <c r="I3485">
        <v>2016</v>
      </c>
      <c r="J3485" t="s">
        <v>20</v>
      </c>
      <c r="K3485" s="2" t="str">
        <f>HYPERLINK("https://www.nba.com/stats/events?CFID=&amp;CFPARAMS=&amp;GameEventID=542&amp;GameID=0021600625&amp;Season=2016-17&amp;flag=1&amp;title=Leonard%2015'%20Pullup%20Jump%20Shot%20(34%20PTS)%20(Aldridge%203%20AST)", "Leonard 15' Pullup Jump Shot (34 PTS) (Aldridge 3 AST)")</f>
        <v>Leonard 15' Pullup Jump Shot (34 PTS) (Aldridge 3 AST)</v>
      </c>
      <c r="L3485" s="2" t="str">
        <f>HYPERLINK("https://www.nba.com/game/...-vs-...-0021600625/play-by-play?watchFullGame=true", "SAS vs MIN - Q4 02:38.00")</f>
        <v>SAS vs MIN - Q4 02:38.00</v>
      </c>
      <c r="M3485">
        <v>15</v>
      </c>
      <c r="N3485">
        <v>32</v>
      </c>
      <c r="O3485">
        <v>146</v>
      </c>
      <c r="P3485">
        <v>32</v>
      </c>
      <c r="Q3485">
        <v>146</v>
      </c>
      <c r="R3485" t="s">
        <v>21</v>
      </c>
      <c r="S3485" t="s">
        <v>21</v>
      </c>
    </row>
    <row r="3486" spans="1:19" hidden="1" x14ac:dyDescent="0.25">
      <c r="A3486">
        <v>21600727</v>
      </c>
      <c r="B3486" t="s">
        <v>18</v>
      </c>
      <c r="C3486" t="s">
        <v>37</v>
      </c>
      <c r="D3486">
        <v>70</v>
      </c>
      <c r="E3486">
        <v>71</v>
      </c>
      <c r="F3486">
        <v>1</v>
      </c>
      <c r="G3486">
        <v>3</v>
      </c>
      <c r="H3486" s="1">
        <v>1.8749999999999999E-3</v>
      </c>
      <c r="I3486">
        <v>2016</v>
      </c>
      <c r="J3486" t="s">
        <v>20</v>
      </c>
      <c r="K3486" s="2" t="str">
        <f>HYPERLINK("https://www.nba.com/stats/events?CFID=&amp;CFPARAMS=&amp;GameEventID=456&amp;GameID=0021600727&amp;Season=2016-17&amp;flag=1&amp;title=Leonard%2015'%20Fadeaway%20Jumper%20(21%20PTS)", "Leonard 15' Fadeaway Jumper (21 PTS)")</f>
        <v>Leonard 15' Fadeaway Jumper (21 PTS)</v>
      </c>
      <c r="L3486" s="2" t="str">
        <f>HYPERLINK("https://www.nba.com/game/...-vs-...-0021600727/play-by-play?watchFullGame=true", "SAS vs OKC - Q3 02:42.00")</f>
        <v>SAS vs OKC - Q3 02:42.00</v>
      </c>
      <c r="M3486">
        <v>15</v>
      </c>
      <c r="N3486">
        <v>-127</v>
      </c>
      <c r="O3486">
        <v>75</v>
      </c>
      <c r="P3486">
        <v>-127</v>
      </c>
      <c r="Q3486">
        <v>75</v>
      </c>
      <c r="R3486" t="s">
        <v>21</v>
      </c>
      <c r="S3486" t="s">
        <v>21</v>
      </c>
    </row>
    <row r="3487" spans="1:19" hidden="1" x14ac:dyDescent="0.25">
      <c r="A3487">
        <v>21801169</v>
      </c>
      <c r="B3487" t="s">
        <v>18</v>
      </c>
      <c r="C3487" t="s">
        <v>34</v>
      </c>
      <c r="D3487">
        <v>85</v>
      </c>
      <c r="E3487">
        <v>71</v>
      </c>
      <c r="F3487">
        <v>14</v>
      </c>
      <c r="G3487">
        <v>3</v>
      </c>
      <c r="H3487" s="1">
        <v>1.8981481481481482E-3</v>
      </c>
      <c r="I3487">
        <v>2018</v>
      </c>
      <c r="J3487" t="s">
        <v>48</v>
      </c>
      <c r="K3487" s="2" t="str">
        <f>HYPERLINK("https://www.nba.com/stats/events?CFID=&amp;CFPARAMS=&amp;GameEventID=439&amp;GameID=0021801169&amp;Season=2018-19&amp;flag=1&amp;title=Leonard%2015'%20Turnaround%20Jump%20Shot%20(26%20PTS)%20(Ibaka%201%20AST)", "Leonard 15' Turnaround Jump Shot (26 PTS) (Ibaka 1 AST)")</f>
        <v>Leonard 15' Turnaround Jump Shot (26 PTS) (Ibaka 1 AST)</v>
      </c>
      <c r="L3487" s="2" t="str">
        <f>HYPERLINK("https://www.nba.com/game/...-vs-...-0021801169/play-by-play?watchFullGame=true", "TOR vs BKN - Q3 02:44.00")</f>
        <v>TOR vs BKN - Q3 02:44.00</v>
      </c>
      <c r="M3487">
        <v>15</v>
      </c>
      <c r="N3487">
        <v>103</v>
      </c>
      <c r="O3487">
        <v>110</v>
      </c>
      <c r="P3487">
        <v>103</v>
      </c>
      <c r="Q3487">
        <v>110</v>
      </c>
      <c r="R3487" t="s">
        <v>21</v>
      </c>
      <c r="S3487" t="s">
        <v>21</v>
      </c>
    </row>
    <row r="3488" spans="1:19" hidden="1" x14ac:dyDescent="0.25">
      <c r="A3488">
        <v>21600289</v>
      </c>
      <c r="B3488" t="s">
        <v>18</v>
      </c>
      <c r="C3488" t="s">
        <v>34</v>
      </c>
      <c r="D3488">
        <v>100</v>
      </c>
      <c r="E3488">
        <v>95</v>
      </c>
      <c r="F3488">
        <v>5</v>
      </c>
      <c r="G3488">
        <v>4</v>
      </c>
      <c r="H3488" s="1">
        <v>1.9444444444444444E-3</v>
      </c>
      <c r="I3488">
        <v>2016</v>
      </c>
      <c r="J3488" t="s">
        <v>20</v>
      </c>
      <c r="K3488" s="2" t="str">
        <f>HYPERLINK("https://www.nba.com/stats/events?CFID=&amp;CFPARAMS=&amp;GameEventID=514&amp;GameID=0021600289&amp;Season=2016-17&amp;flag=1&amp;title=Leonard%2015'%20Turnaround%20Jump%20Shot%20(21%20PTS)", "Leonard 15' Turnaround Jump Shot (21 PTS)")</f>
        <v>Leonard 15' Turnaround Jump Shot (21 PTS)</v>
      </c>
      <c r="L3488" s="2" t="str">
        <f>HYPERLINK("https://www.nba.com/game/...-vs-...-0021600289/play-by-play?watchFullGame=true", "SAS vs WAS - Q4 02:48.00")</f>
        <v>SAS vs WAS - Q4 02:48.00</v>
      </c>
      <c r="M3488">
        <v>15</v>
      </c>
      <c r="N3488">
        <v>-148</v>
      </c>
      <c r="O3488">
        <v>46</v>
      </c>
      <c r="P3488">
        <v>-148</v>
      </c>
      <c r="Q3488">
        <v>46</v>
      </c>
      <c r="R3488" t="s">
        <v>21</v>
      </c>
      <c r="S3488" t="s">
        <v>21</v>
      </c>
    </row>
    <row r="3489" spans="1:19" hidden="1" x14ac:dyDescent="0.25">
      <c r="A3489">
        <v>21600744</v>
      </c>
      <c r="B3489" t="s">
        <v>18</v>
      </c>
      <c r="C3489" t="s">
        <v>36</v>
      </c>
      <c r="D3489">
        <v>44</v>
      </c>
      <c r="E3489">
        <v>44</v>
      </c>
      <c r="F3489">
        <v>0</v>
      </c>
      <c r="G3489">
        <v>2</v>
      </c>
      <c r="H3489" s="1">
        <v>1.9444444444444444E-3</v>
      </c>
      <c r="I3489">
        <v>2016</v>
      </c>
      <c r="J3489" t="s">
        <v>20</v>
      </c>
      <c r="K3489" s="2" t="str">
        <f>HYPERLINK("https://www.nba.com/stats/events?CFID=&amp;CFPARAMS=&amp;GameEventID=265&amp;GameID=0021600744&amp;Season=2016-17&amp;flag=1&amp;title=Leonard%2015'%20Pullup%20Jump%20Shot%20(11%20PTS)", "Leonard 15' Pullup Jump Shot (11 PTS)")</f>
        <v>Leonard 15' Pullup Jump Shot (11 PTS)</v>
      </c>
      <c r="L3489" s="2" t="str">
        <f>HYPERLINK("https://www.nba.com/game/...-vs-...-0021600744/play-by-play?watchFullGame=true", "SAS vs PHI - Q2 02:48.00")</f>
        <v>SAS vs PHI - Q2 02:48.00</v>
      </c>
      <c r="M3489">
        <v>15</v>
      </c>
      <c r="N3489">
        <v>-109</v>
      </c>
      <c r="O3489">
        <v>105</v>
      </c>
      <c r="P3489">
        <v>-109</v>
      </c>
      <c r="Q3489">
        <v>105</v>
      </c>
      <c r="R3489" t="s">
        <v>21</v>
      </c>
      <c r="S3489" t="s">
        <v>21</v>
      </c>
    </row>
    <row r="3490" spans="1:19" hidden="1" x14ac:dyDescent="0.25">
      <c r="A3490">
        <v>21300068</v>
      </c>
      <c r="B3490" t="s">
        <v>18</v>
      </c>
      <c r="C3490" t="s">
        <v>19</v>
      </c>
      <c r="D3490">
        <v>43</v>
      </c>
      <c r="E3490">
        <v>44</v>
      </c>
      <c r="F3490">
        <v>1</v>
      </c>
      <c r="G3490">
        <v>2</v>
      </c>
      <c r="H3490" s="1">
        <v>2.0254629629629629E-3</v>
      </c>
      <c r="I3490">
        <v>2013</v>
      </c>
      <c r="J3490" t="s">
        <v>20</v>
      </c>
      <c r="K3490" s="2" t="str">
        <f>HYPERLINK("https://www.nba.com/stats/events?CFID=&amp;CFPARAMS=&amp;GameEventID=211&amp;GameID=0021300068&amp;Season=2013-14&amp;flag=1&amp;title=Leonard%2015'%20Jump%20Shot%20(6%20PTS)%20(Ginobili%203%20AST)", "Leonard 15' Jump Shot (6 PTS) (Ginobili 3 AST)")</f>
        <v>Leonard 15' Jump Shot (6 PTS) (Ginobili 3 AST)</v>
      </c>
      <c r="L3490" s="2" t="str">
        <f>HYPERLINK("https://www.nba.com/game/...-vs-...-0021300068/play-by-play?watchFullGame=true", "SAS vs PHX - Q2 02:55.00")</f>
        <v>SAS vs PHX - Q2 02:55.00</v>
      </c>
      <c r="M3490">
        <v>15</v>
      </c>
      <c r="N3490">
        <v>-37</v>
      </c>
      <c r="O3490">
        <v>142</v>
      </c>
      <c r="P3490">
        <v>-37</v>
      </c>
      <c r="Q3490">
        <v>142</v>
      </c>
      <c r="R3490" t="s">
        <v>21</v>
      </c>
      <c r="S3490" t="s">
        <v>21</v>
      </c>
    </row>
    <row r="3491" spans="1:19" hidden="1" x14ac:dyDescent="0.25">
      <c r="A3491">
        <v>21500905</v>
      </c>
      <c r="B3491" t="s">
        <v>18</v>
      </c>
      <c r="C3491" t="s">
        <v>36</v>
      </c>
      <c r="D3491">
        <v>73</v>
      </c>
      <c r="E3491">
        <v>61</v>
      </c>
      <c r="F3491">
        <v>12</v>
      </c>
      <c r="G3491">
        <v>3</v>
      </c>
      <c r="H3491" s="1">
        <v>2.0949074074074073E-3</v>
      </c>
      <c r="I3491">
        <v>2015</v>
      </c>
      <c r="J3491" t="s">
        <v>20</v>
      </c>
      <c r="K3491" s="2" t="str">
        <f>HYPERLINK("https://www.nba.com/stats/events?CFID=&amp;CFPARAMS=&amp;GameEventID=288&amp;GameID=0021500905&amp;Season=2015-16&amp;flag=1&amp;title=Leonard%2015'%20Pullup%20Jump%20Shot%20(19%20PTS)%20(Mills%206%20AST)", "Leonard 15' Pullup Jump Shot (19 PTS) (Mills 6 AST)")</f>
        <v>Leonard 15' Pullup Jump Shot (19 PTS) (Mills 6 AST)</v>
      </c>
      <c r="L3491" s="2" t="str">
        <f>HYPERLINK("https://www.nba.com/game/...-vs-...-0021500905/play-by-play?watchFullGame=true", "SAS vs DET - Q3 03:01.00")</f>
        <v>SAS vs DET - Q3 03:01.00</v>
      </c>
      <c r="M3491">
        <v>15</v>
      </c>
      <c r="N3491">
        <v>-20</v>
      </c>
      <c r="O3491">
        <v>149</v>
      </c>
      <c r="P3491">
        <v>-20</v>
      </c>
      <c r="Q3491">
        <v>149</v>
      </c>
      <c r="R3491" t="s">
        <v>21</v>
      </c>
      <c r="S3491" t="s">
        <v>21</v>
      </c>
    </row>
    <row r="3492" spans="1:19" hidden="1" x14ac:dyDescent="0.25">
      <c r="A3492">
        <v>21500759</v>
      </c>
      <c r="B3492" t="s">
        <v>18</v>
      </c>
      <c r="C3492" t="s">
        <v>37</v>
      </c>
      <c r="D3492">
        <v>54</v>
      </c>
      <c r="E3492">
        <v>22</v>
      </c>
      <c r="F3492">
        <v>32</v>
      </c>
      <c r="G3492">
        <v>2</v>
      </c>
      <c r="H3492" s="1">
        <v>2.1064814814814813E-3</v>
      </c>
      <c r="I3492">
        <v>2015</v>
      </c>
      <c r="J3492" t="s">
        <v>20</v>
      </c>
      <c r="K3492" s="2" t="str">
        <f>HYPERLINK("https://www.nba.com/stats/events?CFID=&amp;CFPARAMS=&amp;GameEventID=211&amp;GameID=0021500759&amp;Season=2015-16&amp;flag=1&amp;title=Leonard%2015'%20Fadeaway%20Jumper%20(16%20PTS)", "Leonard 15' Fadeaway Jumper (16 PTS)")</f>
        <v>Leonard 15' Fadeaway Jumper (16 PTS)</v>
      </c>
      <c r="L3492" s="2" t="str">
        <f>HYPERLINK("https://www.nba.com/game/...-vs-...-0021500759/play-by-play?watchFullGame=true", "SAS vs DAL - Q2 03:02.00")</f>
        <v>SAS vs DAL - Q2 03:02.00</v>
      </c>
      <c r="M3492">
        <v>15</v>
      </c>
      <c r="N3492">
        <v>35</v>
      </c>
      <c r="O3492">
        <v>149</v>
      </c>
      <c r="P3492">
        <v>35</v>
      </c>
      <c r="Q3492">
        <v>149</v>
      </c>
      <c r="R3492" t="s">
        <v>21</v>
      </c>
      <c r="S3492" t="s">
        <v>21</v>
      </c>
    </row>
    <row r="3493" spans="1:19" hidden="1" x14ac:dyDescent="0.25">
      <c r="A3493">
        <v>21300181</v>
      </c>
      <c r="B3493" t="s">
        <v>18</v>
      </c>
      <c r="C3493" t="s">
        <v>19</v>
      </c>
      <c r="D3493">
        <v>47</v>
      </c>
      <c r="E3493">
        <v>33</v>
      </c>
      <c r="F3493">
        <v>14</v>
      </c>
      <c r="G3493">
        <v>2</v>
      </c>
      <c r="H3493" s="1">
        <v>2.1296296296296298E-3</v>
      </c>
      <c r="I3493">
        <v>2013</v>
      </c>
      <c r="J3493" t="s">
        <v>20</v>
      </c>
      <c r="K3493" s="2" t="str">
        <f>HYPERLINK("https://www.nba.com/stats/events?CFID=&amp;CFPARAMS=&amp;GameEventID=176&amp;GameID=0021300181&amp;Season=2013-14&amp;flag=1&amp;title=Leonard%2015'%20Jump%20Shot%20(6%20PTS)", "Leonard 15' Jump Shot (6 PTS)")</f>
        <v>Leonard 15' Jump Shot (6 PTS)</v>
      </c>
      <c r="L3493" s="2" t="str">
        <f>HYPERLINK("https://www.nba.com/game/...-vs-...-0021300181/play-by-play?watchFullGame=true", "SAS vs MEM - Q2 03:04.00")</f>
        <v>SAS vs MEM - Q2 03:04.00</v>
      </c>
      <c r="M3493">
        <v>15</v>
      </c>
      <c r="N3493">
        <v>-153</v>
      </c>
      <c r="O3493">
        <v>22</v>
      </c>
      <c r="P3493">
        <v>-153</v>
      </c>
      <c r="Q3493">
        <v>22</v>
      </c>
      <c r="R3493" t="s">
        <v>21</v>
      </c>
      <c r="S3493" t="s">
        <v>21</v>
      </c>
    </row>
    <row r="3494" spans="1:19" hidden="1" x14ac:dyDescent="0.25">
      <c r="A3494">
        <v>21800930</v>
      </c>
      <c r="B3494" t="s">
        <v>18</v>
      </c>
      <c r="C3494" t="s">
        <v>36</v>
      </c>
      <c r="D3494">
        <v>52</v>
      </c>
      <c r="E3494">
        <v>46</v>
      </c>
      <c r="F3494">
        <v>6</v>
      </c>
      <c r="G3494">
        <v>2</v>
      </c>
      <c r="H3494" s="1">
        <v>2.1990740740740742E-3</v>
      </c>
      <c r="I3494">
        <v>2018</v>
      </c>
      <c r="J3494" t="s">
        <v>48</v>
      </c>
      <c r="K3494" s="2" t="str">
        <f>HYPERLINK("https://www.nba.com/stats/events?CFID=&amp;CFPARAMS=&amp;GameEventID=264&amp;GameID=0021800930&amp;Season=2018-19&amp;flag=1&amp;title=Leonard%2015'%20Pullup%20Jump%20Shot%20(18%20PTS)", "Leonard 15' Pullup Jump Shot (18 PTS)")</f>
        <v>Leonard 15' Pullup Jump Shot (18 PTS)</v>
      </c>
      <c r="L3494" s="2" t="str">
        <f>HYPERLINK("https://www.nba.com/game/...-vs-...-0021800930/play-by-play?watchFullGame=true", "TOR vs POR - Q2 03:10.00")</f>
        <v>TOR vs POR - Q2 03:10.00</v>
      </c>
      <c r="M3494">
        <v>15</v>
      </c>
      <c r="N3494">
        <v>-13</v>
      </c>
      <c r="O3494">
        <v>153</v>
      </c>
      <c r="P3494">
        <v>-13</v>
      </c>
      <c r="Q3494">
        <v>153</v>
      </c>
      <c r="R3494" t="s">
        <v>21</v>
      </c>
      <c r="S3494" t="s">
        <v>21</v>
      </c>
    </row>
    <row r="3495" spans="1:19" hidden="1" x14ac:dyDescent="0.25">
      <c r="A3495">
        <v>21300296</v>
      </c>
      <c r="B3495" t="s">
        <v>18</v>
      </c>
      <c r="C3495" t="s">
        <v>38</v>
      </c>
      <c r="D3495">
        <v>22</v>
      </c>
      <c r="E3495">
        <v>18</v>
      </c>
      <c r="F3495">
        <v>4</v>
      </c>
      <c r="G3495">
        <v>1</v>
      </c>
      <c r="H3495" s="1">
        <v>2.2800925925925927E-3</v>
      </c>
      <c r="I3495">
        <v>2013</v>
      </c>
      <c r="J3495" t="s">
        <v>20</v>
      </c>
      <c r="K3495" s="2" t="str">
        <f>HYPERLINK("https://www.nba.com/stats/events?CFID=&amp;CFPARAMS=&amp;GameEventID=71&amp;GameID=0021300296&amp;Season=2013-14&amp;flag=1&amp;title=Leonard%2015'%20Turnaround%20Fadeaway%20(5%20PTS)", "Leonard 15' Turnaround Fadeaway (5 PTS)")</f>
        <v>Leonard 15' Turnaround Fadeaway (5 PTS)</v>
      </c>
      <c r="L3495" s="2" t="str">
        <f>HYPERLINK("https://www.nba.com/game/...-vs-...-0021300296/play-by-play?watchFullGame=true", "SAS vs IND - Q1 03:17.00")</f>
        <v>SAS vs IND - Q1 03:17.00</v>
      </c>
      <c r="M3495">
        <v>15</v>
      </c>
      <c r="N3495">
        <v>135</v>
      </c>
      <c r="O3495">
        <v>63</v>
      </c>
      <c r="P3495">
        <v>135</v>
      </c>
      <c r="Q3495">
        <v>63</v>
      </c>
      <c r="R3495" t="s">
        <v>21</v>
      </c>
      <c r="S3495" t="s">
        <v>21</v>
      </c>
    </row>
    <row r="3496" spans="1:19" hidden="1" x14ac:dyDescent="0.25">
      <c r="A3496">
        <v>41300143</v>
      </c>
      <c r="B3496" t="s">
        <v>18</v>
      </c>
      <c r="C3496" t="s">
        <v>19</v>
      </c>
      <c r="D3496">
        <v>25</v>
      </c>
      <c r="E3496">
        <v>20</v>
      </c>
      <c r="F3496">
        <v>5</v>
      </c>
      <c r="G3496">
        <v>1</v>
      </c>
      <c r="H3496" s="1">
        <v>2.4537037037037036E-3</v>
      </c>
      <c r="I3496" t="s">
        <v>55</v>
      </c>
      <c r="J3496" t="s">
        <v>20</v>
      </c>
      <c r="K3496" s="2" t="str">
        <f>HYPERLINK("https://www.nba.com/stats/events?CFID=&amp;CFPARAMS=&amp;GameEventID=71&amp;GameID=0041300143&amp;Season=2013-14&amp;flag=1&amp;title=Leonard%2015'%20Jump%20Shot%20(4%20PTS)%20(Parker%202%20AST)", "Leonard 15' Jump Shot (4 PTS) (Parker 2 AST)")</f>
        <v>Leonard 15' Jump Shot (4 PTS) (Parker 2 AST)</v>
      </c>
      <c r="L3496" s="2" t="str">
        <f>HYPERLINK("https://www.nba.com/game/...-vs-...-0041300143/play-by-play?watchFullGame=true", "SAS vs DAL - Q1 03:32.00")</f>
        <v>SAS vs DAL - Q1 03:32.00</v>
      </c>
      <c r="M3496">
        <v>15</v>
      </c>
      <c r="N3496">
        <v>146</v>
      </c>
      <c r="O3496">
        <v>25</v>
      </c>
      <c r="P3496">
        <v>146</v>
      </c>
      <c r="Q3496">
        <v>25</v>
      </c>
      <c r="R3496" t="s">
        <v>21</v>
      </c>
      <c r="S3496" t="s">
        <v>21</v>
      </c>
    </row>
    <row r="3497" spans="1:19" hidden="1" x14ac:dyDescent="0.25">
      <c r="A3497">
        <v>21500280</v>
      </c>
      <c r="B3497" t="s">
        <v>18</v>
      </c>
      <c r="C3497" t="s">
        <v>36</v>
      </c>
      <c r="D3497">
        <v>65</v>
      </c>
      <c r="E3497">
        <v>49</v>
      </c>
      <c r="F3497">
        <v>16</v>
      </c>
      <c r="G3497">
        <v>3</v>
      </c>
      <c r="H3497" s="1">
        <v>2.5000000000000001E-3</v>
      </c>
      <c r="I3497">
        <v>2015</v>
      </c>
      <c r="J3497" t="s">
        <v>20</v>
      </c>
      <c r="K3497" s="2" t="str">
        <f>HYPERLINK("https://www.nba.com/stats/events?CFID=&amp;CFPARAMS=&amp;GameEventID=322&amp;GameID=0021500280&amp;Season=2015-16&amp;flag=1&amp;title=Leonard%2015'%20Pullup%20Jump%20Shot%20(15%20PTS)", "Leonard 15' Pullup Jump Shot (15 PTS)")</f>
        <v>Leonard 15' Pullup Jump Shot (15 PTS)</v>
      </c>
      <c r="L3497" s="2" t="str">
        <f>HYPERLINK("https://www.nba.com/game/...-vs-...-0021500280/play-by-play?watchFullGame=true", "SAS vs MEM - Q3 03:36.00")</f>
        <v>SAS vs MEM - Q3 03:36.00</v>
      </c>
      <c r="M3497">
        <v>15</v>
      </c>
      <c r="N3497">
        <v>146</v>
      </c>
      <c r="O3497">
        <v>2</v>
      </c>
      <c r="P3497">
        <v>146</v>
      </c>
      <c r="Q3497">
        <v>2</v>
      </c>
      <c r="R3497" t="s">
        <v>21</v>
      </c>
      <c r="S3497" t="s">
        <v>21</v>
      </c>
    </row>
    <row r="3498" spans="1:19" hidden="1" x14ac:dyDescent="0.25">
      <c r="A3498">
        <v>21600289</v>
      </c>
      <c r="B3498" t="s">
        <v>18</v>
      </c>
      <c r="C3498" t="s">
        <v>36</v>
      </c>
      <c r="D3498">
        <v>14</v>
      </c>
      <c r="E3498">
        <v>20</v>
      </c>
      <c r="F3498">
        <v>6</v>
      </c>
      <c r="G3498">
        <v>1</v>
      </c>
      <c r="H3498" s="1">
        <v>2.627314814814815E-3</v>
      </c>
      <c r="I3498">
        <v>2016</v>
      </c>
      <c r="J3498" t="s">
        <v>20</v>
      </c>
      <c r="K3498" s="2" t="str">
        <f>HYPERLINK("https://www.nba.com/stats/events?CFID=&amp;CFPARAMS=&amp;GameEventID=85&amp;GameID=0021600289&amp;Season=2016-17&amp;flag=1&amp;title=Leonard%2015'%20Pullup%20Jump%20Shot%20(7%20PTS)%20(Mills%203%20AST)", "Leonard 15' Pullup Jump Shot (7 PTS) (Mills 3 AST)")</f>
        <v>Leonard 15' Pullup Jump Shot (7 PTS) (Mills 3 AST)</v>
      </c>
      <c r="L3498" s="2" t="str">
        <f>HYPERLINK("https://www.nba.com/game/...-vs-...-0021600289/play-by-play?watchFullGame=true", "SAS vs WAS - Q1 03:47.00")</f>
        <v>SAS vs WAS - Q1 03:47.00</v>
      </c>
      <c r="M3498">
        <v>15</v>
      </c>
      <c r="N3498">
        <v>-150</v>
      </c>
      <c r="O3498">
        <v>28</v>
      </c>
      <c r="P3498">
        <v>-150</v>
      </c>
      <c r="Q3498">
        <v>28</v>
      </c>
      <c r="R3498" t="s">
        <v>21</v>
      </c>
      <c r="S3498" t="s">
        <v>21</v>
      </c>
    </row>
    <row r="3499" spans="1:19" hidden="1" x14ac:dyDescent="0.25">
      <c r="A3499">
        <v>21500182</v>
      </c>
      <c r="B3499" t="s">
        <v>18</v>
      </c>
      <c r="C3499" t="s">
        <v>36</v>
      </c>
      <c r="D3499">
        <v>88</v>
      </c>
      <c r="E3499">
        <v>95</v>
      </c>
      <c r="F3499">
        <v>7</v>
      </c>
      <c r="G3499">
        <v>4</v>
      </c>
      <c r="H3499" s="1">
        <v>2.638888888888889E-3</v>
      </c>
      <c r="I3499">
        <v>2015</v>
      </c>
      <c r="J3499" t="s">
        <v>20</v>
      </c>
      <c r="K3499" s="2" t="str">
        <f>HYPERLINK("https://www.nba.com/stats/events?CFID=&amp;CFPARAMS=&amp;GameEventID=526&amp;GameID=0021500182&amp;Season=2015-16&amp;flag=1&amp;title=Leonard%2015'%20Pullup%20Jump%20Shot%20(22%20PTS)", "Leonard 15' Pullup Jump Shot (22 PTS)")</f>
        <v>Leonard 15' Pullup Jump Shot (22 PTS)</v>
      </c>
      <c r="L3499" s="2" t="str">
        <f>HYPERLINK("https://www.nba.com/game/...-vs-...-0021500182/play-by-play?watchFullGame=true", "SAS vs NOP - Q4 03:48.00")</f>
        <v>SAS vs NOP - Q4 03:48.00</v>
      </c>
      <c r="M3499">
        <v>15</v>
      </c>
      <c r="N3499">
        <v>-1</v>
      </c>
      <c r="O3499">
        <v>149</v>
      </c>
      <c r="P3499">
        <v>-1</v>
      </c>
      <c r="Q3499">
        <v>149</v>
      </c>
      <c r="R3499" t="s">
        <v>21</v>
      </c>
      <c r="S3499" t="s">
        <v>21</v>
      </c>
    </row>
    <row r="3500" spans="1:19" hidden="1" x14ac:dyDescent="0.25">
      <c r="A3500">
        <v>21500860</v>
      </c>
      <c r="B3500" t="s">
        <v>18</v>
      </c>
      <c r="C3500" t="s">
        <v>36</v>
      </c>
      <c r="D3500">
        <v>88</v>
      </c>
      <c r="E3500">
        <v>72</v>
      </c>
      <c r="F3500">
        <v>16</v>
      </c>
      <c r="G3500">
        <v>4</v>
      </c>
      <c r="H3500" s="1">
        <v>2.7199074074074074E-3</v>
      </c>
      <c r="I3500">
        <v>2015</v>
      </c>
      <c r="J3500" t="s">
        <v>20</v>
      </c>
      <c r="K3500" s="2" t="str">
        <f>HYPERLINK("https://www.nba.com/stats/events?CFID=&amp;CFPARAMS=&amp;GameEventID=399&amp;GameID=0021500860&amp;Season=2015-16&amp;flag=1&amp;title=Leonard%2015'%20Pullup%20Jump%20Shot%20(29%20PTS)", "Leonard 15' Pullup Jump Shot (29 PTS)")</f>
        <v>Leonard 15' Pullup Jump Shot (29 PTS)</v>
      </c>
      <c r="L3500" s="2" t="str">
        <f>HYPERLINK("https://www.nba.com/game/...-vs-...-0021500860/play-by-play?watchFullGame=true", "SAS vs UTA - Q4 03:55.00")</f>
        <v>SAS vs UTA - Q4 03:55.00</v>
      </c>
      <c r="M3500">
        <v>15</v>
      </c>
      <c r="N3500">
        <v>-147</v>
      </c>
      <c r="O3500">
        <v>2</v>
      </c>
      <c r="P3500">
        <v>-147</v>
      </c>
      <c r="Q3500">
        <v>2</v>
      </c>
      <c r="R3500" t="s">
        <v>21</v>
      </c>
      <c r="S3500" t="s">
        <v>21</v>
      </c>
    </row>
    <row r="3501" spans="1:19" hidden="1" x14ac:dyDescent="0.25">
      <c r="A3501">
        <v>41800114</v>
      </c>
      <c r="B3501" t="s">
        <v>18</v>
      </c>
      <c r="C3501" t="s">
        <v>37</v>
      </c>
      <c r="D3501">
        <v>47</v>
      </c>
      <c r="E3501">
        <v>39</v>
      </c>
      <c r="F3501">
        <v>8</v>
      </c>
      <c r="G3501">
        <v>2</v>
      </c>
      <c r="H3501" s="1">
        <v>2.7546296296296294E-3</v>
      </c>
      <c r="I3501" t="s">
        <v>60</v>
      </c>
      <c r="J3501" t="s">
        <v>48</v>
      </c>
      <c r="K3501" s="2" t="str">
        <f>HYPERLINK("https://www.nba.com/stats/events?CFID=&amp;CFPARAMS=&amp;GameEventID=245&amp;GameID=0041800114&amp;Season=2018-19&amp;flag=1&amp;title=Leonard%2015'%20Fadeaway%20Jumper%20(13%20PTS)", "Leonard 15' Fadeaway Jumper (13 PTS)")</f>
        <v>Leonard 15' Fadeaway Jumper (13 PTS)</v>
      </c>
      <c r="L3501" s="2" t="str">
        <f>HYPERLINK("https://www.nba.com/game/...-vs-...-0041800114/play-by-play?watchFullGame=true", "TOR vs ORL - Q2 03:58.00")</f>
        <v>TOR vs ORL - Q2 03:58.00</v>
      </c>
      <c r="M3501">
        <v>15</v>
      </c>
      <c r="N3501">
        <v>128</v>
      </c>
      <c r="O3501">
        <v>84</v>
      </c>
      <c r="P3501">
        <v>128</v>
      </c>
      <c r="Q3501">
        <v>84</v>
      </c>
      <c r="R3501" t="s">
        <v>21</v>
      </c>
      <c r="S3501" t="s">
        <v>21</v>
      </c>
    </row>
    <row r="3502" spans="1:19" hidden="1" x14ac:dyDescent="0.25">
      <c r="A3502">
        <v>21500182</v>
      </c>
      <c r="B3502" t="s">
        <v>18</v>
      </c>
      <c r="C3502" t="s">
        <v>19</v>
      </c>
      <c r="D3502">
        <v>32</v>
      </c>
      <c r="E3502">
        <v>39</v>
      </c>
      <c r="F3502">
        <v>7</v>
      </c>
      <c r="G3502">
        <v>2</v>
      </c>
      <c r="H3502" s="1">
        <v>2.8356481481481483E-3</v>
      </c>
      <c r="I3502">
        <v>2015</v>
      </c>
      <c r="J3502" t="s">
        <v>20</v>
      </c>
      <c r="K3502" s="2" t="str">
        <f>HYPERLINK("https://www.nba.com/stats/events?CFID=&amp;CFPARAMS=&amp;GameEventID=256&amp;GameID=0021500182&amp;Season=2015-16&amp;flag=1&amp;title=Leonard%2015'%20Jump%20Shot%20(12%20PTS)%20(Duncan%202%20AST)", "Leonard 15' Jump Shot (12 PTS) (Duncan 2 AST)")</f>
        <v>Leonard 15' Jump Shot (12 PTS) (Duncan 2 AST)</v>
      </c>
      <c r="L3502" s="2" t="str">
        <f>HYPERLINK("https://www.nba.com/game/...-vs-...-0021500182/play-by-play?watchFullGame=true", "SAS vs NOP - Q2 04:05.00")</f>
        <v>SAS vs NOP - Q2 04:05.00</v>
      </c>
      <c r="M3502">
        <v>15</v>
      </c>
      <c r="N3502">
        <v>112</v>
      </c>
      <c r="O3502">
        <v>100</v>
      </c>
      <c r="P3502">
        <v>112</v>
      </c>
      <c r="Q3502">
        <v>100</v>
      </c>
      <c r="R3502" t="s">
        <v>21</v>
      </c>
      <c r="S3502" t="s">
        <v>21</v>
      </c>
    </row>
    <row r="3503" spans="1:19" hidden="1" x14ac:dyDescent="0.25">
      <c r="A3503">
        <v>41800302</v>
      </c>
      <c r="B3503" t="s">
        <v>18</v>
      </c>
      <c r="C3503" t="s">
        <v>39</v>
      </c>
      <c r="D3503">
        <v>36</v>
      </c>
      <c r="E3503">
        <v>52</v>
      </c>
      <c r="F3503">
        <v>16</v>
      </c>
      <c r="G3503">
        <v>2</v>
      </c>
      <c r="H3503" s="1">
        <v>2.8819444444444444E-3</v>
      </c>
      <c r="I3503" t="s">
        <v>60</v>
      </c>
      <c r="J3503" t="s">
        <v>48</v>
      </c>
      <c r="K3503" s="2" t="str">
        <f>HYPERLINK("https://www.nba.com/stats/events?CFID=&amp;CFPARAMS=&amp;GameEventID=279&amp;GameID=0041800302&amp;Season=2018-19&amp;flag=1&amp;title=Leonard%2015'%20Step%20Back%20Jump%20Shot%20(11%20PTS)", "Leonard 15' Step Back Jump Shot (11 PTS)")</f>
        <v>Leonard 15' Step Back Jump Shot (11 PTS)</v>
      </c>
      <c r="L3503" s="2" t="str">
        <f>HYPERLINK("https://www.nba.com/game/...-vs-...-0041800302/play-by-play?watchFullGame=true", "TOR vs MIL - Q2 04:09.00")</f>
        <v>TOR vs MIL - Q2 04:09.00</v>
      </c>
      <c r="M3503">
        <v>15</v>
      </c>
      <c r="N3503">
        <v>-70</v>
      </c>
      <c r="O3503">
        <v>136</v>
      </c>
      <c r="P3503">
        <v>-70</v>
      </c>
      <c r="Q3503">
        <v>136</v>
      </c>
      <c r="R3503" t="s">
        <v>21</v>
      </c>
      <c r="S3503" t="s">
        <v>21</v>
      </c>
    </row>
    <row r="3504" spans="1:19" hidden="1" x14ac:dyDescent="0.25">
      <c r="A3504">
        <v>21400069</v>
      </c>
      <c r="B3504" t="s">
        <v>18</v>
      </c>
      <c r="C3504" t="s">
        <v>19</v>
      </c>
      <c r="D3504">
        <v>6</v>
      </c>
      <c r="E3504">
        <v>11</v>
      </c>
      <c r="F3504">
        <v>5</v>
      </c>
      <c r="G3504">
        <v>1</v>
      </c>
      <c r="H3504" s="1">
        <v>2.9282407407407408E-3</v>
      </c>
      <c r="I3504">
        <v>2014</v>
      </c>
      <c r="J3504" t="s">
        <v>20</v>
      </c>
      <c r="K3504" s="2" t="str">
        <f>HYPERLINK("https://www.nba.com/stats/events?CFID=&amp;CFPARAMS=&amp;GameEventID=78&amp;GameID=0021400069&amp;Season=2014-15&amp;flag=1&amp;title=Leonard%2015'%20Jump%20Shot%20(2%20PTS)%20(Bonner%201%20AST)", "Leonard 15' Jump Shot (2 PTS) (Bonner 1 AST)")</f>
        <v>Leonard 15' Jump Shot (2 PTS) (Bonner 1 AST)</v>
      </c>
      <c r="L3504" s="2" t="str">
        <f>HYPERLINK("https://www.nba.com/game/...-vs-...-0021400069/play-by-play?watchFullGame=true", "SAS vs HOU - Q1 04:13.00")</f>
        <v>SAS vs HOU - Q1 04:13.00</v>
      </c>
      <c r="M3504">
        <v>15</v>
      </c>
      <c r="N3504">
        <v>138</v>
      </c>
      <c r="O3504">
        <v>61</v>
      </c>
      <c r="P3504">
        <v>138</v>
      </c>
      <c r="Q3504">
        <v>61</v>
      </c>
      <c r="R3504" t="s">
        <v>21</v>
      </c>
      <c r="S3504" t="s">
        <v>21</v>
      </c>
    </row>
    <row r="3505" spans="1:19" hidden="1" x14ac:dyDescent="0.25">
      <c r="A3505">
        <v>21600717</v>
      </c>
      <c r="B3505" t="s">
        <v>18</v>
      </c>
      <c r="C3505" t="s">
        <v>39</v>
      </c>
      <c r="D3505">
        <v>92</v>
      </c>
      <c r="E3505">
        <v>98</v>
      </c>
      <c r="F3505">
        <v>6</v>
      </c>
      <c r="G3505">
        <v>4</v>
      </c>
      <c r="H3505" s="1">
        <v>2.9398148148148148E-3</v>
      </c>
      <c r="I3505">
        <v>2016</v>
      </c>
      <c r="J3505" t="s">
        <v>20</v>
      </c>
      <c r="K3505" s="2" t="str">
        <f>HYPERLINK("https://www.nba.com/stats/events?CFID=&amp;CFPARAMS=&amp;GameEventID=455&amp;GameID=0021600717&amp;Season=2016-17&amp;flag=1&amp;title=Leonard%2015'%20Step%20Back%20Jump%20Shot%20(22%20PTS)", "Leonard 15' Step Back Jump Shot (22 PTS)")</f>
        <v>Leonard 15' Step Back Jump Shot (22 PTS)</v>
      </c>
      <c r="L3505" s="2" t="str">
        <f>HYPERLINK("https://www.nba.com/game/...-vs-...-0021600717/play-by-play?watchFullGame=true", "SAS vs DAL - Q4 04:14.00")</f>
        <v>SAS vs DAL - Q4 04:14.00</v>
      </c>
      <c r="M3505">
        <v>15</v>
      </c>
      <c r="N3505">
        <v>-151</v>
      </c>
      <c r="O3505">
        <v>7</v>
      </c>
      <c r="P3505">
        <v>-151</v>
      </c>
      <c r="Q3505">
        <v>7</v>
      </c>
      <c r="R3505" t="s">
        <v>21</v>
      </c>
      <c r="S3505" t="s">
        <v>21</v>
      </c>
    </row>
    <row r="3506" spans="1:19" hidden="1" x14ac:dyDescent="0.25">
      <c r="A3506">
        <v>21401157</v>
      </c>
      <c r="B3506" t="s">
        <v>18</v>
      </c>
      <c r="C3506" t="s">
        <v>19</v>
      </c>
      <c r="D3506">
        <v>52</v>
      </c>
      <c r="E3506">
        <v>31</v>
      </c>
      <c r="F3506">
        <v>21</v>
      </c>
      <c r="G3506">
        <v>2</v>
      </c>
      <c r="H3506" s="1">
        <v>2.9513888888888888E-3</v>
      </c>
      <c r="I3506">
        <v>2014</v>
      </c>
      <c r="J3506" t="s">
        <v>20</v>
      </c>
      <c r="K3506" s="2" t="str">
        <f>HYPERLINK("https://www.nba.com/stats/events?CFID=&amp;CFPARAMS=&amp;GameEventID=220&amp;GameID=0021401157&amp;Season=2014-15&amp;flag=1&amp;title=Leonard%2015'%20Jump%20Shot%20(19%20PTS)", "Leonard 15' Jump Shot (19 PTS)")</f>
        <v>Leonard 15' Jump Shot (19 PTS)</v>
      </c>
      <c r="L3506" s="2" t="str">
        <f>HYPERLINK("https://www.nba.com/game/...-vs-...-0021401157/play-by-play?watchFullGame=true", "SAS vs OKC - Q2 04:15.00")</f>
        <v>SAS vs OKC - Q2 04:15.00</v>
      </c>
      <c r="M3506">
        <v>15</v>
      </c>
      <c r="N3506">
        <v>151</v>
      </c>
      <c r="O3506">
        <v>30</v>
      </c>
      <c r="P3506">
        <v>151</v>
      </c>
      <c r="Q3506">
        <v>30</v>
      </c>
      <c r="R3506" t="s">
        <v>21</v>
      </c>
      <c r="S3506" t="s">
        <v>21</v>
      </c>
    </row>
    <row r="3507" spans="1:19" hidden="1" x14ac:dyDescent="0.25">
      <c r="A3507">
        <v>21600182</v>
      </c>
      <c r="B3507" t="s">
        <v>18</v>
      </c>
      <c r="C3507" t="s">
        <v>36</v>
      </c>
      <c r="D3507">
        <v>80</v>
      </c>
      <c r="E3507">
        <v>66</v>
      </c>
      <c r="F3507">
        <v>14</v>
      </c>
      <c r="G3507">
        <v>3</v>
      </c>
      <c r="H3507" s="1">
        <v>2.9745370370370373E-3</v>
      </c>
      <c r="I3507">
        <v>2016</v>
      </c>
      <c r="J3507" t="s">
        <v>20</v>
      </c>
      <c r="K3507" s="2" t="str">
        <f>HYPERLINK("https://www.nba.com/stats/events?CFID=&amp;CFPARAMS=&amp;GameEventID=326&amp;GameID=0021600182&amp;Season=2016-17&amp;flag=1&amp;title=Leonard%2015'%20Pullup%20Jump%20Shot%20(12%20PTS)", "Leonard 15' Pullup Jump Shot (12 PTS)")</f>
        <v>Leonard 15' Pullup Jump Shot (12 PTS)</v>
      </c>
      <c r="L3507" s="2" t="str">
        <f>HYPERLINK("https://www.nba.com/game/...-vs-...-0021600182/play-by-play?watchFullGame=true", "SAS vs LAL - Q3 04:17.00")</f>
        <v>SAS vs LAL - Q3 04:17.00</v>
      </c>
      <c r="M3507">
        <v>15</v>
      </c>
      <c r="N3507">
        <v>147</v>
      </c>
      <c r="O3507">
        <v>11</v>
      </c>
      <c r="P3507">
        <v>147</v>
      </c>
      <c r="Q3507">
        <v>11</v>
      </c>
      <c r="R3507" t="s">
        <v>21</v>
      </c>
      <c r="S3507" t="s">
        <v>21</v>
      </c>
    </row>
    <row r="3508" spans="1:19" hidden="1" x14ac:dyDescent="0.25">
      <c r="A3508">
        <v>21300082</v>
      </c>
      <c r="B3508" t="s">
        <v>18</v>
      </c>
      <c r="C3508" t="s">
        <v>19</v>
      </c>
      <c r="D3508">
        <v>21</v>
      </c>
      <c r="E3508">
        <v>10</v>
      </c>
      <c r="F3508">
        <v>11</v>
      </c>
      <c r="G3508">
        <v>1</v>
      </c>
      <c r="H3508" s="1">
        <v>3.0671296296296297E-3</v>
      </c>
      <c r="I3508">
        <v>2013</v>
      </c>
      <c r="J3508" t="s">
        <v>20</v>
      </c>
      <c r="K3508" s="2" t="str">
        <f>HYPERLINK("https://www.nba.com/stats/events?CFID=&amp;CFPARAMS=&amp;GameEventID=55&amp;GameID=0021300082&amp;Season=2013-14&amp;flag=1&amp;title=Leonard%2015'%20Jump%20Shot%20(5%20PTS)", "Leonard 15' Jump Shot (5 PTS)")</f>
        <v>Leonard 15' Jump Shot (5 PTS)</v>
      </c>
      <c r="L3508" s="2" t="str">
        <f>HYPERLINK("https://www.nba.com/game/...-vs-...-0021300082/play-by-play?watchFullGame=true", "SAS vs GSW - Q1 04:25.00")</f>
        <v>SAS vs GSW - Q1 04:25.00</v>
      </c>
      <c r="M3508">
        <v>15</v>
      </c>
      <c r="N3508">
        <v>154</v>
      </c>
      <c r="O3508">
        <v>-14</v>
      </c>
      <c r="P3508">
        <v>154</v>
      </c>
      <c r="Q3508">
        <v>-14</v>
      </c>
      <c r="R3508" t="s">
        <v>21</v>
      </c>
      <c r="S3508" t="s">
        <v>21</v>
      </c>
    </row>
    <row r="3509" spans="1:19" hidden="1" x14ac:dyDescent="0.25">
      <c r="A3509">
        <v>41600152</v>
      </c>
      <c r="B3509" t="s">
        <v>18</v>
      </c>
      <c r="C3509" t="s">
        <v>36</v>
      </c>
      <c r="D3509">
        <v>66</v>
      </c>
      <c r="E3509">
        <v>53</v>
      </c>
      <c r="F3509">
        <v>13</v>
      </c>
      <c r="G3509">
        <v>3</v>
      </c>
      <c r="H3509" s="1">
        <v>3.1712962962962962E-3</v>
      </c>
      <c r="I3509" t="s">
        <v>58</v>
      </c>
      <c r="J3509" t="s">
        <v>20</v>
      </c>
      <c r="K3509" s="2" t="str">
        <f>HYPERLINK("https://www.nba.com/stats/events?CFID=&amp;CFPARAMS=&amp;GameEventID=343&amp;GameID=0041600152&amp;Season=2016-17&amp;flag=1&amp;title=Leonard%2015'%20Pullup%20Jump%20Shot%20(20%20PTS)%20(Mills%202%20AST)", "Leonard 15' Pullup Jump Shot (20 PTS) (Mills 2 AST)")</f>
        <v>Leonard 15' Pullup Jump Shot (20 PTS) (Mills 2 AST)</v>
      </c>
      <c r="L3509" s="2" t="str">
        <f>HYPERLINK("https://www.nba.com/game/...-vs-...-0041600152/play-by-play?watchFullGame=true", "SAS vs MEM - Q3 04:34.00")</f>
        <v>SAS vs MEM - Q3 04:34.00</v>
      </c>
      <c r="M3509">
        <v>15</v>
      </c>
      <c r="N3509">
        <v>-142</v>
      </c>
      <c r="O3509">
        <v>41</v>
      </c>
      <c r="P3509">
        <v>-142</v>
      </c>
      <c r="Q3509">
        <v>41</v>
      </c>
      <c r="R3509" t="s">
        <v>21</v>
      </c>
      <c r="S3509" t="s">
        <v>21</v>
      </c>
    </row>
    <row r="3510" spans="1:19" hidden="1" x14ac:dyDescent="0.25">
      <c r="A3510">
        <v>21800983</v>
      </c>
      <c r="B3510" t="s">
        <v>18</v>
      </c>
      <c r="C3510" t="s">
        <v>36</v>
      </c>
      <c r="D3510">
        <v>17</v>
      </c>
      <c r="E3510">
        <v>17</v>
      </c>
      <c r="F3510">
        <v>0</v>
      </c>
      <c r="G3510">
        <v>1</v>
      </c>
      <c r="H3510" s="1">
        <v>3.2291666666666666E-3</v>
      </c>
      <c r="I3510">
        <v>2018</v>
      </c>
      <c r="J3510" t="s">
        <v>48</v>
      </c>
      <c r="K3510" s="2" t="str">
        <f>HYPERLINK("https://www.nba.com/stats/events?CFID=&amp;CFPARAMS=&amp;GameEventID=93&amp;GameID=0021800983&amp;Season=2018-19&amp;flag=1&amp;title=Leonard%2015'%20Pullup%20Jump%20Shot%20(10%20PTS)", "Leonard 15' Pullup Jump Shot (10 PTS)")</f>
        <v>Leonard 15' Pullup Jump Shot (10 PTS)</v>
      </c>
      <c r="L3510" s="2" t="str">
        <f>HYPERLINK("https://www.nba.com/game/...-vs-...-0021800983/play-by-play?watchFullGame=true", "TOR vs NOP - Q1 04:39.00")</f>
        <v>TOR vs NOP - Q1 04:39.00</v>
      </c>
      <c r="M3510">
        <v>15</v>
      </c>
      <c r="N3510">
        <v>-35</v>
      </c>
      <c r="O3510">
        <v>143</v>
      </c>
      <c r="P3510">
        <v>-35</v>
      </c>
      <c r="Q3510">
        <v>143</v>
      </c>
      <c r="R3510" t="s">
        <v>21</v>
      </c>
      <c r="S3510" t="s">
        <v>21</v>
      </c>
    </row>
    <row r="3511" spans="1:19" hidden="1" x14ac:dyDescent="0.25">
      <c r="A3511">
        <v>21601085</v>
      </c>
      <c r="B3511" t="s">
        <v>18</v>
      </c>
      <c r="C3511" t="s">
        <v>19</v>
      </c>
      <c r="D3511">
        <v>18</v>
      </c>
      <c r="E3511">
        <v>11</v>
      </c>
      <c r="F3511">
        <v>7</v>
      </c>
      <c r="G3511">
        <v>1</v>
      </c>
      <c r="H3511" s="1">
        <v>3.3217592592592591E-3</v>
      </c>
      <c r="I3511">
        <v>2016</v>
      </c>
      <c r="J3511" t="s">
        <v>20</v>
      </c>
      <c r="K3511" s="2" t="str">
        <f>HYPERLINK("https://www.nba.com/stats/events?CFID=&amp;CFPARAMS=&amp;GameEventID=65&amp;GameID=0021601085&amp;Season=2016-17&amp;flag=1&amp;title=Leonard%2015'%20Jump%20Shot%20(3%20PTS)%20(Mills%201%20AST)", "Leonard 15' Jump Shot (3 PTS) (Mills 1 AST)")</f>
        <v>Leonard 15' Jump Shot (3 PTS) (Mills 1 AST)</v>
      </c>
      <c r="L3511" s="2" t="str">
        <f>HYPERLINK("https://www.nba.com/game/...-vs-...-0021601085/play-by-play?watchFullGame=true", "SAS vs NYK - Q1 04:47.00")</f>
        <v>SAS vs NYK - Q1 04:47.00</v>
      </c>
      <c r="M3511">
        <v>15</v>
      </c>
      <c r="N3511">
        <v>151</v>
      </c>
      <c r="O3511">
        <v>31</v>
      </c>
      <c r="P3511">
        <v>151</v>
      </c>
      <c r="Q3511">
        <v>31</v>
      </c>
      <c r="R3511" t="s">
        <v>21</v>
      </c>
      <c r="S3511" t="s">
        <v>21</v>
      </c>
    </row>
    <row r="3512" spans="1:19" hidden="1" x14ac:dyDescent="0.25">
      <c r="A3512">
        <v>41200152</v>
      </c>
      <c r="B3512" t="s">
        <v>18</v>
      </c>
      <c r="C3512" t="s">
        <v>19</v>
      </c>
      <c r="D3512">
        <v>16</v>
      </c>
      <c r="E3512">
        <v>12</v>
      </c>
      <c r="F3512">
        <v>4</v>
      </c>
      <c r="G3512">
        <v>1</v>
      </c>
      <c r="H3512" s="1">
        <v>3.3564814814814816E-3</v>
      </c>
      <c r="I3512" t="s">
        <v>53</v>
      </c>
      <c r="J3512" t="s">
        <v>20</v>
      </c>
      <c r="K3512" s="2" t="str">
        <f>HYPERLINK("https://www.nba.com/stats/events?CFID=&amp;CFPARAMS=&amp;GameEventID=64&amp;GameID=0041200152&amp;Season=2012-13&amp;flag=1&amp;title=Leonard%2015'%20Jump%20Shot%20(6%20PTS)", "Leonard 15' Jump Shot (6 PTS)")</f>
        <v>Leonard 15' Jump Shot (6 PTS)</v>
      </c>
      <c r="L3512" s="2" t="str">
        <f>HYPERLINK("https://www.nba.com/game/...-vs-...-0041200152/play-by-play?watchFullGame=true", "SAS vs LAL - Q1 04:50.00")</f>
        <v>SAS vs LAL - Q1 04:50.00</v>
      </c>
      <c r="M3512">
        <v>15</v>
      </c>
      <c r="N3512">
        <v>-2</v>
      </c>
      <c r="O3512">
        <v>145</v>
      </c>
      <c r="P3512">
        <v>-2</v>
      </c>
      <c r="Q3512">
        <v>145</v>
      </c>
      <c r="R3512" t="s">
        <v>21</v>
      </c>
      <c r="S3512" t="s">
        <v>21</v>
      </c>
    </row>
    <row r="3513" spans="1:19" hidden="1" x14ac:dyDescent="0.25">
      <c r="A3513">
        <v>41300145</v>
      </c>
      <c r="B3513" t="s">
        <v>18</v>
      </c>
      <c r="C3513" t="s">
        <v>36</v>
      </c>
      <c r="D3513">
        <v>71</v>
      </c>
      <c r="E3513">
        <v>59</v>
      </c>
      <c r="F3513">
        <v>12</v>
      </c>
      <c r="G3513">
        <v>3</v>
      </c>
      <c r="H3513" s="1">
        <v>3.3680555555555556E-3</v>
      </c>
      <c r="I3513" t="s">
        <v>55</v>
      </c>
      <c r="J3513" t="s">
        <v>20</v>
      </c>
      <c r="K3513" s="2" t="str">
        <f>HYPERLINK("https://www.nba.com/stats/events?CFID=&amp;CFPARAMS=&amp;GameEventID=325&amp;GameID=0041300145&amp;Season=2013-14&amp;flag=1&amp;title=Leonard%2015'%20Pullup%20Jump%20Shot%20(15%20PTS)%20(Duncan%201%20AST)", "Leonard 15' Pullup Jump Shot (15 PTS) (Duncan 1 AST)")</f>
        <v>Leonard 15' Pullup Jump Shot (15 PTS) (Duncan 1 AST)</v>
      </c>
      <c r="L3513" s="2" t="str">
        <f>HYPERLINK("https://www.nba.com/game/...-vs-...-0041300145/play-by-play?watchFullGame=true", "SAS vs DAL - Q3 04:51.00")</f>
        <v>SAS vs DAL - Q3 04:51.00</v>
      </c>
      <c r="M3513">
        <v>15</v>
      </c>
      <c r="N3513">
        <v>23</v>
      </c>
      <c r="O3513">
        <v>153</v>
      </c>
      <c r="P3513">
        <v>23</v>
      </c>
      <c r="Q3513">
        <v>153</v>
      </c>
      <c r="R3513" t="s">
        <v>21</v>
      </c>
      <c r="S3513" t="s">
        <v>21</v>
      </c>
    </row>
    <row r="3514" spans="1:19" hidden="1" x14ac:dyDescent="0.25">
      <c r="A3514">
        <v>21500939</v>
      </c>
      <c r="B3514" t="s">
        <v>18</v>
      </c>
      <c r="C3514" t="s">
        <v>36</v>
      </c>
      <c r="D3514">
        <v>8</v>
      </c>
      <c r="E3514">
        <v>14</v>
      </c>
      <c r="F3514">
        <v>6</v>
      </c>
      <c r="G3514">
        <v>1</v>
      </c>
      <c r="H3514" s="1">
        <v>3.449074074074074E-3</v>
      </c>
      <c r="I3514">
        <v>2015</v>
      </c>
      <c r="J3514" t="s">
        <v>20</v>
      </c>
      <c r="K3514" s="2" t="str">
        <f>HYPERLINK("https://www.nba.com/stats/events?CFID=&amp;CFPARAMS=&amp;GameEventID=62&amp;GameID=0021500939&amp;Season=2015-16&amp;flag=1&amp;title=Leonard%2015'%20Pullup%20Jump%20Shot%20(4%20PTS)", "Leonard 15' Pullup Jump Shot (4 PTS)")</f>
        <v>Leonard 15' Pullup Jump Shot (4 PTS)</v>
      </c>
      <c r="L3514" s="2" t="str">
        <f>HYPERLINK("https://www.nba.com/game/...-vs-...-0021500939/play-by-play?watchFullGame=true", "SAS vs IND - Q1 04:58.00")</f>
        <v>SAS vs IND - Q1 04:58.00</v>
      </c>
      <c r="M3514">
        <v>15</v>
      </c>
      <c r="N3514">
        <v>151</v>
      </c>
      <c r="O3514">
        <v>-11</v>
      </c>
      <c r="P3514">
        <v>151</v>
      </c>
      <c r="Q3514">
        <v>-11</v>
      </c>
      <c r="R3514" t="s">
        <v>21</v>
      </c>
      <c r="S3514" t="s">
        <v>21</v>
      </c>
    </row>
    <row r="3515" spans="1:19" hidden="1" x14ac:dyDescent="0.25">
      <c r="A3515">
        <v>21400986</v>
      </c>
      <c r="B3515" t="s">
        <v>18</v>
      </c>
      <c r="C3515" t="s">
        <v>19</v>
      </c>
      <c r="D3515">
        <v>83</v>
      </c>
      <c r="E3515">
        <v>56</v>
      </c>
      <c r="F3515">
        <v>27</v>
      </c>
      <c r="G3515">
        <v>3</v>
      </c>
      <c r="H3515" s="1">
        <v>3.5300925925925925E-3</v>
      </c>
      <c r="I3515">
        <v>2014</v>
      </c>
      <c r="J3515" t="s">
        <v>20</v>
      </c>
      <c r="K3515" s="2" t="str">
        <f>HYPERLINK("https://www.nba.com/stats/events?CFID=&amp;CFPARAMS=&amp;GameEventID=310&amp;GameID=0021400986&amp;Season=2014-15&amp;flag=1&amp;title=Leonard%2015'%20Jump%20Shot%20(15%20PTS)%20(Parker%208%20AST)", "Leonard 15' Jump Shot (15 PTS) (Parker 8 AST)")</f>
        <v>Leonard 15' Jump Shot (15 PTS) (Parker 8 AST)</v>
      </c>
      <c r="L3515" s="2" t="str">
        <f>HYPERLINK("https://www.nba.com/game/...-vs-...-0021400986/play-by-play?watchFullGame=true", "SAS vs MIN - Q3 05:05.00")</f>
        <v>SAS vs MIN - Q3 05:05.00</v>
      </c>
      <c r="M3515">
        <v>15</v>
      </c>
      <c r="N3515">
        <v>129</v>
      </c>
      <c r="O3515">
        <v>74</v>
      </c>
      <c r="P3515">
        <v>129</v>
      </c>
      <c r="Q3515">
        <v>74</v>
      </c>
      <c r="R3515" t="s">
        <v>21</v>
      </c>
      <c r="S3515" t="s">
        <v>21</v>
      </c>
    </row>
    <row r="3516" spans="1:19" hidden="1" x14ac:dyDescent="0.25">
      <c r="A3516">
        <v>21401134</v>
      </c>
      <c r="B3516" t="s">
        <v>18</v>
      </c>
      <c r="C3516" t="s">
        <v>19</v>
      </c>
      <c r="D3516">
        <v>28</v>
      </c>
      <c r="E3516">
        <v>14</v>
      </c>
      <c r="F3516">
        <v>14</v>
      </c>
      <c r="G3516">
        <v>1</v>
      </c>
      <c r="H3516" s="1">
        <v>3.5763888888888889E-3</v>
      </c>
      <c r="I3516">
        <v>2014</v>
      </c>
      <c r="J3516" t="s">
        <v>20</v>
      </c>
      <c r="K3516" s="2" t="str">
        <f>HYPERLINK("https://www.nba.com/stats/events?CFID=&amp;CFPARAMS=&amp;GameEventID=59&amp;GameID=0021401134&amp;Season=2014-15&amp;flag=1&amp;title=Leonard%2015'%20Jump%20Shot%20(15%20PTS)", "Leonard 15' Jump Shot (15 PTS)")</f>
        <v>Leonard 15' Jump Shot (15 PTS)</v>
      </c>
      <c r="L3516" s="2" t="str">
        <f>HYPERLINK("https://www.nba.com/game/...-vs-...-0021401134/play-by-play?watchFullGame=true", "SAS vs DEN - Q1 05:09.00")</f>
        <v>SAS vs DEN - Q1 05:09.00</v>
      </c>
      <c r="M3516">
        <v>15</v>
      </c>
      <c r="N3516">
        <v>-149</v>
      </c>
      <c r="O3516">
        <v>30</v>
      </c>
      <c r="P3516">
        <v>-149</v>
      </c>
      <c r="Q3516">
        <v>30</v>
      </c>
      <c r="R3516" t="s">
        <v>21</v>
      </c>
      <c r="S3516" t="s">
        <v>21</v>
      </c>
    </row>
    <row r="3517" spans="1:19" hidden="1" x14ac:dyDescent="0.25">
      <c r="A3517">
        <v>41600233</v>
      </c>
      <c r="B3517" t="s">
        <v>18</v>
      </c>
      <c r="C3517" t="s">
        <v>36</v>
      </c>
      <c r="D3517">
        <v>58</v>
      </c>
      <c r="E3517">
        <v>55</v>
      </c>
      <c r="F3517">
        <v>3</v>
      </c>
      <c r="G3517">
        <v>3</v>
      </c>
      <c r="H3517" s="1">
        <v>3.6458333333333334E-3</v>
      </c>
      <c r="I3517" t="s">
        <v>58</v>
      </c>
      <c r="J3517" t="s">
        <v>20</v>
      </c>
      <c r="K3517" s="2" t="str">
        <f>HYPERLINK("https://www.nba.com/stats/events?CFID=&amp;CFPARAMS=&amp;GameEventID=324&amp;GameID=0041600233&amp;Season=2016-17&amp;flag=1&amp;title=Leonard%2015'%20Pullup%20Jump%20Shot%20(19%20PTS)", "Leonard 15' Pullup Jump Shot (19 PTS)")</f>
        <v>Leonard 15' Pullup Jump Shot (19 PTS)</v>
      </c>
      <c r="L3517" s="2" t="str">
        <f>HYPERLINK("https://www.nba.com/game/...-vs-...-0041600233/play-by-play?watchFullGame=true", "SAS vs HOU - Q3 05:15.00")</f>
        <v>SAS vs HOU - Q3 05:15.00</v>
      </c>
      <c r="M3517">
        <v>15</v>
      </c>
      <c r="N3517">
        <v>84</v>
      </c>
      <c r="O3517">
        <v>121</v>
      </c>
      <c r="P3517">
        <v>84</v>
      </c>
      <c r="Q3517">
        <v>121</v>
      </c>
      <c r="R3517" t="s">
        <v>21</v>
      </c>
      <c r="S3517" t="s">
        <v>21</v>
      </c>
    </row>
    <row r="3518" spans="1:19" hidden="1" x14ac:dyDescent="0.25">
      <c r="A3518">
        <v>21500090</v>
      </c>
      <c r="B3518" t="s">
        <v>18</v>
      </c>
      <c r="C3518" t="s">
        <v>39</v>
      </c>
      <c r="D3518">
        <v>103</v>
      </c>
      <c r="E3518">
        <v>82</v>
      </c>
      <c r="F3518">
        <v>21</v>
      </c>
      <c r="G3518">
        <v>4</v>
      </c>
      <c r="H3518" s="1">
        <v>3.8310185185185183E-3</v>
      </c>
      <c r="I3518">
        <v>2015</v>
      </c>
      <c r="J3518" t="s">
        <v>20</v>
      </c>
      <c r="K3518" s="2" t="str">
        <f>HYPERLINK("https://www.nba.com/stats/events?CFID=&amp;CFPARAMS=&amp;GameEventID=450&amp;GameID=0021500090&amp;Season=2015-16&amp;flag=1&amp;title=Leonard%2015'%20Step%20Back%20Jump%20Shot%20(21%20PTS)%20(Anderson%201%20AST)", "Leonard 15' Step Back Jump Shot (21 PTS) (Anderson 1 AST)")</f>
        <v>Leonard 15' Step Back Jump Shot (21 PTS) (Anderson 1 AST)</v>
      </c>
      <c r="L3518" s="2" t="str">
        <f>HYPERLINK("https://www.nba.com/game/...-vs-...-0021500090/play-by-play?watchFullGame=true", "SAS vs CHA - Q4 05:31.00")</f>
        <v>SAS vs CHA - Q4 05:31.00</v>
      </c>
      <c r="M3518">
        <v>15</v>
      </c>
      <c r="N3518">
        <v>-147</v>
      </c>
      <c r="O3518">
        <v>11</v>
      </c>
      <c r="P3518">
        <v>-147</v>
      </c>
      <c r="Q3518">
        <v>11</v>
      </c>
      <c r="R3518" t="s">
        <v>21</v>
      </c>
      <c r="S3518" t="s">
        <v>21</v>
      </c>
    </row>
    <row r="3519" spans="1:19" hidden="1" x14ac:dyDescent="0.25">
      <c r="A3519">
        <v>21600353</v>
      </c>
      <c r="B3519" t="s">
        <v>18</v>
      </c>
      <c r="C3519" t="s">
        <v>19</v>
      </c>
      <c r="D3519">
        <v>85</v>
      </c>
      <c r="E3519">
        <v>63</v>
      </c>
      <c r="F3519">
        <v>22</v>
      </c>
      <c r="G3519">
        <v>3</v>
      </c>
      <c r="H3519" s="1">
        <v>3.9236111111111112E-3</v>
      </c>
      <c r="I3519">
        <v>2016</v>
      </c>
      <c r="J3519" t="s">
        <v>20</v>
      </c>
      <c r="K3519" s="2" t="str">
        <f>HYPERLINK("https://www.nba.com/stats/events?CFID=&amp;CFPARAMS=&amp;GameEventID=318&amp;GameID=0021600353&amp;Season=2016-17&amp;flag=1&amp;title=Leonard%2015'%20Jump%20Shot%20(27%20PTS)", "Leonard 15' Jump Shot (27 PTS)")</f>
        <v>Leonard 15' Jump Shot (27 PTS)</v>
      </c>
      <c r="L3519" s="2" t="str">
        <f>HYPERLINK("https://www.nba.com/game/...-vs-...-0021600353/play-by-play?watchFullGame=true", "SAS vs BKN - Q3 05:39.00")</f>
        <v>SAS vs BKN - Q3 05:39.00</v>
      </c>
      <c r="M3519">
        <v>15</v>
      </c>
      <c r="N3519">
        <v>-151</v>
      </c>
      <c r="O3519">
        <v>31</v>
      </c>
      <c r="P3519">
        <v>-151</v>
      </c>
      <c r="Q3519">
        <v>31</v>
      </c>
      <c r="R3519" t="s">
        <v>21</v>
      </c>
      <c r="S3519" t="s">
        <v>21</v>
      </c>
    </row>
    <row r="3520" spans="1:19" hidden="1" x14ac:dyDescent="0.25">
      <c r="A3520">
        <v>21301221</v>
      </c>
      <c r="B3520" t="s">
        <v>18</v>
      </c>
      <c r="C3520" t="s">
        <v>19</v>
      </c>
      <c r="D3520">
        <v>61</v>
      </c>
      <c r="E3520">
        <v>66</v>
      </c>
      <c r="F3520">
        <v>5</v>
      </c>
      <c r="G3520">
        <v>3</v>
      </c>
      <c r="H3520" s="1">
        <v>3.9236111111111112E-3</v>
      </c>
      <c r="I3520">
        <v>2013</v>
      </c>
      <c r="J3520" t="s">
        <v>20</v>
      </c>
      <c r="K3520" s="2" t="str">
        <f>HYPERLINK("https://www.nba.com/stats/events?CFID=&amp;CFPARAMS=&amp;GameEventID=299&amp;GameID=0021301221&amp;Season=2013-14&amp;flag=1&amp;title=Leonard%2015'%20Jump%20Shot%20(14%20PTS)", "Leonard 15' Jump Shot (14 PTS)")</f>
        <v>Leonard 15' Jump Shot (14 PTS)</v>
      </c>
      <c r="L3520" s="2" t="str">
        <f>HYPERLINK("https://www.nba.com/game/...-vs-...-0021301221/play-by-play?watchFullGame=true", "SAS vs LAL - Q3 05:39.00")</f>
        <v>SAS vs LAL - Q3 05:39.00</v>
      </c>
      <c r="M3520">
        <v>15</v>
      </c>
      <c r="N3520">
        <v>-125</v>
      </c>
      <c r="O3520">
        <v>77</v>
      </c>
      <c r="P3520">
        <v>-125</v>
      </c>
      <c r="Q3520">
        <v>77</v>
      </c>
      <c r="R3520" t="s">
        <v>21</v>
      </c>
      <c r="S3520" t="s">
        <v>21</v>
      </c>
    </row>
    <row r="3521" spans="1:19" hidden="1" x14ac:dyDescent="0.25">
      <c r="A3521">
        <v>21500689</v>
      </c>
      <c r="B3521" t="s">
        <v>18</v>
      </c>
      <c r="C3521" t="s">
        <v>19</v>
      </c>
      <c r="D3521">
        <v>86</v>
      </c>
      <c r="E3521">
        <v>63</v>
      </c>
      <c r="F3521">
        <v>23</v>
      </c>
      <c r="G3521">
        <v>3</v>
      </c>
      <c r="H3521" s="1">
        <v>3.9583333333333337E-3</v>
      </c>
      <c r="I3521">
        <v>2015</v>
      </c>
      <c r="J3521" t="s">
        <v>20</v>
      </c>
      <c r="K3521" s="2" t="str">
        <f>HYPERLINK("https://www.nba.com/stats/events?CFID=&amp;CFPARAMS=&amp;GameEventID=385&amp;GameID=0021500689&amp;Season=2015-16&amp;flag=1&amp;title=Leonard%2015'%20Jump%20Shot%20(18%20PTS)%20(Aldridge%204%20AST)", "Leonard 15' Jump Shot (18 PTS) (Aldridge 4 AST)")</f>
        <v>Leonard 15' Jump Shot (18 PTS) (Aldridge 4 AST)</v>
      </c>
      <c r="L3521" s="2" t="str">
        <f>HYPERLINK("https://www.nba.com/game/...-vs-...-0021500689/play-by-play?watchFullGame=true", "SAS vs HOU - Q3 05:42.00")</f>
        <v>SAS vs HOU - Q3 05:42.00</v>
      </c>
      <c r="M3521">
        <v>15</v>
      </c>
      <c r="N3521">
        <v>-150</v>
      </c>
      <c r="O3521">
        <v>-6</v>
      </c>
      <c r="P3521">
        <v>-150</v>
      </c>
      <c r="Q3521">
        <v>-6</v>
      </c>
      <c r="R3521" t="s">
        <v>21</v>
      </c>
      <c r="S3521" t="s">
        <v>21</v>
      </c>
    </row>
    <row r="3522" spans="1:19" hidden="1" x14ac:dyDescent="0.25">
      <c r="A3522">
        <v>21600925</v>
      </c>
      <c r="B3522" t="s">
        <v>18</v>
      </c>
      <c r="C3522" t="s">
        <v>34</v>
      </c>
      <c r="D3522">
        <v>30</v>
      </c>
      <c r="E3522">
        <v>43</v>
      </c>
      <c r="F3522">
        <v>13</v>
      </c>
      <c r="G3522">
        <v>2</v>
      </c>
      <c r="H3522" s="1">
        <v>4.0740740740740737E-3</v>
      </c>
      <c r="I3522">
        <v>2016</v>
      </c>
      <c r="J3522" t="s">
        <v>20</v>
      </c>
      <c r="K3522" s="2" t="str">
        <f>HYPERLINK("https://www.nba.com/stats/events?CFID=&amp;CFPARAMS=&amp;GameEventID=205&amp;GameID=0021600925&amp;Season=2016-17&amp;flag=1&amp;title=Leonard%2015'%20Turnaround%20Jump%20Shot%20(8%20PTS)", "Leonard 15' Turnaround Jump Shot (8 PTS)")</f>
        <v>Leonard 15' Turnaround Jump Shot (8 PTS)</v>
      </c>
      <c r="L3522" s="2" t="str">
        <f>HYPERLINK("https://www.nba.com/game/...-vs-...-0021600925/play-by-play?watchFullGame=true", "SAS vs MIN - Q2 05:52.00")</f>
        <v>SAS vs MIN - Q2 05:52.00</v>
      </c>
      <c r="M3522">
        <v>15</v>
      </c>
      <c r="N3522">
        <v>81</v>
      </c>
      <c r="O3522">
        <v>129</v>
      </c>
      <c r="P3522">
        <v>81</v>
      </c>
      <c r="Q3522">
        <v>129</v>
      </c>
      <c r="R3522" t="s">
        <v>21</v>
      </c>
      <c r="S3522" t="s">
        <v>21</v>
      </c>
    </row>
    <row r="3523" spans="1:19" hidden="1" x14ac:dyDescent="0.25">
      <c r="A3523">
        <v>21800041</v>
      </c>
      <c r="B3523" t="s">
        <v>18</v>
      </c>
      <c r="C3523" t="s">
        <v>39</v>
      </c>
      <c r="D3523">
        <v>77</v>
      </c>
      <c r="E3523">
        <v>64</v>
      </c>
      <c r="F3523">
        <v>13</v>
      </c>
      <c r="G3523">
        <v>3</v>
      </c>
      <c r="H3523" s="1">
        <v>4.2245370370370371E-3</v>
      </c>
      <c r="I3523">
        <v>2018</v>
      </c>
      <c r="J3523" t="s">
        <v>48</v>
      </c>
      <c r="K3523" s="2" t="str">
        <f>HYPERLINK("https://www.nba.com/stats/events?CFID=&amp;CFPARAMS=&amp;GameEventID=384&amp;GameID=0021800041&amp;Season=2018-19&amp;flag=1&amp;title=Leonard%2015'%20Step%20Back%20Jump%20Shot%20(17%20PTS)", "Leonard 15' Step Back Jump Shot (17 PTS)")</f>
        <v>Leonard 15' Step Back Jump Shot (17 PTS)</v>
      </c>
      <c r="L3523" s="2" t="str">
        <f>HYPERLINK("https://www.nba.com/game/...-vs-...-0021800041/play-by-play?watchFullGame=true", "TOR vs CHA - Q3 06:05.00")</f>
        <v>TOR vs CHA - Q3 06:05.00</v>
      </c>
      <c r="M3523">
        <v>15</v>
      </c>
      <c r="N3523">
        <v>-141</v>
      </c>
      <c r="O3523">
        <v>63</v>
      </c>
      <c r="P3523">
        <v>-141</v>
      </c>
      <c r="Q3523">
        <v>63</v>
      </c>
      <c r="R3523" t="s">
        <v>21</v>
      </c>
      <c r="S3523" t="s">
        <v>21</v>
      </c>
    </row>
    <row r="3524" spans="1:19" hidden="1" x14ac:dyDescent="0.25">
      <c r="A3524">
        <v>21500323</v>
      </c>
      <c r="B3524" t="s">
        <v>18</v>
      </c>
      <c r="C3524" t="s">
        <v>36</v>
      </c>
      <c r="D3524">
        <v>78</v>
      </c>
      <c r="E3524">
        <v>85</v>
      </c>
      <c r="F3524">
        <v>7</v>
      </c>
      <c r="G3524">
        <v>4</v>
      </c>
      <c r="H3524" s="1">
        <v>4.2592592592592595E-3</v>
      </c>
      <c r="I3524">
        <v>2015</v>
      </c>
      <c r="J3524" t="s">
        <v>20</v>
      </c>
      <c r="K3524" s="2" t="str">
        <f>HYPERLINK("https://www.nba.com/stats/events?CFID=&amp;CFPARAMS=&amp;GameEventID=442&amp;GameID=0021500323&amp;Season=2015-16&amp;flag=1&amp;title=Leonard%2015'%20Pullup%20Jump%20Shot%20(4%20PTS)", "Leonard 15' Pullup Jump Shot (4 PTS)")</f>
        <v>Leonard 15' Pullup Jump Shot (4 PTS)</v>
      </c>
      <c r="L3524" s="2" t="str">
        <f>HYPERLINK("https://www.nba.com/game/...-vs-...-0021500323/play-by-play?watchFullGame=true", "SAS vs TOR - Q4 06:08.00")</f>
        <v>SAS vs TOR - Q4 06:08.00</v>
      </c>
      <c r="M3524">
        <v>15</v>
      </c>
      <c r="N3524">
        <v>2</v>
      </c>
      <c r="O3524">
        <v>154</v>
      </c>
      <c r="P3524">
        <v>2</v>
      </c>
      <c r="Q3524">
        <v>154</v>
      </c>
      <c r="R3524" t="s">
        <v>21</v>
      </c>
      <c r="S3524" t="s">
        <v>21</v>
      </c>
    </row>
    <row r="3525" spans="1:19" hidden="1" x14ac:dyDescent="0.25">
      <c r="A3525">
        <v>41800304</v>
      </c>
      <c r="B3525" t="s">
        <v>18</v>
      </c>
      <c r="C3525" t="s">
        <v>19</v>
      </c>
      <c r="D3525">
        <v>19</v>
      </c>
      <c r="E3525">
        <v>21</v>
      </c>
      <c r="F3525">
        <v>2</v>
      </c>
      <c r="G3525">
        <v>1</v>
      </c>
      <c r="H3525" s="1">
        <v>4.2824074074074075E-3</v>
      </c>
      <c r="I3525" t="s">
        <v>60</v>
      </c>
      <c r="J3525" t="s">
        <v>48</v>
      </c>
      <c r="K3525" s="2" t="str">
        <f>HYPERLINK("https://www.nba.com/stats/events?CFID=&amp;CFPARAMS=&amp;GameEventID=62&amp;GameID=0041800304&amp;Season=2018-19&amp;flag=1&amp;title=Leonard%2015'%20Jump%20Shot%20(2%20PTS)", "Leonard 15' Jump Shot (2 PTS)")</f>
        <v>Leonard 15' Jump Shot (2 PTS)</v>
      </c>
      <c r="L3525" s="2" t="str">
        <f>HYPERLINK("https://www.nba.com/game/...-vs-...-0041800304/play-by-play?watchFullGame=true", "TOR vs MIL - Q1 06:10.00")</f>
        <v>TOR vs MIL - Q1 06:10.00</v>
      </c>
      <c r="M3525">
        <v>15</v>
      </c>
      <c r="N3525">
        <v>-144</v>
      </c>
      <c r="O3525">
        <v>35</v>
      </c>
      <c r="P3525">
        <v>-144</v>
      </c>
      <c r="Q3525">
        <v>35</v>
      </c>
      <c r="R3525" t="s">
        <v>21</v>
      </c>
      <c r="S3525" t="s">
        <v>21</v>
      </c>
    </row>
    <row r="3526" spans="1:19" hidden="1" x14ac:dyDescent="0.25">
      <c r="A3526">
        <v>21400102</v>
      </c>
      <c r="B3526" t="s">
        <v>18</v>
      </c>
      <c r="C3526" t="s">
        <v>36</v>
      </c>
      <c r="D3526">
        <v>8</v>
      </c>
      <c r="E3526">
        <v>10</v>
      </c>
      <c r="F3526">
        <v>2</v>
      </c>
      <c r="G3526">
        <v>1</v>
      </c>
      <c r="H3526" s="1">
        <v>4.2824074074074075E-3</v>
      </c>
      <c r="I3526">
        <v>2014</v>
      </c>
      <c r="J3526" t="s">
        <v>20</v>
      </c>
      <c r="K3526" s="2" t="str">
        <f>HYPERLINK("https://www.nba.com/stats/events?CFID=&amp;CFPARAMS=&amp;GameEventID=46&amp;GameID=0021400102&amp;Season=2014-15&amp;flag=1&amp;title=Leonard%2015'%20Pullup%20Jump%20Shot%20(6%20PTS)", "Leonard 15' Pullup Jump Shot (6 PTS)")</f>
        <v>Leonard 15' Pullup Jump Shot (6 PTS)</v>
      </c>
      <c r="L3526" s="2" t="str">
        <f>HYPERLINK("https://www.nba.com/game/...-vs-...-0021400102/play-by-play?watchFullGame=true", "SAS vs LAC - Q1 06:10.00")</f>
        <v>SAS vs LAC - Q1 06:10.00</v>
      </c>
      <c r="M3526">
        <v>15</v>
      </c>
      <c r="N3526">
        <v>81</v>
      </c>
      <c r="O3526">
        <v>121</v>
      </c>
      <c r="P3526">
        <v>81</v>
      </c>
      <c r="Q3526">
        <v>121</v>
      </c>
      <c r="R3526" t="s">
        <v>21</v>
      </c>
      <c r="S3526" t="s">
        <v>21</v>
      </c>
    </row>
    <row r="3527" spans="1:19" hidden="1" x14ac:dyDescent="0.25">
      <c r="A3527">
        <v>21800563</v>
      </c>
      <c r="B3527" t="s">
        <v>18</v>
      </c>
      <c r="C3527" t="s">
        <v>36</v>
      </c>
      <c r="D3527">
        <v>31</v>
      </c>
      <c r="E3527">
        <v>52</v>
      </c>
      <c r="F3527">
        <v>21</v>
      </c>
      <c r="G3527">
        <v>2</v>
      </c>
      <c r="H3527" s="1">
        <v>4.3055555555555555E-3</v>
      </c>
      <c r="I3527">
        <v>2018</v>
      </c>
      <c r="J3527" t="s">
        <v>48</v>
      </c>
      <c r="K3527" s="2" t="str">
        <f>HYPERLINK("https://www.nba.com/stats/events?CFID=&amp;CFPARAMS=&amp;GameEventID=236&amp;GameID=0021800563&amp;Season=2018-19&amp;flag=1&amp;title=Leonard%2015'%20Pullup%20Jump%20Shot%20(8%20PTS)%20(Siakam%203%20AST)", "Leonard 15' Pullup Jump Shot (8 PTS) (Siakam 3 AST)")</f>
        <v>Leonard 15' Pullup Jump Shot (8 PTS) (Siakam 3 AST)</v>
      </c>
      <c r="L3527" s="2" t="str">
        <f>HYPERLINK("https://www.nba.com/game/...-vs-...-0021800563/play-by-play?watchFullGame=true", "TOR vs SAS - Q2 06:12.00")</f>
        <v>TOR vs SAS - Q2 06:12.00</v>
      </c>
      <c r="M3527">
        <v>15</v>
      </c>
      <c r="N3527">
        <v>147</v>
      </c>
      <c r="O3527">
        <v>-2</v>
      </c>
      <c r="P3527">
        <v>147</v>
      </c>
      <c r="Q3527">
        <v>-2</v>
      </c>
      <c r="R3527" t="s">
        <v>21</v>
      </c>
      <c r="S3527" t="s">
        <v>21</v>
      </c>
    </row>
    <row r="3528" spans="1:19" hidden="1" x14ac:dyDescent="0.25">
      <c r="A3528">
        <v>21300952</v>
      </c>
      <c r="B3528" t="s">
        <v>18</v>
      </c>
      <c r="C3528" t="s">
        <v>19</v>
      </c>
      <c r="D3528">
        <v>17</v>
      </c>
      <c r="E3528">
        <v>6</v>
      </c>
      <c r="F3528">
        <v>11</v>
      </c>
      <c r="G3528">
        <v>1</v>
      </c>
      <c r="H3528" s="1">
        <v>4.5023148148148149E-3</v>
      </c>
      <c r="I3528">
        <v>2013</v>
      </c>
      <c r="J3528" t="s">
        <v>20</v>
      </c>
      <c r="K3528" s="2" t="str">
        <f>HYPERLINK("https://www.nba.com/stats/events?CFID=&amp;CFPARAMS=&amp;GameEventID=36&amp;GameID=0021300952&amp;Season=2013-14&amp;flag=1&amp;title=Leonard%2015'%20Jump%20Shot%20(7%20PTS)", "Leonard 15' Jump Shot (7 PTS)")</f>
        <v>Leonard 15' Jump Shot (7 PTS)</v>
      </c>
      <c r="L3528" s="2" t="str">
        <f>HYPERLINK("https://www.nba.com/game/...-vs-...-0021300952/play-by-play?watchFullGame=true", "SAS vs CHI - Q1 06:29.00")</f>
        <v>SAS vs CHI - Q1 06:29.00</v>
      </c>
      <c r="M3528">
        <v>15</v>
      </c>
      <c r="N3528">
        <v>-150</v>
      </c>
      <c r="O3528">
        <v>12</v>
      </c>
      <c r="P3528">
        <v>-150</v>
      </c>
      <c r="Q3528">
        <v>12</v>
      </c>
      <c r="R3528" t="s">
        <v>21</v>
      </c>
      <c r="S3528" t="s">
        <v>21</v>
      </c>
    </row>
    <row r="3529" spans="1:19" hidden="1" x14ac:dyDescent="0.25">
      <c r="A3529">
        <v>21401223</v>
      </c>
      <c r="B3529" t="s">
        <v>18</v>
      </c>
      <c r="C3529" t="s">
        <v>19</v>
      </c>
      <c r="D3529">
        <v>29</v>
      </c>
      <c r="E3529">
        <v>47</v>
      </c>
      <c r="F3529">
        <v>18</v>
      </c>
      <c r="G3529">
        <v>2</v>
      </c>
      <c r="H3529" s="1">
        <v>4.5138888888888885E-3</v>
      </c>
      <c r="I3529">
        <v>2014</v>
      </c>
      <c r="J3529" t="s">
        <v>20</v>
      </c>
      <c r="K3529" s="2" t="str">
        <f>HYPERLINK("https://www.nba.com/stats/events?CFID=&amp;CFPARAMS=&amp;GameEventID=148&amp;GameID=0021401223&amp;Season=2014-15&amp;flag=1&amp;title=Leonard%2015'%20Jump%20Shot%20(6%20PTS)%20(Baynes%202%20AST)", "Leonard 15' Jump Shot (6 PTS) (Baynes 2 AST)")</f>
        <v>Leonard 15' Jump Shot (6 PTS) (Baynes 2 AST)</v>
      </c>
      <c r="L3529" s="2" t="str">
        <f>HYPERLINK("https://www.nba.com/game/...-vs-...-0021401223/play-by-play?watchFullGame=true", "SAS vs NOP - Q2 06:30.00")</f>
        <v>SAS vs NOP - Q2 06:30.00</v>
      </c>
      <c r="M3529">
        <v>15</v>
      </c>
      <c r="N3529">
        <v>-67</v>
      </c>
      <c r="O3529">
        <v>135</v>
      </c>
      <c r="P3529">
        <v>-67</v>
      </c>
      <c r="Q3529">
        <v>135</v>
      </c>
      <c r="R3529" t="s">
        <v>21</v>
      </c>
      <c r="S3529" t="s">
        <v>21</v>
      </c>
    </row>
    <row r="3530" spans="1:19" hidden="1" x14ac:dyDescent="0.25">
      <c r="A3530">
        <v>21800930</v>
      </c>
      <c r="B3530" t="s">
        <v>18</v>
      </c>
      <c r="C3530" t="s">
        <v>37</v>
      </c>
      <c r="D3530">
        <v>78</v>
      </c>
      <c r="E3530">
        <v>71</v>
      </c>
      <c r="F3530">
        <v>7</v>
      </c>
      <c r="G3530">
        <v>3</v>
      </c>
      <c r="H3530" s="1">
        <v>4.5601851851851853E-3</v>
      </c>
      <c r="I3530">
        <v>2018</v>
      </c>
      <c r="J3530" t="s">
        <v>48</v>
      </c>
      <c r="K3530" s="2" t="str">
        <f>HYPERLINK("https://www.nba.com/stats/events?CFID=&amp;CFPARAMS=&amp;GameEventID=367&amp;GameID=0021800930&amp;Season=2018-19&amp;flag=1&amp;title=Leonard%2015'%20Fadeaway%20Jumper%20(23%20PTS)", "Leonard 15' Fadeaway Jumper (23 PTS)")</f>
        <v>Leonard 15' Fadeaway Jumper (23 PTS)</v>
      </c>
      <c r="L3530" s="2" t="str">
        <f>HYPERLINK("https://www.nba.com/game/...-vs-...-0021800930/play-by-play?watchFullGame=true", "TOR vs POR - Q3 06:34.00")</f>
        <v>TOR vs POR - Q3 06:34.00</v>
      </c>
      <c r="M3530">
        <v>15</v>
      </c>
      <c r="N3530">
        <v>93</v>
      </c>
      <c r="O3530">
        <v>123</v>
      </c>
      <c r="P3530">
        <v>93</v>
      </c>
      <c r="Q3530">
        <v>123</v>
      </c>
      <c r="R3530" t="s">
        <v>21</v>
      </c>
      <c r="S3530" t="s">
        <v>21</v>
      </c>
    </row>
    <row r="3531" spans="1:19" hidden="1" x14ac:dyDescent="0.25">
      <c r="A3531">
        <v>21301017</v>
      </c>
      <c r="B3531" t="s">
        <v>18</v>
      </c>
      <c r="C3531" t="s">
        <v>19</v>
      </c>
      <c r="D3531">
        <v>42</v>
      </c>
      <c r="E3531">
        <v>42</v>
      </c>
      <c r="F3531">
        <v>0</v>
      </c>
      <c r="G3531">
        <v>2</v>
      </c>
      <c r="H3531" s="1">
        <v>4.5833333333333334E-3</v>
      </c>
      <c r="I3531">
        <v>2013</v>
      </c>
      <c r="J3531" t="s">
        <v>20</v>
      </c>
      <c r="K3531" s="2" t="str">
        <f>HYPERLINK("https://www.nba.com/stats/events?CFID=&amp;CFPARAMS=&amp;GameEventID=164&amp;GameID=0021301017&amp;Season=2013-14&amp;flag=1&amp;title=Leonard%2015'%20Jump%20Shot%20(6%20PTS)%20(Splitter%202%20AST)", "Leonard 15' Jump Shot (6 PTS) (Splitter 2 AST)")</f>
        <v>Leonard 15' Jump Shot (6 PTS) (Splitter 2 AST)</v>
      </c>
      <c r="L3531" s="2" t="str">
        <f>HYPERLINK("https://www.nba.com/game/...-vs-...-0021301017/play-by-play?watchFullGame=true", "SAS vs LAL - Q2 06:36.00")</f>
        <v>SAS vs LAL - Q2 06:36.00</v>
      </c>
      <c r="M3531">
        <v>15</v>
      </c>
      <c r="N3531">
        <v>9</v>
      </c>
      <c r="O3531">
        <v>153</v>
      </c>
      <c r="P3531">
        <v>9</v>
      </c>
      <c r="Q3531">
        <v>153</v>
      </c>
      <c r="R3531" t="s">
        <v>21</v>
      </c>
      <c r="S3531" t="s">
        <v>21</v>
      </c>
    </row>
    <row r="3532" spans="1:19" hidden="1" x14ac:dyDescent="0.25">
      <c r="A3532">
        <v>21301154</v>
      </c>
      <c r="B3532" t="s">
        <v>18</v>
      </c>
      <c r="C3532" t="s">
        <v>36</v>
      </c>
      <c r="D3532">
        <v>12</v>
      </c>
      <c r="E3532">
        <v>4</v>
      </c>
      <c r="F3532">
        <v>8</v>
      </c>
      <c r="G3532">
        <v>1</v>
      </c>
      <c r="H3532" s="1">
        <v>4.6527777777777774E-3</v>
      </c>
      <c r="I3532">
        <v>2013</v>
      </c>
      <c r="J3532" t="s">
        <v>20</v>
      </c>
      <c r="K3532" s="2" t="str">
        <f>HYPERLINK("https://www.nba.com/stats/events?CFID=&amp;CFPARAMS=&amp;GameEventID=35&amp;GameID=0021301154&amp;Season=2013-14&amp;flag=1&amp;title=Leonard%2015'%20Pullup%20Jump%20Shot%20(4%20PTS)", "Leonard 15' Pullup Jump Shot (4 PTS)")</f>
        <v>Leonard 15' Pullup Jump Shot (4 PTS)</v>
      </c>
      <c r="L3532" s="2" t="str">
        <f>HYPERLINK("https://www.nba.com/game/...-vs-...-0021301154/play-by-play?watchFullGame=true", "SAS vs MEM - Q1 06:42.00")</f>
        <v>SAS vs MEM - Q1 06:42.00</v>
      </c>
      <c r="M3532">
        <v>15</v>
      </c>
      <c r="N3532">
        <v>29</v>
      </c>
      <c r="O3532">
        <v>145</v>
      </c>
      <c r="P3532">
        <v>29</v>
      </c>
      <c r="Q3532">
        <v>145</v>
      </c>
      <c r="R3532" t="s">
        <v>21</v>
      </c>
      <c r="S3532" t="s">
        <v>21</v>
      </c>
    </row>
    <row r="3533" spans="1:19" hidden="1" x14ac:dyDescent="0.25">
      <c r="A3533">
        <v>21600744</v>
      </c>
      <c r="B3533" t="s">
        <v>18</v>
      </c>
      <c r="C3533" t="s">
        <v>36</v>
      </c>
      <c r="D3533">
        <v>36</v>
      </c>
      <c r="E3533">
        <v>30</v>
      </c>
      <c r="F3533">
        <v>6</v>
      </c>
      <c r="G3533">
        <v>2</v>
      </c>
      <c r="H3533" s="1">
        <v>4.6874999999999998E-3</v>
      </c>
      <c r="I3533">
        <v>2016</v>
      </c>
      <c r="J3533" t="s">
        <v>20</v>
      </c>
      <c r="K3533" s="2" t="str">
        <f>HYPERLINK("https://www.nba.com/stats/events?CFID=&amp;CFPARAMS=&amp;GameEventID=211&amp;GameID=0021600744&amp;Season=2016-17&amp;flag=1&amp;title=Leonard%2015'%20Pullup%20Jump%20Shot%20(8%20PTS)", "Leonard 15' Pullup Jump Shot (8 PTS)")</f>
        <v>Leonard 15' Pullup Jump Shot (8 PTS)</v>
      </c>
      <c r="L3533" s="2" t="str">
        <f>HYPERLINK("https://www.nba.com/game/...-vs-...-0021600744/play-by-play?watchFullGame=true", "SAS vs PHI - Q2 06:45.00")</f>
        <v>SAS vs PHI - Q2 06:45.00</v>
      </c>
      <c r="M3533">
        <v>15</v>
      </c>
      <c r="N3533">
        <v>91</v>
      </c>
      <c r="O3533">
        <v>121</v>
      </c>
      <c r="P3533">
        <v>91</v>
      </c>
      <c r="Q3533">
        <v>121</v>
      </c>
      <c r="R3533" t="s">
        <v>21</v>
      </c>
      <c r="S3533" t="s">
        <v>21</v>
      </c>
    </row>
    <row r="3534" spans="1:19" hidden="1" x14ac:dyDescent="0.25">
      <c r="A3534">
        <v>21600206</v>
      </c>
      <c r="B3534" t="s">
        <v>18</v>
      </c>
      <c r="C3534" t="s">
        <v>19</v>
      </c>
      <c r="D3534">
        <v>54</v>
      </c>
      <c r="E3534">
        <v>60</v>
      </c>
      <c r="F3534">
        <v>6</v>
      </c>
      <c r="G3534">
        <v>3</v>
      </c>
      <c r="H3534" s="1">
        <v>4.8495370370370368E-3</v>
      </c>
      <c r="I3534">
        <v>2016</v>
      </c>
      <c r="J3534" t="s">
        <v>20</v>
      </c>
      <c r="K3534" s="2" t="str">
        <f>HYPERLINK("https://www.nba.com/stats/events?CFID=&amp;CFPARAMS=&amp;GameEventID=268&amp;GameID=0021600206&amp;Season=2016-17&amp;flag=1&amp;title=Leonard%2015'%20Jump%20Shot%20(17%20PTS)", "Leonard 15' Jump Shot (17 PTS)")</f>
        <v>Leonard 15' Jump Shot (17 PTS)</v>
      </c>
      <c r="L3534" s="2" t="str">
        <f>HYPERLINK("https://www.nba.com/game/...-vs-...-0021600206/play-by-play?watchFullGame=true", "SAS vs DAL - Q3 06:59.00")</f>
        <v>SAS vs DAL - Q3 06:59.00</v>
      </c>
      <c r="M3534">
        <v>15</v>
      </c>
      <c r="N3534">
        <v>143</v>
      </c>
      <c r="O3534">
        <v>47</v>
      </c>
      <c r="P3534">
        <v>143</v>
      </c>
      <c r="Q3534">
        <v>47</v>
      </c>
      <c r="R3534" t="s">
        <v>21</v>
      </c>
      <c r="S3534" t="s">
        <v>21</v>
      </c>
    </row>
    <row r="3535" spans="1:19" hidden="1" x14ac:dyDescent="0.25">
      <c r="A3535">
        <v>21500172</v>
      </c>
      <c r="B3535" t="s">
        <v>18</v>
      </c>
      <c r="C3535" t="s">
        <v>36</v>
      </c>
      <c r="D3535">
        <v>77</v>
      </c>
      <c r="E3535">
        <v>66</v>
      </c>
      <c r="F3535">
        <v>11</v>
      </c>
      <c r="G3535">
        <v>3</v>
      </c>
      <c r="H3535" s="1">
        <v>4.9305555555555552E-3</v>
      </c>
      <c r="I3535">
        <v>2015</v>
      </c>
      <c r="J3535" t="s">
        <v>20</v>
      </c>
      <c r="K3535" s="2" t="str">
        <f>HYPERLINK("https://www.nba.com/stats/events?CFID=&amp;CFPARAMS=&amp;GameEventID=301&amp;GameID=0021500172&amp;Season=2015-16&amp;flag=1&amp;title=Leonard%2015'%20Pullup%20Jump%20Shot%20(13%20PTS)%20(Duncan%204%20AST)", "Leonard 15' Pullup Jump Shot (13 PTS) (Duncan 4 AST)")</f>
        <v>Leonard 15' Pullup Jump Shot (13 PTS) (Duncan 4 AST)</v>
      </c>
      <c r="L3535" s="2" t="str">
        <f>HYPERLINK("https://www.nba.com/game/...-vs-...-0021500172/play-by-play?watchFullGame=true", "SAS vs DEN - Q3 07:06.00")</f>
        <v>SAS vs DEN - Q3 07:06.00</v>
      </c>
      <c r="M3535">
        <v>15</v>
      </c>
      <c r="N3535">
        <v>-7</v>
      </c>
      <c r="O3535">
        <v>149</v>
      </c>
      <c r="P3535">
        <v>-7</v>
      </c>
      <c r="Q3535">
        <v>149</v>
      </c>
      <c r="R3535" t="s">
        <v>21</v>
      </c>
      <c r="S3535" t="s">
        <v>21</v>
      </c>
    </row>
    <row r="3536" spans="1:19" hidden="1" x14ac:dyDescent="0.25">
      <c r="A3536">
        <v>21500040</v>
      </c>
      <c r="B3536" t="s">
        <v>18</v>
      </c>
      <c r="C3536" t="s">
        <v>19</v>
      </c>
      <c r="D3536">
        <v>31</v>
      </c>
      <c r="E3536">
        <v>22</v>
      </c>
      <c r="F3536">
        <v>9</v>
      </c>
      <c r="G3536">
        <v>2</v>
      </c>
      <c r="H3536" s="1">
        <v>4.9421296296296297E-3</v>
      </c>
      <c r="I3536">
        <v>2015</v>
      </c>
      <c r="J3536" t="s">
        <v>20</v>
      </c>
      <c r="K3536" s="2" t="str">
        <f>HYPERLINK("https://www.nba.com/stats/events?CFID=&amp;CFPARAMS=&amp;GameEventID=174&amp;GameID=0021500040&amp;Season=2015-16&amp;flag=1&amp;title=Leonard%2015'%20Jump%20Shot%20(10%20PTS)%20(Aldridge%203%20AST)", "Leonard 15' Jump Shot (10 PTS) (Aldridge 3 AST)")</f>
        <v>Leonard 15' Jump Shot (10 PTS) (Aldridge 3 AST)</v>
      </c>
      <c r="L3536" s="2" t="str">
        <f>HYPERLINK("https://www.nba.com/game/...-vs-...-0021500040/play-by-play?watchFullGame=true", "SAS vs BOS - Q2 07:07.00")</f>
        <v>SAS vs BOS - Q2 07:07.00</v>
      </c>
      <c r="M3536">
        <v>15</v>
      </c>
      <c r="N3536">
        <v>-148</v>
      </c>
      <c r="O3536">
        <v>3</v>
      </c>
      <c r="P3536">
        <v>-148</v>
      </c>
      <c r="Q3536">
        <v>3</v>
      </c>
      <c r="R3536" t="s">
        <v>21</v>
      </c>
      <c r="S3536" t="s">
        <v>21</v>
      </c>
    </row>
    <row r="3537" spans="1:21" hidden="1" x14ac:dyDescent="0.25">
      <c r="A3537" s="3">
        <v>21601209</v>
      </c>
      <c r="B3537" s="3" t="s">
        <v>18</v>
      </c>
      <c r="C3537" s="3" t="s">
        <v>37</v>
      </c>
      <c r="D3537" s="3">
        <v>59</v>
      </c>
      <c r="E3537" s="3">
        <v>60</v>
      </c>
      <c r="F3537" s="3">
        <v>1</v>
      </c>
      <c r="G3537" s="3">
        <v>3</v>
      </c>
      <c r="H3537" s="4">
        <v>4.9537037037037041E-3</v>
      </c>
      <c r="I3537" s="3">
        <v>2016</v>
      </c>
      <c r="J3537" s="3" t="s">
        <v>20</v>
      </c>
      <c r="K3537" s="5" t="str">
        <f>HYPERLINK("https://www.nba.com/stats/events?CFID=&amp;CFPARAMS=&amp;GameEventID=294&amp;GameID=0021601209&amp;Season=2016-17&amp;flag=1&amp;title=Leonard%2015'%20Fadeaway%20Jumper%20(14%20PTS)", "Leonard 15' Fadeaway Jumper (14 PTS)")</f>
        <v>Leonard 15' Fadeaway Jumper (14 PTS)</v>
      </c>
      <c r="L3537" s="5" t="str">
        <f>HYPERLINK("https://www.nba.com/game/...-vs-...-0021601209/play-by-play?watchFullGame=true", "SAS vs POR - Q3 07:08.00")</f>
        <v>SAS vs POR - Q3 07:08.00</v>
      </c>
      <c r="M3537" s="3">
        <v>15</v>
      </c>
      <c r="N3537" s="3">
        <v>-147</v>
      </c>
      <c r="O3537" s="3">
        <v>18</v>
      </c>
      <c r="P3537" s="3">
        <v>-147</v>
      </c>
      <c r="Q3537" s="3">
        <v>18</v>
      </c>
      <c r="R3537" s="3" t="s">
        <v>21</v>
      </c>
      <c r="S3537" s="3" t="s">
        <v>21</v>
      </c>
      <c r="T3537" s="3"/>
      <c r="U3537" s="3"/>
    </row>
    <row r="3538" spans="1:21" hidden="1" x14ac:dyDescent="0.25">
      <c r="A3538">
        <v>21500960</v>
      </c>
      <c r="B3538" t="s">
        <v>18</v>
      </c>
      <c r="C3538" t="s">
        <v>36</v>
      </c>
      <c r="D3538">
        <v>15</v>
      </c>
      <c r="E3538">
        <v>11</v>
      </c>
      <c r="F3538">
        <v>4</v>
      </c>
      <c r="G3538">
        <v>1</v>
      </c>
      <c r="H3538" s="1">
        <v>5.0115740740740737E-3</v>
      </c>
      <c r="I3538">
        <v>2015</v>
      </c>
      <c r="J3538" t="s">
        <v>20</v>
      </c>
      <c r="K3538" s="2" t="str">
        <f>HYPERLINK("https://www.nba.com/stats/events?CFID=&amp;CFPARAMS=&amp;GameEventID=43&amp;GameID=0021500960&amp;Season=2015-16&amp;flag=1&amp;title=Leonard%2015'%20Pullup%20Jump%20Shot%20(9%20PTS)%20(Aldridge%201%20AST)", "Leonard 15' Pullup Jump Shot (9 PTS) (Aldridge 1 AST)")</f>
        <v>Leonard 15' Pullup Jump Shot (9 PTS) (Aldridge 1 AST)</v>
      </c>
      <c r="L3538" s="2" t="str">
        <f>HYPERLINK("https://www.nba.com/game/...-vs-...-0021500960/play-by-play?watchFullGame=true", "SAS vs CHI - Q1 07:13.00")</f>
        <v>SAS vs CHI - Q1 07:13.00</v>
      </c>
      <c r="M3538">
        <v>15</v>
      </c>
      <c r="N3538">
        <v>-74</v>
      </c>
      <c r="O3538">
        <v>136</v>
      </c>
      <c r="P3538">
        <v>-74</v>
      </c>
      <c r="Q3538">
        <v>136</v>
      </c>
      <c r="R3538" t="s">
        <v>21</v>
      </c>
      <c r="S3538" t="s">
        <v>21</v>
      </c>
    </row>
    <row r="3539" spans="1:21" hidden="1" x14ac:dyDescent="0.25">
      <c r="A3539">
        <v>21600625</v>
      </c>
      <c r="B3539" t="s">
        <v>18</v>
      </c>
      <c r="C3539" t="s">
        <v>36</v>
      </c>
      <c r="D3539">
        <v>105</v>
      </c>
      <c r="E3539">
        <v>93</v>
      </c>
      <c r="F3539">
        <v>12</v>
      </c>
      <c r="G3539">
        <v>4</v>
      </c>
      <c r="H3539" s="1">
        <v>5.0347222222222225E-3</v>
      </c>
      <c r="I3539">
        <v>2016</v>
      </c>
      <c r="J3539" t="s">
        <v>20</v>
      </c>
      <c r="K3539" s="2" t="str">
        <f>HYPERLINK("https://www.nba.com/stats/events?CFID=&amp;CFPARAMS=&amp;GameEventID=490&amp;GameID=0021600625&amp;Season=2016-17&amp;flag=1&amp;title=Leonard%2015'%20Pullup%20Jump%20Shot%20(29%20PTS)%20(Lee%203%20AST)", "Leonard 15' Pullup Jump Shot (29 PTS) (Lee 3 AST)")</f>
        <v>Leonard 15' Pullup Jump Shot (29 PTS) (Lee 3 AST)</v>
      </c>
      <c r="L3539" s="2" t="str">
        <f>HYPERLINK("https://www.nba.com/game/...-vs-...-0021600625/play-by-play?watchFullGame=true", "SAS vs MIN - Q4 07:15.00")</f>
        <v>SAS vs MIN - Q4 07:15.00</v>
      </c>
      <c r="M3539">
        <v>15</v>
      </c>
      <c r="N3539">
        <v>69</v>
      </c>
      <c r="O3539">
        <v>129</v>
      </c>
      <c r="P3539">
        <v>69</v>
      </c>
      <c r="Q3539">
        <v>129</v>
      </c>
      <c r="R3539" t="s">
        <v>21</v>
      </c>
      <c r="S3539" t="s">
        <v>21</v>
      </c>
    </row>
    <row r="3540" spans="1:21" hidden="1" x14ac:dyDescent="0.25">
      <c r="A3540">
        <v>21600319</v>
      </c>
      <c r="B3540" t="s">
        <v>18</v>
      </c>
      <c r="C3540" t="s">
        <v>37</v>
      </c>
      <c r="D3540">
        <v>32</v>
      </c>
      <c r="E3540">
        <v>36</v>
      </c>
      <c r="F3540">
        <v>4</v>
      </c>
      <c r="G3540">
        <v>2</v>
      </c>
      <c r="H3540" s="1">
        <v>5.0347222222222225E-3</v>
      </c>
      <c r="I3540">
        <v>2016</v>
      </c>
      <c r="J3540" t="s">
        <v>20</v>
      </c>
      <c r="K3540" s="2" t="str">
        <f>HYPERLINK("https://www.nba.com/stats/events?CFID=&amp;CFPARAMS=&amp;GameEventID=151&amp;GameID=0021600319&amp;Season=2016-17&amp;flag=1&amp;title=Leonard%2015'%20Fadeaway%20Jumper%20(6%20PTS)%20(Laprovittola%201%20AST)", "Leonard 15' Fadeaway Jumper (6 PTS) (Laprovittola 1 AST)")</f>
        <v>Leonard 15' Fadeaway Jumper (6 PTS) (Laprovittola 1 AST)</v>
      </c>
      <c r="L3540" s="2" t="str">
        <f>HYPERLINK("https://www.nba.com/game/...-vs-...-0021600319/play-by-play?watchFullGame=true", "SAS vs MIN - Q2 07:15.00")</f>
        <v>SAS vs MIN - Q2 07:15.00</v>
      </c>
      <c r="M3540">
        <v>15</v>
      </c>
      <c r="N3540">
        <v>119</v>
      </c>
      <c r="O3540">
        <v>95</v>
      </c>
      <c r="P3540">
        <v>119</v>
      </c>
      <c r="Q3540">
        <v>95</v>
      </c>
      <c r="R3540" t="s">
        <v>21</v>
      </c>
      <c r="S3540" t="s">
        <v>21</v>
      </c>
    </row>
    <row r="3541" spans="1:21" hidden="1" x14ac:dyDescent="0.25">
      <c r="A3541">
        <v>21500790</v>
      </c>
      <c r="B3541" t="s">
        <v>18</v>
      </c>
      <c r="C3541" t="s">
        <v>19</v>
      </c>
      <c r="D3541">
        <v>78</v>
      </c>
      <c r="E3541">
        <v>87</v>
      </c>
      <c r="F3541">
        <v>9</v>
      </c>
      <c r="G3541">
        <v>4</v>
      </c>
      <c r="H3541" s="1">
        <v>5.0578703703703706E-3</v>
      </c>
      <c r="I3541">
        <v>2015</v>
      </c>
      <c r="J3541" t="s">
        <v>20</v>
      </c>
      <c r="K3541" s="2" t="str">
        <f>HYPERLINK("https://www.nba.com/stats/events?CFID=&amp;CFPARAMS=&amp;GameEventID=422&amp;GameID=0021500790&amp;Season=2015-16&amp;flag=1&amp;title=Leonard%2015'%20Jump%20Shot%20(20%20PTS)", "Leonard 15' Jump Shot (20 PTS)")</f>
        <v>Leonard 15' Jump Shot (20 PTS)</v>
      </c>
      <c r="L3541" s="2" t="str">
        <f>HYPERLINK("https://www.nba.com/game/...-vs-...-0021500790/play-by-play?watchFullGame=true", "SAS vs ORL - Q4 07:17.00")</f>
        <v>SAS vs ORL - Q4 07:17.00</v>
      </c>
      <c r="M3541">
        <v>15</v>
      </c>
      <c r="N3541">
        <v>-153</v>
      </c>
      <c r="O3541">
        <v>21</v>
      </c>
      <c r="P3541">
        <v>-153</v>
      </c>
      <c r="Q3541">
        <v>21</v>
      </c>
      <c r="R3541" t="s">
        <v>21</v>
      </c>
      <c r="S3541" t="s">
        <v>21</v>
      </c>
    </row>
    <row r="3542" spans="1:21" hidden="1" x14ac:dyDescent="0.25">
      <c r="A3542">
        <v>21800580</v>
      </c>
      <c r="B3542" t="s">
        <v>18</v>
      </c>
      <c r="C3542" t="s">
        <v>19</v>
      </c>
      <c r="D3542">
        <v>100</v>
      </c>
      <c r="E3542">
        <v>96</v>
      </c>
      <c r="F3542">
        <v>4</v>
      </c>
      <c r="G3542">
        <v>4</v>
      </c>
      <c r="H3542" s="1">
        <v>5.1736111111111115E-3</v>
      </c>
      <c r="I3542">
        <v>2018</v>
      </c>
      <c r="J3542" t="s">
        <v>48</v>
      </c>
      <c r="K3542" s="2" t="str">
        <f>HYPERLINK("https://www.nba.com/stats/events?CFID=&amp;CFPARAMS=&amp;GameEventID=537&amp;GameID=0021800580&amp;Season=2018-19&amp;flag=1&amp;title=Leonard%2015'%20Jump%20Shot%20(25%20PTS)", "Leonard 15' Jump Shot (25 PTS)")</f>
        <v>Leonard 15' Jump Shot (25 PTS)</v>
      </c>
      <c r="L3542" s="2" t="str">
        <f>HYPERLINK("https://www.nba.com/game/...-vs-...-0021800580/play-by-play?watchFullGame=true", "TOR vs MIL - Q4 07:27.00")</f>
        <v>TOR vs MIL - Q4 07:27.00</v>
      </c>
      <c r="M3542">
        <v>15</v>
      </c>
      <c r="N3542">
        <v>147</v>
      </c>
      <c r="O3542">
        <v>-20</v>
      </c>
      <c r="P3542">
        <v>147</v>
      </c>
      <c r="Q3542">
        <v>-20</v>
      </c>
      <c r="R3542" t="s">
        <v>21</v>
      </c>
      <c r="S3542" t="s">
        <v>21</v>
      </c>
    </row>
    <row r="3543" spans="1:21" hidden="1" x14ac:dyDescent="0.25">
      <c r="A3543">
        <v>21500860</v>
      </c>
      <c r="B3543" t="s">
        <v>18</v>
      </c>
      <c r="C3543" t="s">
        <v>36</v>
      </c>
      <c r="D3543">
        <v>22</v>
      </c>
      <c r="E3543">
        <v>27</v>
      </c>
      <c r="F3543">
        <v>5</v>
      </c>
      <c r="G3543">
        <v>2</v>
      </c>
      <c r="H3543" s="1">
        <v>5.2662037037037035E-3</v>
      </c>
      <c r="I3543">
        <v>2015</v>
      </c>
      <c r="J3543" t="s">
        <v>20</v>
      </c>
      <c r="K3543" s="2" t="str">
        <f>HYPERLINK("https://www.nba.com/stats/events?CFID=&amp;CFPARAMS=&amp;GameEventID=149&amp;GameID=0021500860&amp;Season=2015-16&amp;flag=1&amp;title=Leonard%2015'%20Pullup%20Jump%20Shot%20(8%20PTS)", "Leonard 15' Pullup Jump Shot (8 PTS)")</f>
        <v>Leonard 15' Pullup Jump Shot (8 PTS)</v>
      </c>
      <c r="L3543" s="2" t="str">
        <f>HYPERLINK("https://www.nba.com/game/...-vs-...-0021500860/play-by-play?watchFullGame=true", "SAS vs UTA - Q2 07:35.00")</f>
        <v>SAS vs UTA - Q2 07:35.00</v>
      </c>
      <c r="M3543">
        <v>15</v>
      </c>
      <c r="N3543">
        <v>125</v>
      </c>
      <c r="O3543">
        <v>90</v>
      </c>
      <c r="P3543">
        <v>125</v>
      </c>
      <c r="Q3543">
        <v>90</v>
      </c>
      <c r="R3543" t="s">
        <v>21</v>
      </c>
      <c r="S3543" t="s">
        <v>21</v>
      </c>
    </row>
    <row r="3544" spans="1:21" hidden="1" x14ac:dyDescent="0.25">
      <c r="A3544">
        <v>21800359</v>
      </c>
      <c r="B3544" t="s">
        <v>18</v>
      </c>
      <c r="C3544" t="s">
        <v>36</v>
      </c>
      <c r="D3544">
        <v>8</v>
      </c>
      <c r="E3544">
        <v>10</v>
      </c>
      <c r="F3544">
        <v>2</v>
      </c>
      <c r="G3544">
        <v>1</v>
      </c>
      <c r="H3544" s="1">
        <v>5.324074074074074E-3</v>
      </c>
      <c r="I3544">
        <v>2018</v>
      </c>
      <c r="J3544" t="s">
        <v>48</v>
      </c>
      <c r="K3544" s="2" t="str">
        <f>HYPERLINK("https://www.nba.com/stats/events?CFID=&amp;CFPARAMS=&amp;GameEventID=49&amp;GameID=0021800359&amp;Season=2018-19&amp;flag=1&amp;title=Leonard%2015'%20Pullup%20Jump%20Shot%20(6%20PTS)", "Leonard 15' Pullup Jump Shot (6 PTS)")</f>
        <v>Leonard 15' Pullup Jump Shot (6 PTS)</v>
      </c>
      <c r="L3544" s="2" t="str">
        <f>HYPERLINK("https://www.nba.com/game/...-vs-...-0021800359/play-by-play?watchFullGame=true", "TOR vs PHI - Q1 07:40.00")</f>
        <v>TOR vs PHI - Q1 07:40.00</v>
      </c>
      <c r="M3544">
        <v>15</v>
      </c>
      <c r="N3544">
        <v>-11</v>
      </c>
      <c r="O3544">
        <v>154</v>
      </c>
      <c r="P3544">
        <v>-11</v>
      </c>
      <c r="Q3544">
        <v>154</v>
      </c>
      <c r="R3544" t="s">
        <v>21</v>
      </c>
      <c r="S3544" t="s">
        <v>21</v>
      </c>
    </row>
    <row r="3545" spans="1:21" hidden="1" x14ac:dyDescent="0.25">
      <c r="A3545">
        <v>21400595</v>
      </c>
      <c r="B3545" t="s">
        <v>18</v>
      </c>
      <c r="C3545" t="s">
        <v>36</v>
      </c>
      <c r="D3545">
        <v>12</v>
      </c>
      <c r="E3545">
        <v>8</v>
      </c>
      <c r="F3545">
        <v>4</v>
      </c>
      <c r="G3545">
        <v>1</v>
      </c>
      <c r="H3545" s="1">
        <v>5.3935185185185188E-3</v>
      </c>
      <c r="I3545">
        <v>2014</v>
      </c>
      <c r="J3545" t="s">
        <v>20</v>
      </c>
      <c r="K3545" s="2" t="str">
        <f>HYPERLINK("https://www.nba.com/stats/events?CFID=&amp;CFPARAMS=&amp;GameEventID=32&amp;GameID=0021400595&amp;Season=2014-15&amp;flag=1&amp;title=Leonard%2015'%20Pullup%20Jump%20Shot%20(6%20PTS)%20(Parker%201%20AST)", "Leonard 15' Pullup Jump Shot (6 PTS) (Parker 1 AST)")</f>
        <v>Leonard 15' Pullup Jump Shot (6 PTS) (Parker 1 AST)</v>
      </c>
      <c r="L3545" s="2" t="str">
        <f>HYPERLINK("https://www.nba.com/game/...-vs-...-0021400595/play-by-play?watchFullGame=true", "SAS vs POR - Q1 07:46.00")</f>
        <v>SAS vs POR - Q1 07:46.00</v>
      </c>
      <c r="M3545">
        <v>15</v>
      </c>
      <c r="N3545">
        <v>132</v>
      </c>
      <c r="O3545">
        <v>74</v>
      </c>
      <c r="P3545">
        <v>132</v>
      </c>
      <c r="Q3545">
        <v>74</v>
      </c>
      <c r="R3545" t="s">
        <v>21</v>
      </c>
      <c r="S3545" t="s">
        <v>21</v>
      </c>
    </row>
    <row r="3546" spans="1:21" hidden="1" x14ac:dyDescent="0.25">
      <c r="A3546">
        <v>41400164</v>
      </c>
      <c r="B3546" t="s">
        <v>18</v>
      </c>
      <c r="C3546" t="s">
        <v>39</v>
      </c>
      <c r="D3546">
        <v>8</v>
      </c>
      <c r="E3546">
        <v>6</v>
      </c>
      <c r="F3546">
        <v>2</v>
      </c>
      <c r="G3546">
        <v>1</v>
      </c>
      <c r="H3546" s="1">
        <v>5.4282407407407404E-3</v>
      </c>
      <c r="I3546" t="s">
        <v>56</v>
      </c>
      <c r="J3546" t="s">
        <v>20</v>
      </c>
      <c r="K3546" s="2" t="str">
        <f>HYPERLINK("https://www.nba.com/stats/events?CFID=&amp;CFPARAMS=&amp;GameEventID=37&amp;GameID=0041400164&amp;Season=2014-15&amp;flag=1&amp;title=Leonard%2015'%20Step%20Back%20Jump%20Shot%20(6%20PTS)%20(Green%201%20AST)", "Leonard 15' Step Back Jump Shot (6 PTS) (Green 1 AST)")</f>
        <v>Leonard 15' Step Back Jump Shot (6 PTS) (Green 1 AST)</v>
      </c>
      <c r="L3546" s="2" t="str">
        <f>HYPERLINK("https://www.nba.com/game/...-vs-...-0041400164/play-by-play?watchFullGame=true", "SAS vs LAC - Q1 07:49.00")</f>
        <v>SAS vs LAC - Q1 07:49.00</v>
      </c>
      <c r="M3546">
        <v>15</v>
      </c>
      <c r="N3546">
        <v>152</v>
      </c>
      <c r="O3546">
        <v>28</v>
      </c>
      <c r="P3546">
        <v>152</v>
      </c>
      <c r="Q3546">
        <v>28</v>
      </c>
      <c r="R3546" t="s">
        <v>21</v>
      </c>
      <c r="S3546" t="s">
        <v>21</v>
      </c>
    </row>
    <row r="3547" spans="1:21" hidden="1" x14ac:dyDescent="0.25">
      <c r="A3547">
        <v>21800069</v>
      </c>
      <c r="B3547" t="s">
        <v>18</v>
      </c>
      <c r="C3547" t="s">
        <v>36</v>
      </c>
      <c r="D3547">
        <v>12</v>
      </c>
      <c r="E3547">
        <v>2</v>
      </c>
      <c r="F3547">
        <v>10</v>
      </c>
      <c r="G3547">
        <v>1</v>
      </c>
      <c r="H3547" s="1">
        <v>5.6249999999999998E-3</v>
      </c>
      <c r="I3547">
        <v>2018</v>
      </c>
      <c r="J3547" t="s">
        <v>48</v>
      </c>
      <c r="K3547" s="2" t="str">
        <f>HYPERLINK("https://www.nba.com/stats/events?CFID=&amp;CFPARAMS=&amp;GameEventID=47&amp;GameID=0021800069&amp;Season=2018-19&amp;flag=1&amp;title=Leonard%2015'%20Pullup%20Jump%20Shot%20(2%20PTS)%20(Lowry%201%20AST)", "Leonard 15' Pullup Jump Shot (2 PTS) (Lowry 1 AST)")</f>
        <v>Leonard 15' Pullup Jump Shot (2 PTS) (Lowry 1 AST)</v>
      </c>
      <c r="L3547" s="2" t="str">
        <f>HYPERLINK("https://www.nba.com/game/...-vs-...-0021800069/play-by-play?watchFullGame=true", "TOR vs DAL - Q1 08:06.00")</f>
        <v>TOR vs DAL - Q1 08:06.00</v>
      </c>
      <c r="M3547">
        <v>15</v>
      </c>
      <c r="N3547">
        <v>-148</v>
      </c>
      <c r="O3547">
        <v>16</v>
      </c>
      <c r="P3547">
        <v>-148</v>
      </c>
      <c r="Q3547">
        <v>16</v>
      </c>
      <c r="R3547" t="s">
        <v>21</v>
      </c>
      <c r="S3547" t="s">
        <v>21</v>
      </c>
    </row>
    <row r="3548" spans="1:21" hidden="1" x14ac:dyDescent="0.25">
      <c r="A3548">
        <v>21500905</v>
      </c>
      <c r="B3548" t="s">
        <v>18</v>
      </c>
      <c r="C3548" t="s">
        <v>34</v>
      </c>
      <c r="D3548">
        <v>85</v>
      </c>
      <c r="E3548">
        <v>72</v>
      </c>
      <c r="F3548">
        <v>13</v>
      </c>
      <c r="G3548">
        <v>4</v>
      </c>
      <c r="H3548" s="1">
        <v>5.6481481481481478E-3</v>
      </c>
      <c r="I3548">
        <v>2015</v>
      </c>
      <c r="J3548" t="s">
        <v>20</v>
      </c>
      <c r="K3548" s="2" t="str">
        <f>HYPERLINK("https://www.nba.com/stats/events?CFID=&amp;CFPARAMS=&amp;GameEventID=371&amp;GameID=0021500905&amp;Season=2015-16&amp;flag=1&amp;title=Leonard%2015'%20Turnaround%20Jump%20Shot%20(21%20PTS)", "Leonard 15' Turnaround Jump Shot (21 PTS)")</f>
        <v>Leonard 15' Turnaround Jump Shot (21 PTS)</v>
      </c>
      <c r="L3548" s="2" t="str">
        <f>HYPERLINK("https://www.nba.com/game/...-vs-...-0021500905/play-by-play?watchFullGame=true", "SAS vs DET - Q4 08:08.00")</f>
        <v>SAS vs DET - Q4 08:08.00</v>
      </c>
      <c r="M3548">
        <v>15</v>
      </c>
      <c r="N3548">
        <v>102</v>
      </c>
      <c r="O3548">
        <v>111</v>
      </c>
      <c r="P3548">
        <v>102</v>
      </c>
      <c r="Q3548">
        <v>111</v>
      </c>
      <c r="R3548" t="s">
        <v>21</v>
      </c>
      <c r="S3548" t="s">
        <v>21</v>
      </c>
    </row>
    <row r="3549" spans="1:21" hidden="1" x14ac:dyDescent="0.25">
      <c r="A3549">
        <v>41200231</v>
      </c>
      <c r="B3549" t="s">
        <v>18</v>
      </c>
      <c r="C3549" t="s">
        <v>36</v>
      </c>
      <c r="D3549">
        <v>61</v>
      </c>
      <c r="E3549">
        <v>66</v>
      </c>
      <c r="F3549">
        <v>5</v>
      </c>
      <c r="G3549">
        <v>3</v>
      </c>
      <c r="H3549" s="1">
        <v>5.6828703703703702E-3</v>
      </c>
      <c r="I3549" t="s">
        <v>53</v>
      </c>
      <c r="J3549" t="s">
        <v>20</v>
      </c>
      <c r="K3549" s="2" t="str">
        <f>HYPERLINK("https://www.nba.com/stats/events?CFID=&amp;CFPARAMS=&amp;GameEventID=300&amp;GameID=0041200231&amp;Season=2012-13&amp;flag=1&amp;title=Leonard%2015'%20Pullup%20Jump%20Shot%20(7%20PTS)%20(Parker%205%20AST)", "Leonard 15' Pullup Jump Shot (7 PTS) (Parker 5 AST)")</f>
        <v>Leonard 15' Pullup Jump Shot (7 PTS) (Parker 5 AST)</v>
      </c>
      <c r="L3549" s="2" t="str">
        <f>HYPERLINK("https://www.nba.com/game/...-vs-...-0041200231/play-by-play?watchFullGame=true", "SAS vs GSW - Q3 08:11.00")</f>
        <v>SAS vs GSW - Q3 08:11.00</v>
      </c>
      <c r="M3549">
        <v>15</v>
      </c>
      <c r="N3549">
        <v>132</v>
      </c>
      <c r="O3549">
        <v>74</v>
      </c>
      <c r="P3549">
        <v>132</v>
      </c>
      <c r="Q3549">
        <v>74</v>
      </c>
      <c r="R3549" t="s">
        <v>21</v>
      </c>
      <c r="S3549" t="s">
        <v>21</v>
      </c>
    </row>
    <row r="3550" spans="1:21" hidden="1" x14ac:dyDescent="0.25">
      <c r="A3550">
        <v>41500232</v>
      </c>
      <c r="B3550" t="s">
        <v>18</v>
      </c>
      <c r="C3550" t="s">
        <v>39</v>
      </c>
      <c r="D3550">
        <v>33</v>
      </c>
      <c r="E3550">
        <v>33</v>
      </c>
      <c r="F3550">
        <v>0</v>
      </c>
      <c r="G3550">
        <v>2</v>
      </c>
      <c r="H3550" s="1">
        <v>5.7060185185185183E-3</v>
      </c>
      <c r="I3550" t="s">
        <v>57</v>
      </c>
      <c r="J3550" t="s">
        <v>20</v>
      </c>
      <c r="K3550" s="2" t="str">
        <f>HYPERLINK("https://www.nba.com/stats/events?CFID=&amp;CFPARAMS=&amp;GameEventID=176&amp;GameID=0041500232&amp;Season=2015-16&amp;flag=1&amp;title=Leonard%2015'%20Step%20Back%20Jump%20Shot%20(2%20PTS)", "Leonard 15' Step Back Jump Shot (2 PTS)")</f>
        <v>Leonard 15' Step Back Jump Shot (2 PTS)</v>
      </c>
      <c r="L3550" s="2" t="str">
        <f>HYPERLINK("https://www.nba.com/game/...-vs-...-0041500232/play-by-play?watchFullGame=true", "SAS vs OKC - Q2 08:13.00")</f>
        <v>SAS vs OKC - Q2 08:13.00</v>
      </c>
      <c r="M3550">
        <v>15</v>
      </c>
      <c r="N3550">
        <v>-140</v>
      </c>
      <c r="O3550">
        <v>41</v>
      </c>
      <c r="P3550">
        <v>-140</v>
      </c>
      <c r="Q3550">
        <v>41</v>
      </c>
      <c r="R3550" t="s">
        <v>21</v>
      </c>
      <c r="S3550" t="s">
        <v>21</v>
      </c>
    </row>
    <row r="3551" spans="1:21" hidden="1" x14ac:dyDescent="0.25">
      <c r="A3551">
        <v>21500235</v>
      </c>
      <c r="B3551" t="s">
        <v>18</v>
      </c>
      <c r="C3551" t="s">
        <v>37</v>
      </c>
      <c r="D3551">
        <v>52</v>
      </c>
      <c r="E3551">
        <v>45</v>
      </c>
      <c r="F3551">
        <v>7</v>
      </c>
      <c r="G3551">
        <v>3</v>
      </c>
      <c r="H3551" s="1">
        <v>5.8912037037037041E-3</v>
      </c>
      <c r="I3551">
        <v>2015</v>
      </c>
      <c r="J3551" t="s">
        <v>20</v>
      </c>
      <c r="K3551" s="2" t="str">
        <f>HYPERLINK("https://www.nba.com/stats/events?CFID=&amp;CFPARAMS=&amp;GameEventID=271&amp;GameID=0021500235&amp;Season=2015-16&amp;flag=1&amp;title=Leonard%2015'%20Fadeaway%20Jumper%20(16%20PTS)", "Leonard 15' Fadeaway Jumper (16 PTS)")</f>
        <v>Leonard 15' Fadeaway Jumper (16 PTS)</v>
      </c>
      <c r="L3551" s="2" t="str">
        <f>HYPERLINK("https://www.nba.com/game/...-vs-...-0021500235/play-by-play?watchFullGame=true", "SAS vs DEN - Q3 08:29.00")</f>
        <v>SAS vs DEN - Q3 08:29.00</v>
      </c>
      <c r="M3551">
        <v>15</v>
      </c>
      <c r="N3551">
        <v>141</v>
      </c>
      <c r="O3551">
        <v>51</v>
      </c>
      <c r="P3551">
        <v>141</v>
      </c>
      <c r="Q3551">
        <v>51</v>
      </c>
      <c r="R3551" t="s">
        <v>21</v>
      </c>
      <c r="S3551" t="s">
        <v>21</v>
      </c>
    </row>
    <row r="3552" spans="1:21" hidden="1" x14ac:dyDescent="0.25">
      <c r="A3552">
        <v>21400249</v>
      </c>
      <c r="B3552" t="s">
        <v>18</v>
      </c>
      <c r="C3552" t="s">
        <v>36</v>
      </c>
      <c r="D3552">
        <v>8</v>
      </c>
      <c r="E3552">
        <v>2</v>
      </c>
      <c r="F3552">
        <v>6</v>
      </c>
      <c r="G3552">
        <v>1</v>
      </c>
      <c r="H3552" s="1">
        <v>5.9143518518518521E-3</v>
      </c>
      <c r="I3552">
        <v>2014</v>
      </c>
      <c r="J3552" t="s">
        <v>20</v>
      </c>
      <c r="K3552" s="2" t="str">
        <f>HYPERLINK("https://www.nba.com/stats/events?CFID=&amp;CFPARAMS=&amp;GameEventID=33&amp;GameID=0021400249&amp;Season=2014-15&amp;flag=1&amp;title=Leonard%2015'%20Pullup%20Jump%20Shot%20(4%20PTS)%20(Green%201%20AST)", "Leonard 15' Pullup Jump Shot (4 PTS) (Green 1 AST)")</f>
        <v>Leonard 15' Pullup Jump Shot (4 PTS) (Green 1 AST)</v>
      </c>
      <c r="L3552" s="2" t="str">
        <f>HYPERLINK("https://www.nba.com/game/...-vs-...-0021400249/play-by-play?watchFullGame=true", "SAS vs PHI - Q1 08:31.00")</f>
        <v>SAS vs PHI - Q1 08:31.00</v>
      </c>
      <c r="M3552">
        <v>15</v>
      </c>
      <c r="N3552">
        <v>-75</v>
      </c>
      <c r="O3552">
        <v>132</v>
      </c>
      <c r="P3552">
        <v>-75</v>
      </c>
      <c r="Q3552">
        <v>132</v>
      </c>
      <c r="R3552" t="s">
        <v>21</v>
      </c>
      <c r="S3552" t="s">
        <v>21</v>
      </c>
    </row>
    <row r="3553" spans="1:19" hidden="1" x14ac:dyDescent="0.25">
      <c r="A3553">
        <v>21500532</v>
      </c>
      <c r="B3553" t="s">
        <v>18</v>
      </c>
      <c r="C3553" t="s">
        <v>36</v>
      </c>
      <c r="D3553">
        <v>13</v>
      </c>
      <c r="E3553">
        <v>5</v>
      </c>
      <c r="F3553">
        <v>8</v>
      </c>
      <c r="G3553">
        <v>1</v>
      </c>
      <c r="H3553" s="1">
        <v>5.9606481481481481E-3</v>
      </c>
      <c r="I3553">
        <v>2015</v>
      </c>
      <c r="J3553" t="s">
        <v>20</v>
      </c>
      <c r="K3553" s="2" t="str">
        <f>HYPERLINK("https://www.nba.com/stats/events?CFID=&amp;CFPARAMS=&amp;GameEventID=21&amp;GameID=0021500532&amp;Season=2015-16&amp;flag=1&amp;title=Leonard%2015'%20Pullup%20Jump%20Shot%20(4%20PTS)", "Leonard 15' Pullup Jump Shot (4 PTS)")</f>
        <v>Leonard 15' Pullup Jump Shot (4 PTS)</v>
      </c>
      <c r="L3553" s="2" t="str">
        <f>HYPERLINK("https://www.nba.com/game/...-vs-...-0021500532/play-by-play?watchFullGame=true", "SAS vs UTA - Q1 08:35.00")</f>
        <v>SAS vs UTA - Q1 08:35.00</v>
      </c>
      <c r="M3553">
        <v>15</v>
      </c>
      <c r="N3553">
        <v>-150</v>
      </c>
      <c r="O3553">
        <v>28</v>
      </c>
      <c r="P3553">
        <v>-150</v>
      </c>
      <c r="Q3553">
        <v>28</v>
      </c>
      <c r="R3553" t="s">
        <v>21</v>
      </c>
      <c r="S3553" t="s">
        <v>21</v>
      </c>
    </row>
    <row r="3554" spans="1:19" hidden="1" x14ac:dyDescent="0.25">
      <c r="A3554">
        <v>21500364</v>
      </c>
      <c r="B3554" t="s">
        <v>18</v>
      </c>
      <c r="C3554" t="s">
        <v>36</v>
      </c>
      <c r="D3554">
        <v>69</v>
      </c>
      <c r="E3554">
        <v>43</v>
      </c>
      <c r="F3554">
        <v>26</v>
      </c>
      <c r="G3554">
        <v>3</v>
      </c>
      <c r="H3554" s="1">
        <v>5.9953703703703705E-3</v>
      </c>
      <c r="I3554">
        <v>2015</v>
      </c>
      <c r="J3554" t="s">
        <v>20</v>
      </c>
      <c r="K3554" s="2" t="str">
        <f>HYPERLINK("https://www.nba.com/stats/events?CFID=&amp;CFPARAMS=&amp;GameEventID=288&amp;GameID=0021500364&amp;Season=2015-16&amp;flag=1&amp;title=Leonard%2015'%20Pullup%20Jump%20Shot%20(15%20PTS)", "Leonard 15' Pullup Jump Shot (15 PTS)")</f>
        <v>Leonard 15' Pullup Jump Shot (15 PTS)</v>
      </c>
      <c r="L3554" s="2" t="str">
        <f>HYPERLINK("https://www.nba.com/game/...-vs-...-0021500364/play-by-play?watchFullGame=true", "SAS vs UTA - Q3 08:38.00")</f>
        <v>SAS vs UTA - Q3 08:38.00</v>
      </c>
      <c r="M3554">
        <v>15</v>
      </c>
      <c r="N3554">
        <v>-150</v>
      </c>
      <c r="O3554">
        <v>11</v>
      </c>
      <c r="P3554">
        <v>-150</v>
      </c>
      <c r="Q3554">
        <v>11</v>
      </c>
      <c r="R3554" t="s">
        <v>21</v>
      </c>
      <c r="S3554" t="s">
        <v>21</v>
      </c>
    </row>
    <row r="3555" spans="1:19" hidden="1" x14ac:dyDescent="0.25">
      <c r="A3555">
        <v>21500742</v>
      </c>
      <c r="B3555" t="s">
        <v>18</v>
      </c>
      <c r="C3555" t="s">
        <v>19</v>
      </c>
      <c r="D3555">
        <v>90</v>
      </c>
      <c r="E3555">
        <v>84</v>
      </c>
      <c r="F3555">
        <v>6</v>
      </c>
      <c r="G3555">
        <v>4</v>
      </c>
      <c r="H3555" s="1">
        <v>6.145833333333333E-3</v>
      </c>
      <c r="I3555">
        <v>2015</v>
      </c>
      <c r="J3555" t="s">
        <v>20</v>
      </c>
      <c r="K3555" s="2" t="str">
        <f>HYPERLINK("https://www.nba.com/stats/events?CFID=&amp;CFPARAMS=&amp;GameEventID=386&amp;GameID=0021500742&amp;Season=2015-16&amp;flag=1&amp;title=Leonard%2015'%20Jump%20Shot%20(20%20PTS)", "Leonard 15' Jump Shot (20 PTS)")</f>
        <v>Leonard 15' Jump Shot (20 PTS)</v>
      </c>
      <c r="L3555" s="2" t="str">
        <f>HYPERLINK("https://www.nba.com/game/...-vs-...-0021500742/play-by-play?watchFullGame=true", "SAS vs NOP - Q4 08:51.00")</f>
        <v>SAS vs NOP - Q4 08:51.00</v>
      </c>
      <c r="M3555">
        <v>15</v>
      </c>
      <c r="N3555">
        <v>99</v>
      </c>
      <c r="O3555">
        <v>111</v>
      </c>
      <c r="P3555">
        <v>99</v>
      </c>
      <c r="Q3555">
        <v>111</v>
      </c>
      <c r="R3555" t="s">
        <v>21</v>
      </c>
      <c r="S3555" t="s">
        <v>21</v>
      </c>
    </row>
    <row r="3556" spans="1:19" hidden="1" x14ac:dyDescent="0.25">
      <c r="A3556">
        <v>21301186</v>
      </c>
      <c r="B3556" t="s">
        <v>18</v>
      </c>
      <c r="C3556" t="s">
        <v>19</v>
      </c>
      <c r="D3556">
        <v>9</v>
      </c>
      <c r="E3556">
        <v>7</v>
      </c>
      <c r="F3556">
        <v>2</v>
      </c>
      <c r="G3556">
        <v>1</v>
      </c>
      <c r="H3556" s="1">
        <v>6.2037037037037035E-3</v>
      </c>
      <c r="I3556">
        <v>2013</v>
      </c>
      <c r="J3556" t="s">
        <v>20</v>
      </c>
      <c r="K3556" s="2" t="str">
        <f>HYPERLINK("https://www.nba.com/stats/events?CFID=&amp;CFPARAMS=&amp;GameEventID=24&amp;GameID=0021301186&amp;Season=2013-14&amp;flag=1&amp;title=Leonard%2015'%20Jump%20Shot%20(5%20PTS)", "Leonard 15' Jump Shot (5 PTS)")</f>
        <v>Leonard 15' Jump Shot (5 PTS)</v>
      </c>
      <c r="L3556" s="2" t="str">
        <f>HYPERLINK("https://www.nba.com/game/...-vs-...-0021301186/play-by-play?watchFullGame=true", "SAS vs PHX - Q1 08:56.00")</f>
        <v>SAS vs PHX - Q1 08:56.00</v>
      </c>
      <c r="M3556">
        <v>15</v>
      </c>
      <c r="N3556">
        <v>-144</v>
      </c>
      <c r="O3556">
        <v>37</v>
      </c>
      <c r="P3556">
        <v>-144</v>
      </c>
      <c r="Q3556">
        <v>37</v>
      </c>
      <c r="R3556" t="s">
        <v>21</v>
      </c>
      <c r="S3556" t="s">
        <v>21</v>
      </c>
    </row>
    <row r="3557" spans="1:19" hidden="1" x14ac:dyDescent="0.25">
      <c r="A3557">
        <v>21500416</v>
      </c>
      <c r="B3557" t="s">
        <v>18</v>
      </c>
      <c r="C3557" t="s">
        <v>34</v>
      </c>
      <c r="D3557">
        <v>4</v>
      </c>
      <c r="E3557">
        <v>4</v>
      </c>
      <c r="F3557">
        <v>0</v>
      </c>
      <c r="G3557">
        <v>1</v>
      </c>
      <c r="H3557" s="1">
        <v>6.2037037037037035E-3</v>
      </c>
      <c r="I3557">
        <v>2015</v>
      </c>
      <c r="J3557" t="s">
        <v>20</v>
      </c>
      <c r="K3557" s="2" t="str">
        <f>HYPERLINK("https://www.nba.com/stats/events?CFID=&amp;CFPARAMS=&amp;GameEventID=26&amp;GameID=0021500416&amp;Season=2015-16&amp;flag=1&amp;title=Leonard%2015'%20Turnaround%20Jump%20Shot%20(4%20PTS)", "Leonard 15' Turnaround Jump Shot (4 PTS)")</f>
        <v>Leonard 15' Turnaround Jump Shot (4 PTS)</v>
      </c>
      <c r="L3557" s="2" t="str">
        <f>HYPERLINK("https://www.nba.com/game/...-vs-...-0021500416/play-by-play?watchFullGame=true", "SAS vs IND - Q1 08:56.00")</f>
        <v>SAS vs IND - Q1 08:56.00</v>
      </c>
      <c r="M3557">
        <v>15</v>
      </c>
      <c r="N3557">
        <v>-12</v>
      </c>
      <c r="O3557">
        <v>154</v>
      </c>
      <c r="P3557">
        <v>-12</v>
      </c>
      <c r="Q3557">
        <v>154</v>
      </c>
      <c r="R3557" t="s">
        <v>21</v>
      </c>
      <c r="S3557" t="s">
        <v>21</v>
      </c>
    </row>
    <row r="3558" spans="1:19" hidden="1" x14ac:dyDescent="0.25">
      <c r="A3558">
        <v>21600962</v>
      </c>
      <c r="B3558" t="s">
        <v>18</v>
      </c>
      <c r="C3558" t="s">
        <v>38</v>
      </c>
      <c r="D3558">
        <v>10</v>
      </c>
      <c r="E3558">
        <v>6</v>
      </c>
      <c r="F3558">
        <v>4</v>
      </c>
      <c r="G3558">
        <v>1</v>
      </c>
      <c r="H3558" s="1">
        <v>6.2152777777777779E-3</v>
      </c>
      <c r="I3558">
        <v>2016</v>
      </c>
      <c r="J3558" t="s">
        <v>20</v>
      </c>
      <c r="K3558" s="2" t="str">
        <f>HYPERLINK("https://www.nba.com/stats/events?CFID=&amp;CFPARAMS=&amp;GameEventID=26&amp;GameID=0021600962&amp;Season=2016-17&amp;flag=1&amp;title=Leonard%2015'%20Turnaround%20Fadeaway%20(6%20PTS)", "Leonard 15' Turnaround Fadeaway (6 PTS)")</f>
        <v>Leonard 15' Turnaround Fadeaway (6 PTS)</v>
      </c>
      <c r="L3558" s="2" t="str">
        <f>HYPERLINK("https://www.nba.com/game/...-vs-...-0021600962/play-by-play?watchFullGame=true", "SAS vs OKC - Q1 08:57.00")</f>
        <v>SAS vs OKC - Q1 08:57.00</v>
      </c>
      <c r="M3558">
        <v>15</v>
      </c>
      <c r="N3558">
        <v>-140</v>
      </c>
      <c r="O3558">
        <v>38</v>
      </c>
      <c r="P3558">
        <v>-140</v>
      </c>
      <c r="Q3558">
        <v>38</v>
      </c>
      <c r="R3558" t="s">
        <v>21</v>
      </c>
      <c r="S3558" t="s">
        <v>21</v>
      </c>
    </row>
    <row r="3559" spans="1:19" hidden="1" x14ac:dyDescent="0.25">
      <c r="A3559">
        <v>21500347</v>
      </c>
      <c r="B3559" t="s">
        <v>18</v>
      </c>
      <c r="C3559" t="s">
        <v>36</v>
      </c>
      <c r="D3559">
        <v>55</v>
      </c>
      <c r="E3559">
        <v>33</v>
      </c>
      <c r="F3559">
        <v>22</v>
      </c>
      <c r="G3559">
        <v>3</v>
      </c>
      <c r="H3559" s="1">
        <v>6.2615740740740739E-3</v>
      </c>
      <c r="I3559">
        <v>2015</v>
      </c>
      <c r="J3559" t="s">
        <v>20</v>
      </c>
      <c r="K3559" s="2" t="str">
        <f>HYPERLINK("https://www.nba.com/stats/events?CFID=&amp;CFPARAMS=&amp;GameEventID=289&amp;GameID=0021500347&amp;Season=2015-16&amp;flag=1&amp;title=Leonard%2015'%20Pullup%20Jump%20Shot%20(15%20PTS)%20(Parker%202%20AST)", "Leonard 15' Pullup Jump Shot (15 PTS) (Parker 2 AST)")</f>
        <v>Leonard 15' Pullup Jump Shot (15 PTS) (Parker 2 AST)</v>
      </c>
      <c r="L3559" s="2" t="str">
        <f>HYPERLINK("https://www.nba.com/game/...-vs-...-0021500347/play-by-play?watchFullGame=true", "SAS vs ATL - Q3 09:01.00")</f>
        <v>SAS vs ATL - Q3 09:01.00</v>
      </c>
      <c r="M3559">
        <v>15</v>
      </c>
      <c r="N3559">
        <v>140</v>
      </c>
      <c r="O3559">
        <v>51</v>
      </c>
      <c r="P3559">
        <v>140</v>
      </c>
      <c r="Q3559">
        <v>51</v>
      </c>
      <c r="R3559" t="s">
        <v>21</v>
      </c>
      <c r="S3559" t="s">
        <v>21</v>
      </c>
    </row>
    <row r="3560" spans="1:19" hidden="1" x14ac:dyDescent="0.25">
      <c r="A3560">
        <v>21500790</v>
      </c>
      <c r="B3560" t="s">
        <v>18</v>
      </c>
      <c r="C3560" t="s">
        <v>19</v>
      </c>
      <c r="D3560">
        <v>4</v>
      </c>
      <c r="E3560">
        <v>5</v>
      </c>
      <c r="F3560">
        <v>1</v>
      </c>
      <c r="G3560">
        <v>1</v>
      </c>
      <c r="H3560" s="1">
        <v>6.2847222222222219E-3</v>
      </c>
      <c r="I3560">
        <v>2015</v>
      </c>
      <c r="J3560" t="s">
        <v>20</v>
      </c>
      <c r="K3560" s="2" t="str">
        <f>HYPERLINK("https://www.nba.com/stats/events?CFID=&amp;CFPARAMS=&amp;GameEventID=33&amp;GameID=0021500790&amp;Season=2015-16&amp;flag=1&amp;title=Leonard%2015'%20Jump%20Shot%20(2%20PTS)%20(Duncan%201%20AST)", "Leonard 15' Jump Shot (2 PTS) (Duncan 1 AST)")</f>
        <v>Leonard 15' Jump Shot (2 PTS) (Duncan 1 AST)</v>
      </c>
      <c r="L3560" s="2" t="str">
        <f>HYPERLINK("https://www.nba.com/game/...-vs-...-0021500790/play-by-play?watchFullGame=true", "SAS vs ORL - Q1 09:03.00")</f>
        <v>SAS vs ORL - Q1 09:03.00</v>
      </c>
      <c r="M3560">
        <v>15</v>
      </c>
      <c r="N3560">
        <v>-148</v>
      </c>
      <c r="O3560">
        <v>23</v>
      </c>
      <c r="P3560">
        <v>-148</v>
      </c>
      <c r="Q3560">
        <v>23</v>
      </c>
      <c r="R3560" t="s">
        <v>21</v>
      </c>
      <c r="S3560" t="s">
        <v>21</v>
      </c>
    </row>
    <row r="3561" spans="1:19" hidden="1" x14ac:dyDescent="0.25">
      <c r="A3561">
        <v>21401098</v>
      </c>
      <c r="B3561" t="s">
        <v>18</v>
      </c>
      <c r="C3561" t="s">
        <v>36</v>
      </c>
      <c r="D3561">
        <v>80</v>
      </c>
      <c r="E3561">
        <v>71</v>
      </c>
      <c r="F3561">
        <v>9</v>
      </c>
      <c r="G3561">
        <v>4</v>
      </c>
      <c r="H3561" s="1">
        <v>6.2962962962962964E-3</v>
      </c>
      <c r="I3561">
        <v>2014</v>
      </c>
      <c r="J3561" t="s">
        <v>20</v>
      </c>
      <c r="K3561" s="2" t="str">
        <f>HYPERLINK("https://www.nba.com/stats/events?CFID=&amp;CFPARAMS=&amp;GameEventID=376&amp;GameID=0021401098&amp;Season=2014-15&amp;flag=1&amp;title=Leonard%2015'%20Pullup%20Jump%20Shot%20(20%20PTS)%20(Green%205%20AST)", "Leonard 15' Pullup Jump Shot (20 PTS) (Green 5 AST)")</f>
        <v>Leonard 15' Pullup Jump Shot (20 PTS) (Green 5 AST)</v>
      </c>
      <c r="L3561" s="2" t="str">
        <f>HYPERLINK("https://www.nba.com/game/...-vs-...-0021401098/play-by-play?watchFullGame=true", "SAS vs MEM - Q4 09:04.00")</f>
        <v>SAS vs MEM - Q4 09:04.00</v>
      </c>
      <c r="M3561">
        <v>15</v>
      </c>
      <c r="N3561">
        <v>32</v>
      </c>
      <c r="O3561">
        <v>151</v>
      </c>
      <c r="P3561">
        <v>32</v>
      </c>
      <c r="Q3561">
        <v>151</v>
      </c>
      <c r="R3561" t="s">
        <v>21</v>
      </c>
      <c r="S3561" t="s">
        <v>21</v>
      </c>
    </row>
    <row r="3562" spans="1:19" hidden="1" x14ac:dyDescent="0.25">
      <c r="A3562">
        <v>21500450</v>
      </c>
      <c r="B3562" t="s">
        <v>18</v>
      </c>
      <c r="C3562" t="s">
        <v>39</v>
      </c>
      <c r="D3562">
        <v>61</v>
      </c>
      <c r="E3562">
        <v>46</v>
      </c>
      <c r="F3562">
        <v>15</v>
      </c>
      <c r="G3562">
        <v>3</v>
      </c>
      <c r="H3562" s="1">
        <v>6.3888888888888893E-3</v>
      </c>
      <c r="I3562">
        <v>2015</v>
      </c>
      <c r="J3562" t="s">
        <v>20</v>
      </c>
      <c r="K3562" s="2" t="str">
        <f>HYPERLINK("https://www.nba.com/stats/events?CFID=&amp;CFPARAMS=&amp;GameEventID=254&amp;GameID=0021500450&amp;Season=2015-16&amp;flag=1&amp;title=Leonard%2015'%20Step%20Back%20Jump%20Shot%20(11%20PTS)", "Leonard 15' Step Back Jump Shot (11 PTS)")</f>
        <v>Leonard 15' Step Back Jump Shot (11 PTS)</v>
      </c>
      <c r="L3562" s="2" t="str">
        <f>HYPERLINK("https://www.nba.com/game/...-vs-...-0021500450/play-by-play?watchFullGame=true", "SAS vs DEN - Q3 09:12.00")</f>
        <v>SAS vs DEN - Q3 09:12.00</v>
      </c>
      <c r="M3562">
        <v>15</v>
      </c>
      <c r="N3562">
        <v>150</v>
      </c>
      <c r="O3562">
        <v>-6</v>
      </c>
      <c r="P3562">
        <v>150</v>
      </c>
      <c r="Q3562">
        <v>-6</v>
      </c>
      <c r="R3562" t="s">
        <v>21</v>
      </c>
      <c r="S3562" t="s">
        <v>21</v>
      </c>
    </row>
    <row r="3563" spans="1:19" hidden="1" x14ac:dyDescent="0.25">
      <c r="A3563">
        <v>21401098</v>
      </c>
      <c r="B3563" t="s">
        <v>18</v>
      </c>
      <c r="C3563" t="s">
        <v>36</v>
      </c>
      <c r="D3563">
        <v>78</v>
      </c>
      <c r="E3563">
        <v>69</v>
      </c>
      <c r="F3563">
        <v>9</v>
      </c>
      <c r="G3563">
        <v>4</v>
      </c>
      <c r="H3563" s="1">
        <v>6.7013888888888887E-3</v>
      </c>
      <c r="I3563">
        <v>2014</v>
      </c>
      <c r="J3563" t="s">
        <v>20</v>
      </c>
      <c r="K3563" s="2" t="str">
        <f>HYPERLINK("https://www.nba.com/stats/events?CFID=&amp;CFPARAMS=&amp;GameEventID=364&amp;GameID=0021401098&amp;Season=2014-15&amp;flag=1&amp;title=Leonard%2015'%20Pullup%20Jump%20Shot%20(18%20PTS)%20(Parker%203%20AST)", "Leonard 15' Pullup Jump Shot (18 PTS) (Parker 3 AST)")</f>
        <v>Leonard 15' Pullup Jump Shot (18 PTS) (Parker 3 AST)</v>
      </c>
      <c r="L3563" s="2" t="str">
        <f>HYPERLINK("https://www.nba.com/game/...-vs-...-0021401098/play-by-play?watchFullGame=true", "SAS vs MEM - Q4 09:39.00")</f>
        <v>SAS vs MEM - Q4 09:39.00</v>
      </c>
      <c r="M3563">
        <v>15</v>
      </c>
      <c r="N3563">
        <v>-131</v>
      </c>
      <c r="O3563">
        <v>69</v>
      </c>
      <c r="P3563">
        <v>-131</v>
      </c>
      <c r="Q3563">
        <v>69</v>
      </c>
      <c r="R3563" t="s">
        <v>21</v>
      </c>
      <c r="S3563" t="s">
        <v>21</v>
      </c>
    </row>
    <row r="3564" spans="1:19" hidden="1" x14ac:dyDescent="0.25">
      <c r="A3564">
        <v>21600817</v>
      </c>
      <c r="B3564" t="s">
        <v>18</v>
      </c>
      <c r="C3564" t="s">
        <v>19</v>
      </c>
      <c r="D3564">
        <v>4</v>
      </c>
      <c r="E3564">
        <v>4</v>
      </c>
      <c r="F3564">
        <v>0</v>
      </c>
      <c r="G3564">
        <v>1</v>
      </c>
      <c r="H3564" s="1">
        <v>6.7013888888888887E-3</v>
      </c>
      <c r="I3564">
        <v>2016</v>
      </c>
      <c r="J3564" t="s">
        <v>20</v>
      </c>
      <c r="K3564" s="2" t="str">
        <f>HYPERLINK("https://www.nba.com/stats/events?CFID=&amp;CFPARAMS=&amp;GameEventID=13&amp;GameID=0021600817&amp;Season=2016-17&amp;flag=1&amp;title=Leonard%2015'%20Jump%20Shot%20(2%20PTS)%20(Parker%201%20AST)", "Leonard 15' Jump Shot (2 PTS) (Parker 1 AST)")</f>
        <v>Leonard 15' Jump Shot (2 PTS) (Parker 1 AST)</v>
      </c>
      <c r="L3564" s="2" t="str">
        <f>HYPERLINK("https://www.nba.com/game/...-vs-...-0021600817/play-by-play?watchFullGame=true", "SAS vs NYK - Q1 09:39.00")</f>
        <v>SAS vs NYK - Q1 09:39.00</v>
      </c>
      <c r="M3564">
        <v>15</v>
      </c>
      <c r="N3564">
        <v>150</v>
      </c>
      <c r="O3564">
        <v>-5</v>
      </c>
      <c r="P3564">
        <v>150</v>
      </c>
      <c r="Q3564">
        <v>-5</v>
      </c>
      <c r="R3564" t="s">
        <v>21</v>
      </c>
      <c r="S3564" t="s">
        <v>21</v>
      </c>
    </row>
    <row r="3565" spans="1:19" hidden="1" x14ac:dyDescent="0.25">
      <c r="A3565">
        <v>41800112</v>
      </c>
      <c r="B3565" t="s">
        <v>18</v>
      </c>
      <c r="C3565" t="s">
        <v>36</v>
      </c>
      <c r="D3565">
        <v>59</v>
      </c>
      <c r="E3565">
        <v>45</v>
      </c>
      <c r="F3565">
        <v>14</v>
      </c>
      <c r="G3565">
        <v>3</v>
      </c>
      <c r="H3565" s="1">
        <v>6.7824074074074071E-3</v>
      </c>
      <c r="I3565" t="s">
        <v>60</v>
      </c>
      <c r="J3565" t="s">
        <v>48</v>
      </c>
      <c r="K3565" s="2" t="str">
        <f>HYPERLINK("https://www.nba.com/stats/events?CFID=&amp;CFPARAMS=&amp;GameEventID=361&amp;GameID=0041800112&amp;Season=2018-19&amp;flag=1&amp;title=Leonard%2015'%20Pullup%20Jump%20Shot%20(22%20PTS)", "Leonard 15' Pullup Jump Shot (22 PTS)")</f>
        <v>Leonard 15' Pullup Jump Shot (22 PTS)</v>
      </c>
      <c r="L3565" s="2" t="str">
        <f>HYPERLINK("https://www.nba.com/game/...-vs-...-0041800112/play-by-play?watchFullGame=true", "TOR vs ORL - Q3 09:46.00")</f>
        <v>TOR vs ORL - Q3 09:46.00</v>
      </c>
      <c r="M3565">
        <v>15</v>
      </c>
      <c r="N3565">
        <v>147</v>
      </c>
      <c r="O3565">
        <v>-10</v>
      </c>
      <c r="P3565">
        <v>147</v>
      </c>
      <c r="Q3565">
        <v>-10</v>
      </c>
      <c r="R3565" t="s">
        <v>21</v>
      </c>
      <c r="S3565" t="s">
        <v>21</v>
      </c>
    </row>
    <row r="3566" spans="1:19" hidden="1" x14ac:dyDescent="0.25">
      <c r="A3566">
        <v>21601193</v>
      </c>
      <c r="B3566" t="s">
        <v>18</v>
      </c>
      <c r="C3566" t="s">
        <v>36</v>
      </c>
      <c r="D3566">
        <v>50</v>
      </c>
      <c r="E3566">
        <v>59</v>
      </c>
      <c r="F3566">
        <v>9</v>
      </c>
      <c r="G3566">
        <v>3</v>
      </c>
      <c r="H3566" s="1">
        <v>6.8634259259259256E-3</v>
      </c>
      <c r="I3566">
        <v>2016</v>
      </c>
      <c r="J3566" t="s">
        <v>20</v>
      </c>
      <c r="K3566" s="2" t="str">
        <f>HYPERLINK("https://www.nba.com/stats/events?CFID=&amp;CFPARAMS=&amp;GameEventID=248&amp;GameID=0021601193&amp;Season=2016-17&amp;flag=1&amp;title=Leonard%2015'%20Pullup%20Jump%20Shot%20(15%20PTS)", "Leonard 15' Pullup Jump Shot (15 PTS)")</f>
        <v>Leonard 15' Pullup Jump Shot (15 PTS)</v>
      </c>
      <c r="L3566" s="2" t="str">
        <f>HYPERLINK("https://www.nba.com/game/...-vs-...-0021601193/play-by-play?watchFullGame=true", "SAS vs LAC - Q3 09:53.00")</f>
        <v>SAS vs LAC - Q3 09:53.00</v>
      </c>
      <c r="M3566">
        <v>15</v>
      </c>
      <c r="N3566">
        <v>76</v>
      </c>
      <c r="O3566">
        <v>134</v>
      </c>
      <c r="P3566">
        <v>76</v>
      </c>
      <c r="Q3566">
        <v>134</v>
      </c>
      <c r="R3566" t="s">
        <v>21</v>
      </c>
      <c r="S3566" t="s">
        <v>21</v>
      </c>
    </row>
    <row r="3567" spans="1:19" hidden="1" x14ac:dyDescent="0.25">
      <c r="A3567">
        <v>21700573</v>
      </c>
      <c r="B3567" t="s">
        <v>18</v>
      </c>
      <c r="C3567" t="s">
        <v>36</v>
      </c>
      <c r="D3567">
        <v>28</v>
      </c>
      <c r="E3567">
        <v>34</v>
      </c>
      <c r="F3567">
        <v>6</v>
      </c>
      <c r="G3567">
        <v>2</v>
      </c>
      <c r="H3567" s="1">
        <v>6.8634259259259256E-3</v>
      </c>
      <c r="I3567">
        <v>2017</v>
      </c>
      <c r="J3567" t="s">
        <v>20</v>
      </c>
      <c r="K3567" s="2" t="str">
        <f>HYPERLINK("https://www.nba.com/stats/events?CFID=&amp;CFPARAMS=&amp;GameEventID=183&amp;GameID=0021700573&amp;Season=2017-18&amp;flag=1&amp;title=Leonard%2015'%20Pullup%20Jump%20Shot%20(6%20PTS)", "Leonard 15' Pullup Jump Shot (6 PTS)")</f>
        <v>Leonard 15' Pullup Jump Shot (6 PTS)</v>
      </c>
      <c r="L3567" s="2" t="str">
        <f>HYPERLINK("https://www.nba.com/game/...-vs-...-0021700573/play-by-play?watchFullGame=true", "SAS vs PHX - Q2 09:53.00")</f>
        <v>SAS vs PHX - Q2 09:53.00</v>
      </c>
      <c r="M3567">
        <v>15</v>
      </c>
      <c r="N3567">
        <v>96</v>
      </c>
      <c r="O3567">
        <v>121</v>
      </c>
      <c r="P3567">
        <v>96</v>
      </c>
      <c r="Q3567">
        <v>121</v>
      </c>
      <c r="R3567" t="s">
        <v>21</v>
      </c>
      <c r="S3567" t="s">
        <v>21</v>
      </c>
    </row>
    <row r="3568" spans="1:19" hidden="1" x14ac:dyDescent="0.25">
      <c r="A3568">
        <v>21401134</v>
      </c>
      <c r="B3568" t="s">
        <v>18</v>
      </c>
      <c r="C3568" t="s">
        <v>19</v>
      </c>
      <c r="D3568">
        <v>9</v>
      </c>
      <c r="E3568">
        <v>6</v>
      </c>
      <c r="F3568">
        <v>3</v>
      </c>
      <c r="G3568">
        <v>1</v>
      </c>
      <c r="H3568" s="1">
        <v>6.875E-3</v>
      </c>
      <c r="I3568">
        <v>2014</v>
      </c>
      <c r="J3568" t="s">
        <v>20</v>
      </c>
      <c r="K3568" s="2" t="str">
        <f>HYPERLINK("https://www.nba.com/stats/events?CFID=&amp;CFPARAMS=&amp;GameEventID=18&amp;GameID=0021401134&amp;Season=2014-15&amp;flag=1&amp;title=Leonard%2015'%20Jump%20Shot%20(6%20PTS)%20(Green%201%20AST)", "Leonard 15' Jump Shot (6 PTS) (Green 1 AST)")</f>
        <v>Leonard 15' Jump Shot (6 PTS) (Green 1 AST)</v>
      </c>
      <c r="L3568" s="2" t="str">
        <f>HYPERLINK("https://www.nba.com/game/...-vs-...-0021401134/play-by-play?watchFullGame=true", "SAS vs DEN - Q1 09:54.00")</f>
        <v>SAS vs DEN - Q1 09:54.00</v>
      </c>
      <c r="M3568">
        <v>15</v>
      </c>
      <c r="N3568">
        <v>-147</v>
      </c>
      <c r="O3568">
        <v>-6</v>
      </c>
      <c r="P3568">
        <v>-147</v>
      </c>
      <c r="Q3568">
        <v>-6</v>
      </c>
      <c r="R3568" t="s">
        <v>21</v>
      </c>
      <c r="S3568" t="s">
        <v>21</v>
      </c>
    </row>
    <row r="3569" spans="1:19" hidden="1" x14ac:dyDescent="0.25">
      <c r="A3569">
        <v>21400291</v>
      </c>
      <c r="B3569" t="s">
        <v>18</v>
      </c>
      <c r="C3569" t="s">
        <v>19</v>
      </c>
      <c r="D3569">
        <v>37</v>
      </c>
      <c r="E3569">
        <v>26</v>
      </c>
      <c r="F3569">
        <v>11</v>
      </c>
      <c r="G3569">
        <v>2</v>
      </c>
      <c r="H3569" s="1">
        <v>7.1064814814814819E-3</v>
      </c>
      <c r="I3569">
        <v>2014</v>
      </c>
      <c r="J3569" t="s">
        <v>20</v>
      </c>
      <c r="K3569" s="2" t="str">
        <f>HYPERLINK("https://www.nba.com/stats/events?CFID=&amp;CFPARAMS=&amp;GameEventID=143&amp;GameID=0021400291&amp;Season=2014-15&amp;flag=1&amp;title=Leonard%2015'%20Jump%20Shot%20(2%20PTS)%20(Duncan%202%20AST)", "Leonard 15' Jump Shot (2 PTS) (Duncan 2 AST)")</f>
        <v>Leonard 15' Jump Shot (2 PTS) (Duncan 2 AST)</v>
      </c>
      <c r="L3569" s="2" t="str">
        <f>HYPERLINK("https://www.nba.com/game/...-vs-...-0021400291/play-by-play?watchFullGame=true", "SAS vs MIN - Q2 10:14.00")</f>
        <v>SAS vs MIN - Q2 10:14.00</v>
      </c>
      <c r="M3569">
        <v>15</v>
      </c>
      <c r="N3569">
        <v>-141</v>
      </c>
      <c r="O3569">
        <v>61</v>
      </c>
      <c r="P3569">
        <v>-141</v>
      </c>
      <c r="Q3569">
        <v>61</v>
      </c>
      <c r="R3569" t="s">
        <v>21</v>
      </c>
      <c r="S3569" t="s">
        <v>21</v>
      </c>
    </row>
    <row r="3570" spans="1:19" hidden="1" x14ac:dyDescent="0.25">
      <c r="A3570">
        <v>21500909</v>
      </c>
      <c r="B3570" t="s">
        <v>18</v>
      </c>
      <c r="C3570" t="s">
        <v>37</v>
      </c>
      <c r="D3570">
        <v>2</v>
      </c>
      <c r="E3570">
        <v>4</v>
      </c>
      <c r="F3570">
        <v>2</v>
      </c>
      <c r="G3570">
        <v>1</v>
      </c>
      <c r="H3570" s="1">
        <v>7.3263888888888892E-3</v>
      </c>
      <c r="I3570">
        <v>2015</v>
      </c>
      <c r="J3570" t="s">
        <v>20</v>
      </c>
      <c r="K3570" s="2" t="str">
        <f>HYPERLINK("https://www.nba.com/stats/events?CFID=&amp;CFPARAMS=&amp;GameEventID=12&amp;GameID=0021500909&amp;Season=2015-16&amp;flag=1&amp;title=Leonard%2015'%20Fadeaway%20Jumper%20(2%20PTS)%20(Green%201%20AST)", "Leonard 15' Fadeaway Jumper (2 PTS) (Green 1 AST)")</f>
        <v>Leonard 15' Fadeaway Jumper (2 PTS) (Green 1 AST)</v>
      </c>
      <c r="L3570" s="2" t="str">
        <f>HYPERLINK("https://www.nba.com/game/...-vs-...-0021500909/play-by-play?watchFullGame=true", "SAS vs NOP - Q1 10:33.00")</f>
        <v>SAS vs NOP - Q1 10:33.00</v>
      </c>
      <c r="M3570">
        <v>15</v>
      </c>
      <c r="N3570">
        <v>-147</v>
      </c>
      <c r="O3570">
        <v>3</v>
      </c>
      <c r="P3570">
        <v>-147</v>
      </c>
      <c r="Q3570">
        <v>3</v>
      </c>
      <c r="R3570" t="s">
        <v>21</v>
      </c>
      <c r="S3570" t="s">
        <v>21</v>
      </c>
    </row>
    <row r="3571" spans="1:19" hidden="1" x14ac:dyDescent="0.25">
      <c r="A3571">
        <v>21401039</v>
      </c>
      <c r="B3571" t="s">
        <v>18</v>
      </c>
      <c r="C3571" t="s">
        <v>37</v>
      </c>
      <c r="D3571">
        <v>2</v>
      </c>
      <c r="E3571">
        <v>0</v>
      </c>
      <c r="F3571">
        <v>2</v>
      </c>
      <c r="G3571">
        <v>1</v>
      </c>
      <c r="H3571" s="1">
        <v>7.5925925925925926E-3</v>
      </c>
      <c r="I3571">
        <v>2014</v>
      </c>
      <c r="J3571" t="s">
        <v>20</v>
      </c>
      <c r="K3571" s="2" t="str">
        <f>HYPERLINK("https://www.nba.com/stats/events?CFID=&amp;CFPARAMS=&amp;GameEventID=6&amp;GameID=0021401039&amp;Season=2014-15&amp;flag=1&amp;title=Leonard%2015'%20Fadeaway%20Jumper%20(2%20PTS)%20(Parker%201%20AST)", "Leonard 15' Fadeaway Jumper (2 PTS) (Parker 1 AST)")</f>
        <v>Leonard 15' Fadeaway Jumper (2 PTS) (Parker 1 AST)</v>
      </c>
      <c r="L3571" s="2" t="str">
        <f>HYPERLINK("https://www.nba.com/game/...-vs-...-0021401039/play-by-play?watchFullGame=true", "SAS vs ATL - Q1 10:56.00")</f>
        <v>SAS vs ATL - Q1 10:56.00</v>
      </c>
      <c r="M3571">
        <v>15</v>
      </c>
      <c r="N3571">
        <v>111</v>
      </c>
      <c r="O3571">
        <v>94</v>
      </c>
      <c r="P3571">
        <v>111</v>
      </c>
      <c r="Q3571">
        <v>94</v>
      </c>
      <c r="R3571" t="s">
        <v>21</v>
      </c>
      <c r="S3571" t="s">
        <v>21</v>
      </c>
    </row>
    <row r="3572" spans="1:19" hidden="1" x14ac:dyDescent="0.25">
      <c r="A3572">
        <v>21800388</v>
      </c>
      <c r="B3572" t="s">
        <v>18</v>
      </c>
      <c r="C3572" t="s">
        <v>36</v>
      </c>
      <c r="D3572">
        <v>2</v>
      </c>
      <c r="E3572">
        <v>2</v>
      </c>
      <c r="F3572">
        <v>0</v>
      </c>
      <c r="G3572">
        <v>1</v>
      </c>
      <c r="H3572" s="1">
        <v>7.8125E-3</v>
      </c>
      <c r="I3572">
        <v>2018</v>
      </c>
      <c r="J3572" t="s">
        <v>48</v>
      </c>
      <c r="K3572" s="2" t="str">
        <f>HYPERLINK("https://www.nba.com/stats/events?CFID=&amp;CFPARAMS=&amp;GameEventID=11&amp;GameID=0021800388&amp;Season=2018-19&amp;flag=1&amp;title=Leonard%2015'%20Pullup%20Jump%20Shot%20(2%20PTS)", "Leonard 15' Pullup Jump Shot (2 PTS)")</f>
        <v>Leonard 15' Pullup Jump Shot (2 PTS)</v>
      </c>
      <c r="L3572" s="2" t="str">
        <f>HYPERLINK("https://www.nba.com/game/...-vs-...-0021800388/play-by-play?watchFullGame=true", "TOR vs MIL - Q1 11:15.00")</f>
        <v>TOR vs MIL - Q1 11:15.00</v>
      </c>
      <c r="M3572">
        <v>15</v>
      </c>
      <c r="N3572">
        <v>94</v>
      </c>
      <c r="O3572">
        <v>120</v>
      </c>
      <c r="P3572">
        <v>94</v>
      </c>
      <c r="Q3572">
        <v>120</v>
      </c>
      <c r="R3572" t="s">
        <v>21</v>
      </c>
      <c r="S3572" t="s">
        <v>21</v>
      </c>
    </row>
    <row r="3573" spans="1:19" hidden="1" x14ac:dyDescent="0.25">
      <c r="A3573">
        <v>21500742</v>
      </c>
      <c r="B3573" t="s">
        <v>18</v>
      </c>
      <c r="C3573" t="s">
        <v>19</v>
      </c>
      <c r="D3573">
        <v>55</v>
      </c>
      <c r="E3573">
        <v>45</v>
      </c>
      <c r="F3573">
        <v>10</v>
      </c>
      <c r="G3573">
        <v>3</v>
      </c>
      <c r="H3573" s="1">
        <v>7.858796296296296E-3</v>
      </c>
      <c r="I3573">
        <v>2015</v>
      </c>
      <c r="J3573" t="s">
        <v>20</v>
      </c>
      <c r="K3573" s="2" t="str">
        <f>HYPERLINK("https://www.nba.com/stats/events?CFID=&amp;CFPARAMS=&amp;GameEventID=248&amp;GameID=0021500742&amp;Season=2015-16&amp;flag=1&amp;title=Leonard%2015'%20Jump%20Shot%20(13%20PTS)%20(West%203%20AST)", "Leonard 15' Jump Shot (13 PTS) (West 3 AST)")</f>
        <v>Leonard 15' Jump Shot (13 PTS) (West 3 AST)</v>
      </c>
      <c r="L3573" s="2" t="str">
        <f>HYPERLINK("https://www.nba.com/game/...-vs-...-0021500742/play-by-play?watchFullGame=true", "SAS vs NOP - Q3 11:19.00")</f>
        <v>SAS vs NOP - Q3 11:19.00</v>
      </c>
      <c r="M3573">
        <v>15</v>
      </c>
      <c r="N3573">
        <v>153</v>
      </c>
      <c r="O3573">
        <v>11</v>
      </c>
      <c r="P3573">
        <v>153</v>
      </c>
      <c r="Q3573">
        <v>11</v>
      </c>
      <c r="R3573" t="s">
        <v>21</v>
      </c>
      <c r="S3573" t="s">
        <v>21</v>
      </c>
    </row>
    <row r="3574" spans="1:19" hidden="1" x14ac:dyDescent="0.25">
      <c r="A3574">
        <v>21600543</v>
      </c>
      <c r="B3574" t="s">
        <v>18</v>
      </c>
      <c r="C3574" t="s">
        <v>19</v>
      </c>
      <c r="D3574">
        <v>92</v>
      </c>
      <c r="E3574">
        <v>77</v>
      </c>
      <c r="F3574">
        <v>15</v>
      </c>
      <c r="G3574">
        <v>4</v>
      </c>
      <c r="H3574" s="1">
        <v>8.0555555555555554E-3</v>
      </c>
      <c r="I3574">
        <v>2016</v>
      </c>
      <c r="J3574" t="s">
        <v>20</v>
      </c>
      <c r="K3574" s="2" t="str">
        <f>HYPERLINK("https://www.nba.com/stats/events?CFID=&amp;CFPARAMS=&amp;GameEventID=379&amp;GameID=0021600543&amp;Season=2016-17&amp;flag=1&amp;title=Leonard%2015'%20Jump%20Shot%20(17%20PTS)", "Leonard 15' Jump Shot (17 PTS)")</f>
        <v>Leonard 15' Jump Shot (17 PTS)</v>
      </c>
      <c r="L3574" s="2" t="str">
        <f>HYPERLINK("https://www.nba.com/game/...-vs-...-0021600543/play-by-play?watchFullGame=true", "SAS vs DEN - Q4 11:36.00")</f>
        <v>SAS vs DEN - Q4 11:36.00</v>
      </c>
      <c r="M3574">
        <v>15</v>
      </c>
      <c r="N3574">
        <v>-150</v>
      </c>
      <c r="O3574">
        <v>38</v>
      </c>
      <c r="P3574">
        <v>-150</v>
      </c>
      <c r="Q3574">
        <v>38</v>
      </c>
      <c r="R3574" t="s">
        <v>21</v>
      </c>
      <c r="S3574" t="s">
        <v>21</v>
      </c>
    </row>
    <row r="3575" spans="1:19" hidden="1" x14ac:dyDescent="0.25">
      <c r="A3575">
        <v>41600231</v>
      </c>
      <c r="B3575" t="s">
        <v>18</v>
      </c>
      <c r="C3575" t="s">
        <v>36</v>
      </c>
      <c r="D3575">
        <v>2</v>
      </c>
      <c r="E3575">
        <v>0</v>
      </c>
      <c r="F3575">
        <v>2</v>
      </c>
      <c r="G3575">
        <v>1</v>
      </c>
      <c r="H3575" s="1">
        <v>8.0787037037037043E-3</v>
      </c>
      <c r="I3575" t="s">
        <v>58</v>
      </c>
      <c r="J3575" t="s">
        <v>20</v>
      </c>
      <c r="K3575" s="2" t="str">
        <f>HYPERLINK("https://www.nba.com/stats/events?CFID=&amp;CFPARAMS=&amp;GameEventID=2&amp;GameID=0041600231&amp;Season=2016-17&amp;flag=1&amp;title=Leonard%2015'%20Pullup%20Jump%20Shot%20(2%20PTS)%20(Green%201%20AST)", "Leonard 15' Pullup Jump Shot (2 PTS) (Green 1 AST)")</f>
        <v>Leonard 15' Pullup Jump Shot (2 PTS) (Green 1 AST)</v>
      </c>
      <c r="L3575" s="2" t="str">
        <f>HYPERLINK("https://www.nba.com/game/...-vs-...-0041600231/play-by-play?watchFullGame=true", "SAS vs HOU - Q1 11:38.00")</f>
        <v>SAS vs HOU - Q1 11:38.00</v>
      </c>
      <c r="M3575">
        <v>15</v>
      </c>
      <c r="N3575">
        <v>-138</v>
      </c>
      <c r="O3575">
        <v>61</v>
      </c>
      <c r="P3575">
        <v>-138</v>
      </c>
      <c r="Q3575">
        <v>61</v>
      </c>
      <c r="R3575" t="s">
        <v>21</v>
      </c>
      <c r="S3575" t="s">
        <v>21</v>
      </c>
    </row>
    <row r="3576" spans="1:19" hidden="1" x14ac:dyDescent="0.25">
      <c r="A3576">
        <v>21401028</v>
      </c>
      <c r="B3576" t="s">
        <v>18</v>
      </c>
      <c r="C3576" t="s">
        <v>19</v>
      </c>
      <c r="D3576">
        <v>2</v>
      </c>
      <c r="E3576">
        <v>0</v>
      </c>
      <c r="F3576">
        <v>2</v>
      </c>
      <c r="G3576">
        <v>1</v>
      </c>
      <c r="H3576" s="1">
        <v>8.1250000000000003E-3</v>
      </c>
      <c r="I3576">
        <v>2014</v>
      </c>
      <c r="J3576" t="s">
        <v>20</v>
      </c>
      <c r="K3576" s="2" t="str">
        <f>HYPERLINK("https://www.nba.com/stats/events?CFID=&amp;CFPARAMS=&amp;GameEventID=2&amp;GameID=0021401028&amp;Season=2014-15&amp;flag=1&amp;title=Leonard%2015'%20Jump%20Shot%20(2%20PTS)%20(Duncan%201%20AST)", "Leonard 15' Jump Shot (2 PTS) (Duncan 1 AST)")</f>
        <v>Leonard 15' Jump Shot (2 PTS) (Duncan 1 AST)</v>
      </c>
      <c r="L3576" s="2" t="str">
        <f>HYPERLINK("https://www.nba.com/game/...-vs-...-0021401028/play-by-play?watchFullGame=true", "SAS vs BOS - Q1 11:42.00")</f>
        <v>SAS vs BOS - Q1 11:42.00</v>
      </c>
      <c r="M3576">
        <v>15</v>
      </c>
      <c r="N3576">
        <v>-134</v>
      </c>
      <c r="O3576">
        <v>56</v>
      </c>
      <c r="P3576">
        <v>-134</v>
      </c>
      <c r="Q3576">
        <v>56</v>
      </c>
      <c r="R3576" t="s">
        <v>21</v>
      </c>
      <c r="S3576" t="s">
        <v>21</v>
      </c>
    </row>
    <row r="3577" spans="1:19" hidden="1" x14ac:dyDescent="0.25">
      <c r="A3577">
        <v>21500713</v>
      </c>
      <c r="B3577" t="s">
        <v>18</v>
      </c>
      <c r="C3577" t="s">
        <v>38</v>
      </c>
      <c r="D3577">
        <v>76</v>
      </c>
      <c r="E3577">
        <v>90</v>
      </c>
      <c r="F3577">
        <v>14</v>
      </c>
      <c r="G3577">
        <v>3</v>
      </c>
      <c r="H3577" s="1">
        <v>3.1944444444444446E-4</v>
      </c>
      <c r="I3577">
        <v>2015</v>
      </c>
      <c r="J3577" t="s">
        <v>20</v>
      </c>
      <c r="K3577" s="2" t="str">
        <f>HYPERLINK("https://www.nba.com/stats/events?CFID=&amp;CFPARAMS=&amp;GameEventID=395&amp;GameID=0021500713&amp;Season=2015-16&amp;flag=1&amp;title=Leonard%2014'%20Turnaround%20Fadeaway%20(21%20PTS)", "Leonard 14' Turnaround Fadeaway (21 PTS)")</f>
        <v>Leonard 14' Turnaround Fadeaway (21 PTS)</v>
      </c>
      <c r="L3577" s="2" t="str">
        <f>HYPERLINK("https://www.nba.com/game/...-vs-...-0021500713/play-by-play?watchFullGame=true", "SAS vs CLE - Q3 00:27.60")</f>
        <v>SAS vs CLE - Q3 00:27.60</v>
      </c>
      <c r="M3577">
        <v>14</v>
      </c>
      <c r="N3577">
        <v>-143</v>
      </c>
      <c r="O3577">
        <v>11</v>
      </c>
      <c r="P3577">
        <v>-143</v>
      </c>
      <c r="Q3577">
        <v>11</v>
      </c>
      <c r="R3577" t="s">
        <v>21</v>
      </c>
      <c r="S3577" t="s">
        <v>21</v>
      </c>
    </row>
    <row r="3578" spans="1:19" hidden="1" x14ac:dyDescent="0.25">
      <c r="A3578">
        <v>41400166</v>
      </c>
      <c r="B3578" t="s">
        <v>18</v>
      </c>
      <c r="C3578" t="s">
        <v>19</v>
      </c>
      <c r="D3578">
        <v>51</v>
      </c>
      <c r="E3578">
        <v>49</v>
      </c>
      <c r="F3578">
        <v>2</v>
      </c>
      <c r="G3578">
        <v>2</v>
      </c>
      <c r="H3578" s="1">
        <v>4.8726851851851855E-4</v>
      </c>
      <c r="I3578" t="s">
        <v>56</v>
      </c>
      <c r="J3578" t="s">
        <v>20</v>
      </c>
      <c r="K3578" s="2" t="str">
        <f>HYPERLINK("https://www.nba.com/stats/events?CFID=&amp;CFPARAMS=&amp;GameEventID=299&amp;GameID=0041400166&amp;Season=2014-15&amp;flag=1&amp;title=Leonard%2014'%20Jump%20Shot%20(10%20PTS)", "Leonard 14' Jump Shot (10 PTS)")</f>
        <v>Leonard 14' Jump Shot (10 PTS)</v>
      </c>
      <c r="L3578" s="2" t="str">
        <f>HYPERLINK("https://www.nba.com/game/...-vs-...-0041400166/play-by-play?watchFullGame=true", "SAS vs LAC - Q2 00:42.10")</f>
        <v>SAS vs LAC - Q2 00:42.10</v>
      </c>
      <c r="M3578">
        <v>14</v>
      </c>
      <c r="N3578">
        <v>-134</v>
      </c>
      <c r="O3578">
        <v>39</v>
      </c>
      <c r="P3578">
        <v>-134</v>
      </c>
      <c r="Q3578">
        <v>39</v>
      </c>
      <c r="R3578" t="s">
        <v>21</v>
      </c>
      <c r="S3578" t="s">
        <v>21</v>
      </c>
    </row>
    <row r="3579" spans="1:19" hidden="1" x14ac:dyDescent="0.25">
      <c r="A3579">
        <v>41600152</v>
      </c>
      <c r="B3579" t="s">
        <v>18</v>
      </c>
      <c r="C3579" t="s">
        <v>39</v>
      </c>
      <c r="D3579">
        <v>75</v>
      </c>
      <c r="E3579">
        <v>60</v>
      </c>
      <c r="F3579">
        <v>15</v>
      </c>
      <c r="G3579">
        <v>3</v>
      </c>
      <c r="H3579" s="1">
        <v>6.6435185185185184E-4</v>
      </c>
      <c r="I3579" t="s">
        <v>58</v>
      </c>
      <c r="J3579" t="s">
        <v>20</v>
      </c>
      <c r="K3579" s="2" t="str">
        <f>HYPERLINK("https://www.nba.com/stats/events?CFID=&amp;CFPARAMS=&amp;GameEventID=380&amp;GameID=0041600152&amp;Season=2016-17&amp;flag=1&amp;title=Leonard%2014'%20Step%20Back%20Jump%20Shot%20(27%20PTS)", "Leonard 14' Step Back Jump Shot (27 PTS)")</f>
        <v>Leonard 14' Step Back Jump Shot (27 PTS)</v>
      </c>
      <c r="L3579" s="2" t="str">
        <f>HYPERLINK("https://www.nba.com/game/...-vs-...-0041600152/play-by-play?watchFullGame=true", "SAS vs MEM - Q3 00:57.40")</f>
        <v>SAS vs MEM - Q3 00:57.40</v>
      </c>
      <c r="M3579">
        <v>14</v>
      </c>
      <c r="N3579">
        <v>-137</v>
      </c>
      <c r="O3579">
        <v>-5</v>
      </c>
      <c r="P3579">
        <v>-137</v>
      </c>
      <c r="Q3579">
        <v>-5</v>
      </c>
      <c r="R3579" t="s">
        <v>21</v>
      </c>
      <c r="S3579" t="s">
        <v>21</v>
      </c>
    </row>
    <row r="3580" spans="1:19" hidden="1" x14ac:dyDescent="0.25">
      <c r="A3580">
        <v>21800316</v>
      </c>
      <c r="B3580" t="s">
        <v>18</v>
      </c>
      <c r="C3580" t="s">
        <v>19</v>
      </c>
      <c r="D3580">
        <v>116</v>
      </c>
      <c r="E3580">
        <v>112</v>
      </c>
      <c r="F3580">
        <v>4</v>
      </c>
      <c r="G3580">
        <v>4</v>
      </c>
      <c r="H3580" s="1">
        <v>1.0532407407407407E-3</v>
      </c>
      <c r="I3580">
        <v>2018</v>
      </c>
      <c r="J3580" t="s">
        <v>48</v>
      </c>
      <c r="K3580" s="2" t="str">
        <f>HYPERLINK("https://www.nba.com/stats/events?CFID=&amp;CFPARAMS=&amp;GameEventID=629&amp;GameID=0021800316&amp;Season=2018-19&amp;flag=1&amp;title=Leonard%2014'%20Jump%20Shot%20(37%20PTS)", "Leonard 14' Jump Shot (37 PTS)")</f>
        <v>Leonard 14' Jump Shot (37 PTS)</v>
      </c>
      <c r="L3580" s="2" t="str">
        <f>HYPERLINK("https://www.nba.com/game/...-vs-...-0021800316/play-by-play?watchFullGame=true", "TOR vs GSW - Q4 01:31.00")</f>
        <v>TOR vs GSW - Q4 01:31.00</v>
      </c>
      <c r="M3580">
        <v>14</v>
      </c>
      <c r="N3580">
        <v>-135</v>
      </c>
      <c r="O3580">
        <v>37</v>
      </c>
      <c r="P3580">
        <v>-135</v>
      </c>
      <c r="Q3580">
        <v>37</v>
      </c>
      <c r="R3580" t="s">
        <v>21</v>
      </c>
      <c r="S3580" t="s">
        <v>21</v>
      </c>
    </row>
    <row r="3581" spans="1:19" hidden="1" x14ac:dyDescent="0.25">
      <c r="A3581">
        <v>21600817</v>
      </c>
      <c r="B3581" t="s">
        <v>18</v>
      </c>
      <c r="C3581" t="s">
        <v>30</v>
      </c>
      <c r="D3581">
        <v>86</v>
      </c>
      <c r="E3581">
        <v>88</v>
      </c>
      <c r="F3581">
        <v>2</v>
      </c>
      <c r="G3581">
        <v>4</v>
      </c>
      <c r="H3581" s="1">
        <v>1.0879629629629629E-3</v>
      </c>
      <c r="I3581">
        <v>2016</v>
      </c>
      <c r="J3581" t="s">
        <v>20</v>
      </c>
      <c r="K3581" s="2" t="str">
        <f>HYPERLINK("https://www.nba.com/stats/events?CFID=&amp;CFPARAMS=&amp;GameEventID=497&amp;GameID=0021600817&amp;Season=2016-17&amp;flag=1&amp;title=Leonard%2014'%20Running%20Jump%20Shot%20(34%20PTS)", "Leonard 14' Running Jump Shot (34 PTS)")</f>
        <v>Leonard 14' Running Jump Shot (34 PTS)</v>
      </c>
      <c r="L3581" s="2" t="str">
        <f>HYPERLINK("https://www.nba.com/game/...-vs-...-0021600817/play-by-play?watchFullGame=true", "SAS vs NYK - Q4 01:34.00")</f>
        <v>SAS vs NYK - Q4 01:34.00</v>
      </c>
      <c r="M3581">
        <v>14</v>
      </c>
      <c r="N3581">
        <v>140</v>
      </c>
      <c r="O3581">
        <v>-24</v>
      </c>
      <c r="P3581">
        <v>140</v>
      </c>
      <c r="Q3581">
        <v>-24</v>
      </c>
      <c r="R3581" t="s">
        <v>21</v>
      </c>
      <c r="S3581" t="s">
        <v>21</v>
      </c>
    </row>
    <row r="3582" spans="1:19" hidden="1" x14ac:dyDescent="0.25">
      <c r="A3582">
        <v>21801001</v>
      </c>
      <c r="B3582" t="s">
        <v>18</v>
      </c>
      <c r="C3582" t="s">
        <v>59</v>
      </c>
      <c r="D3582">
        <v>77</v>
      </c>
      <c r="E3582">
        <v>84</v>
      </c>
      <c r="F3582">
        <v>7</v>
      </c>
      <c r="G3582">
        <v>3</v>
      </c>
      <c r="H3582" s="1">
        <v>1.1342592592592593E-3</v>
      </c>
      <c r="I3582">
        <v>2018</v>
      </c>
      <c r="J3582" t="s">
        <v>48</v>
      </c>
      <c r="K3582" s="2" t="str">
        <f>HYPERLINK("https://www.nba.com/stats/events?CFID=&amp;CFPARAMS=&amp;GameEventID=467&amp;GameID=0021801001&amp;Season=2018-19&amp;flag=1&amp;title=Leonard%2014'%20Floating%20Jump%20Shot%20(23%20PTS)", "Leonard 14' Floating Jump Shot (23 PTS)")</f>
        <v>Leonard 14' Floating Jump Shot (23 PTS)</v>
      </c>
      <c r="L3582" s="2" t="str">
        <f>HYPERLINK("https://www.nba.com/game/...-vs-...-0021801001/play-by-play?watchFullGame=true", "TOR vs CLE - Q3 01:38.00")</f>
        <v>TOR vs CLE - Q3 01:38.00</v>
      </c>
      <c r="M3582">
        <v>14</v>
      </c>
      <c r="N3582">
        <v>-39</v>
      </c>
      <c r="O3582">
        <v>134</v>
      </c>
      <c r="P3582">
        <v>-39</v>
      </c>
      <c r="Q3582">
        <v>134</v>
      </c>
      <c r="R3582" t="s">
        <v>21</v>
      </c>
      <c r="S3582" t="s">
        <v>21</v>
      </c>
    </row>
    <row r="3583" spans="1:19" hidden="1" x14ac:dyDescent="0.25">
      <c r="A3583">
        <v>21400739</v>
      </c>
      <c r="B3583" t="s">
        <v>18</v>
      </c>
      <c r="C3583" t="s">
        <v>19</v>
      </c>
      <c r="D3583">
        <v>21</v>
      </c>
      <c r="E3583">
        <v>25</v>
      </c>
      <c r="F3583">
        <v>4</v>
      </c>
      <c r="G3583">
        <v>1</v>
      </c>
      <c r="H3583" s="1">
        <v>1.1342592592592593E-3</v>
      </c>
      <c r="I3583">
        <v>2014</v>
      </c>
      <c r="J3583" t="s">
        <v>20</v>
      </c>
      <c r="K3583" s="2" t="str">
        <f>HYPERLINK("https://www.nba.com/stats/events?CFID=&amp;CFPARAMS=&amp;GameEventID=88&amp;GameID=0021400739&amp;Season=2014-15&amp;flag=1&amp;title=Leonard%2014'%20Jump%20Shot%20(4%20PTS)%20(Belinelli%201%20AST)", "Leonard 14' Jump Shot (4 PTS) (Belinelli 1 AST)")</f>
        <v>Leonard 14' Jump Shot (4 PTS) (Belinelli 1 AST)</v>
      </c>
      <c r="L3583" s="2" t="str">
        <f>HYPERLINK("https://www.nba.com/game/...-vs-...-0021400739/play-by-play?watchFullGame=true", "SAS vs ORL - Q1 01:38.00")</f>
        <v>SAS vs ORL - Q1 01:38.00</v>
      </c>
      <c r="M3583">
        <v>14</v>
      </c>
      <c r="N3583">
        <v>138</v>
      </c>
      <c r="O3583">
        <v>17</v>
      </c>
      <c r="P3583">
        <v>138</v>
      </c>
      <c r="Q3583">
        <v>17</v>
      </c>
      <c r="R3583" t="s">
        <v>21</v>
      </c>
      <c r="S3583" t="s">
        <v>21</v>
      </c>
    </row>
    <row r="3584" spans="1:19" hidden="1" x14ac:dyDescent="0.25">
      <c r="A3584">
        <v>21801072</v>
      </c>
      <c r="B3584" t="s">
        <v>18</v>
      </c>
      <c r="C3584" t="s">
        <v>36</v>
      </c>
      <c r="D3584">
        <v>114</v>
      </c>
      <c r="E3584">
        <v>110</v>
      </c>
      <c r="F3584">
        <v>4</v>
      </c>
      <c r="G3584">
        <v>5</v>
      </c>
      <c r="H3584" s="1">
        <v>1.25E-3</v>
      </c>
      <c r="I3584">
        <v>2018</v>
      </c>
      <c r="J3584" t="s">
        <v>48</v>
      </c>
      <c r="K3584" s="2" t="str">
        <f>HYPERLINK("https://www.nba.com/stats/events?CFID=&amp;CFPARAMS=&amp;GameEventID=692&amp;GameID=0021801072&amp;Season=2018-19&amp;flag=1&amp;title=Leonard%2014'%20Pullup%20Jump%20Shot%20(19%20PTS)", "Leonard 14' Pullup Jump Shot (19 PTS)")</f>
        <v>Leonard 14' Pullup Jump Shot (19 PTS)</v>
      </c>
      <c r="L3584" s="2" t="str">
        <f>HYPERLINK("https://www.nba.com/game/...-vs-...-0021801072/play-by-play?watchFullGame=true", "TOR vs OKC - Q5 01:48.00")</f>
        <v>TOR vs OKC - Q5 01:48.00</v>
      </c>
      <c r="M3584">
        <v>14</v>
      </c>
      <c r="N3584">
        <v>123</v>
      </c>
      <c r="O3584">
        <v>68</v>
      </c>
      <c r="P3584">
        <v>123</v>
      </c>
      <c r="Q3584">
        <v>68</v>
      </c>
      <c r="R3584" t="s">
        <v>21</v>
      </c>
      <c r="S3584" t="s">
        <v>21</v>
      </c>
    </row>
    <row r="3585" spans="1:19" hidden="1" x14ac:dyDescent="0.25">
      <c r="A3585">
        <v>21600016</v>
      </c>
      <c r="B3585" t="s">
        <v>18</v>
      </c>
      <c r="C3585" t="s">
        <v>37</v>
      </c>
      <c r="D3585">
        <v>98</v>
      </c>
      <c r="E3585">
        <v>89</v>
      </c>
      <c r="F3585">
        <v>9</v>
      </c>
      <c r="G3585">
        <v>4</v>
      </c>
      <c r="H3585" s="1">
        <v>1.3194444444444445E-3</v>
      </c>
      <c r="I3585">
        <v>2016</v>
      </c>
      <c r="J3585" t="s">
        <v>20</v>
      </c>
      <c r="K3585" s="2" t="str">
        <f>HYPERLINK("https://www.nba.com/stats/events?CFID=&amp;CFPARAMS=&amp;GameEventID=536&amp;GameID=0021600016&amp;Season=2016-17&amp;flag=1&amp;title=Leonard%2014'%20Fadeaway%20Jumper%20(28%20PTS)", "Leonard 14' Fadeaway Jumper (28 PTS)")</f>
        <v>Leonard 14' Fadeaway Jumper (28 PTS)</v>
      </c>
      <c r="L3585" s="2" t="str">
        <f>HYPERLINK("https://www.nba.com/game/...-vs-...-0021600016/play-by-play?watchFullGame=true", "SAS vs SAC - Q4 01:54.00")</f>
        <v>SAS vs SAC - Q4 01:54.00</v>
      </c>
      <c r="M3585">
        <v>14</v>
      </c>
      <c r="N3585">
        <v>140</v>
      </c>
      <c r="O3585">
        <v>7</v>
      </c>
      <c r="P3585">
        <v>140</v>
      </c>
      <c r="Q3585">
        <v>7</v>
      </c>
      <c r="R3585" t="s">
        <v>21</v>
      </c>
      <c r="S3585" t="s">
        <v>21</v>
      </c>
    </row>
    <row r="3586" spans="1:19" hidden="1" x14ac:dyDescent="0.25">
      <c r="A3586">
        <v>21800332</v>
      </c>
      <c r="B3586" t="s">
        <v>18</v>
      </c>
      <c r="C3586" t="s">
        <v>39</v>
      </c>
      <c r="D3586">
        <v>46</v>
      </c>
      <c r="E3586">
        <v>33</v>
      </c>
      <c r="F3586">
        <v>13</v>
      </c>
      <c r="G3586">
        <v>2</v>
      </c>
      <c r="H3586" s="1">
        <v>1.4814814814814814E-3</v>
      </c>
      <c r="I3586">
        <v>2018</v>
      </c>
      <c r="J3586" t="s">
        <v>48</v>
      </c>
      <c r="K3586" s="2" t="str">
        <f>HYPERLINK("https://www.nba.com/stats/events?CFID=&amp;CFPARAMS=&amp;GameEventID=279&amp;GameID=0021800332&amp;Season=2018-19&amp;flag=1&amp;title=Leonard%2014'%20Step%20Back%20Jump%20Shot%20(16%20PTS)", "Leonard 14' Step Back Jump Shot (16 PTS)")</f>
        <v>Leonard 14' Step Back Jump Shot (16 PTS)</v>
      </c>
      <c r="L3586" s="2" t="str">
        <f>HYPERLINK("https://www.nba.com/game/...-vs-...-0021800332/play-by-play?watchFullGame=true", "TOR vs CLE - Q2 02:08.00")</f>
        <v>TOR vs CLE - Q2 02:08.00</v>
      </c>
      <c r="M3586">
        <v>14</v>
      </c>
      <c r="N3586">
        <v>-9</v>
      </c>
      <c r="O3586">
        <v>137</v>
      </c>
      <c r="P3586">
        <v>-9</v>
      </c>
      <c r="Q3586">
        <v>137</v>
      </c>
      <c r="R3586" t="s">
        <v>21</v>
      </c>
      <c r="S3586" t="s">
        <v>21</v>
      </c>
    </row>
    <row r="3587" spans="1:19" hidden="1" x14ac:dyDescent="0.25">
      <c r="A3587">
        <v>21800216</v>
      </c>
      <c r="B3587" t="s">
        <v>18</v>
      </c>
      <c r="C3587" t="s">
        <v>37</v>
      </c>
      <c r="D3587">
        <v>23</v>
      </c>
      <c r="E3587">
        <v>26</v>
      </c>
      <c r="F3587">
        <v>3</v>
      </c>
      <c r="G3587">
        <v>1</v>
      </c>
      <c r="H3587" s="1">
        <v>1.7476851851851852E-3</v>
      </c>
      <c r="I3587">
        <v>2018</v>
      </c>
      <c r="J3587" t="s">
        <v>48</v>
      </c>
      <c r="K3587" s="2" t="str">
        <f>HYPERLINK("https://www.nba.com/stats/events?CFID=&amp;CFPARAMS=&amp;GameEventID=111&amp;GameID=0021800216&amp;Season=2018-19&amp;flag=1&amp;title=Leonard%2014'%20Fadeaway%20Jumper%20(8%20PTS)%20(VanVleet%201%20AST)", "Leonard 14' Fadeaway Jumper (8 PTS) (VanVleet 1 AST)")</f>
        <v>Leonard 14' Fadeaway Jumper (8 PTS) (VanVleet 1 AST)</v>
      </c>
      <c r="L3587" s="2" t="str">
        <f>HYPERLINK("https://www.nba.com/game/...-vs-...-0021800216/play-by-play?watchFullGame=true", "TOR vs BOS - Q1 02:31.00")</f>
        <v>TOR vs BOS - Q1 02:31.00</v>
      </c>
      <c r="M3587">
        <v>14</v>
      </c>
      <c r="N3587">
        <v>41</v>
      </c>
      <c r="O3587">
        <v>132</v>
      </c>
      <c r="P3587">
        <v>41</v>
      </c>
      <c r="Q3587">
        <v>132</v>
      </c>
      <c r="R3587" t="s">
        <v>21</v>
      </c>
      <c r="S3587" t="s">
        <v>21</v>
      </c>
    </row>
    <row r="3588" spans="1:19" hidden="1" x14ac:dyDescent="0.25">
      <c r="A3588">
        <v>21800248</v>
      </c>
      <c r="B3588" t="s">
        <v>18</v>
      </c>
      <c r="C3588" t="s">
        <v>19</v>
      </c>
      <c r="D3588">
        <v>89</v>
      </c>
      <c r="E3588">
        <v>85</v>
      </c>
      <c r="F3588">
        <v>4</v>
      </c>
      <c r="G3588">
        <v>4</v>
      </c>
      <c r="H3588" s="1">
        <v>1.8055555555555555E-3</v>
      </c>
      <c r="I3588">
        <v>2018</v>
      </c>
      <c r="J3588" t="s">
        <v>48</v>
      </c>
      <c r="K3588" s="2" t="str">
        <f>HYPERLINK("https://www.nba.com/stats/events?CFID=&amp;CFPARAMS=&amp;GameEventID=554&amp;GameID=0021800248&amp;Season=2018-19&amp;flag=1&amp;title=Leonard%2014'%20Jump%20Shot%20(18%20PTS)%20(Lowry%205%20AST)", "Leonard 14' Jump Shot (18 PTS) (Lowry 5 AST)")</f>
        <v>Leonard 14' Jump Shot (18 PTS) (Lowry 5 AST)</v>
      </c>
      <c r="L3588" s="2" t="str">
        <f>HYPERLINK("https://www.nba.com/game/...-vs-...-0021800248/play-by-play?watchFullGame=true", "TOR vs ORL - Q4 02:36.00")</f>
        <v>TOR vs ORL - Q4 02:36.00</v>
      </c>
      <c r="M3588">
        <v>14</v>
      </c>
      <c r="N3588">
        <v>106</v>
      </c>
      <c r="O3588">
        <v>87</v>
      </c>
      <c r="P3588">
        <v>106</v>
      </c>
      <c r="Q3588">
        <v>87</v>
      </c>
      <c r="R3588" t="s">
        <v>21</v>
      </c>
      <c r="S3588" t="s">
        <v>21</v>
      </c>
    </row>
    <row r="3589" spans="1:19" hidden="1" x14ac:dyDescent="0.25">
      <c r="A3589">
        <v>21500909</v>
      </c>
      <c r="B3589" t="s">
        <v>18</v>
      </c>
      <c r="C3589" t="s">
        <v>34</v>
      </c>
      <c r="D3589">
        <v>86</v>
      </c>
      <c r="E3589">
        <v>86</v>
      </c>
      <c r="F3589">
        <v>0</v>
      </c>
      <c r="G3589">
        <v>4</v>
      </c>
      <c r="H3589" s="1">
        <v>1.8749999999999999E-3</v>
      </c>
      <c r="I3589">
        <v>2015</v>
      </c>
      <c r="J3589" t="s">
        <v>20</v>
      </c>
      <c r="K3589" s="2" t="str">
        <f>HYPERLINK("https://www.nba.com/stats/events?CFID=&amp;CFPARAMS=&amp;GameEventID=447&amp;GameID=0021500909&amp;Season=2015-16&amp;flag=1&amp;title=Leonard%2014'%20Turnaround%20Jump%20Shot%20(27%20PTS)", "Leonard 14' Turnaround Jump Shot (27 PTS)")</f>
        <v>Leonard 14' Turnaround Jump Shot (27 PTS)</v>
      </c>
      <c r="L3589" s="2" t="str">
        <f>HYPERLINK("https://www.nba.com/game/...-vs-...-0021500909/play-by-play?watchFullGame=true", "SAS vs NOP - Q4 02:42.00")</f>
        <v>SAS vs NOP - Q4 02:42.00</v>
      </c>
      <c r="M3589">
        <v>14</v>
      </c>
      <c r="N3589">
        <v>137</v>
      </c>
      <c r="O3589">
        <v>11</v>
      </c>
      <c r="P3589">
        <v>137</v>
      </c>
      <c r="Q3589">
        <v>11</v>
      </c>
      <c r="R3589" t="s">
        <v>21</v>
      </c>
      <c r="S3589" t="s">
        <v>21</v>
      </c>
    </row>
    <row r="3590" spans="1:19" hidden="1" x14ac:dyDescent="0.25">
      <c r="A3590">
        <v>21800055</v>
      </c>
      <c r="B3590" t="s">
        <v>18</v>
      </c>
      <c r="C3590" t="s">
        <v>36</v>
      </c>
      <c r="D3590">
        <v>78</v>
      </c>
      <c r="E3590">
        <v>72</v>
      </c>
      <c r="F3590">
        <v>6</v>
      </c>
      <c r="G3590">
        <v>3</v>
      </c>
      <c r="H3590" s="1">
        <v>1.9444444444444444E-3</v>
      </c>
      <c r="I3590">
        <v>2018</v>
      </c>
      <c r="J3590" t="s">
        <v>48</v>
      </c>
      <c r="K3590" s="2" t="str">
        <f>HYPERLINK("https://www.nba.com/stats/events?CFID=&amp;CFPARAMS=&amp;GameEventID=451&amp;GameID=0021800055&amp;Season=2018-19&amp;flag=1&amp;title=Leonard%2014'%20Pullup%20Jump%20Shot%20(25%20PTS)", "Leonard 14' Pullup Jump Shot (25 PTS)")</f>
        <v>Leonard 14' Pullup Jump Shot (25 PTS)</v>
      </c>
      <c r="L3590" s="2" t="str">
        <f>HYPERLINK("https://www.nba.com/game/...-vs-...-0021800055/play-by-play?watchFullGame=true", "TOR vs MIN - Q3 02:48.00")</f>
        <v>TOR vs MIN - Q3 02:48.00</v>
      </c>
      <c r="M3590">
        <v>14</v>
      </c>
      <c r="N3590">
        <v>79</v>
      </c>
      <c r="O3590">
        <v>120</v>
      </c>
      <c r="P3590">
        <v>79</v>
      </c>
      <c r="Q3590">
        <v>120</v>
      </c>
      <c r="R3590" t="s">
        <v>21</v>
      </c>
      <c r="S3590" t="s">
        <v>21</v>
      </c>
    </row>
    <row r="3591" spans="1:19" hidden="1" x14ac:dyDescent="0.25">
      <c r="A3591">
        <v>41600151</v>
      </c>
      <c r="B3591" t="s">
        <v>18</v>
      </c>
      <c r="C3591" t="s">
        <v>37</v>
      </c>
      <c r="D3591">
        <v>15</v>
      </c>
      <c r="E3591">
        <v>26</v>
      </c>
      <c r="F3591">
        <v>11</v>
      </c>
      <c r="G3591">
        <v>1</v>
      </c>
      <c r="H3591" s="1">
        <v>2.0370370370370369E-3</v>
      </c>
      <c r="I3591" t="s">
        <v>58</v>
      </c>
      <c r="J3591" t="s">
        <v>20</v>
      </c>
      <c r="K3591" s="2" t="str">
        <f>HYPERLINK("https://www.nba.com/stats/events?CFID=&amp;CFPARAMS=&amp;GameEventID=62&amp;GameID=0041600151&amp;Season=2016-17&amp;flag=1&amp;title=Leonard%2014'%20Fadeaway%20Jumper%20(9%20PTS)", "Leonard 14' Fadeaway Jumper (9 PTS)")</f>
        <v>Leonard 14' Fadeaway Jumper (9 PTS)</v>
      </c>
      <c r="L3591" s="2" t="str">
        <f>HYPERLINK("https://www.nba.com/game/...-vs-...-0041600151/play-by-play?watchFullGame=true", "SAS vs MEM - Q1 02:56.00")</f>
        <v>SAS vs MEM - Q1 02:56.00</v>
      </c>
      <c r="M3591">
        <v>14</v>
      </c>
      <c r="N3591">
        <v>135</v>
      </c>
      <c r="O3591">
        <v>7</v>
      </c>
      <c r="P3591">
        <v>135</v>
      </c>
      <c r="Q3591">
        <v>7</v>
      </c>
      <c r="R3591" t="s">
        <v>21</v>
      </c>
      <c r="S3591" t="s">
        <v>21</v>
      </c>
    </row>
    <row r="3592" spans="1:19" hidden="1" x14ac:dyDescent="0.25">
      <c r="A3592">
        <v>21500013</v>
      </c>
      <c r="B3592" t="s">
        <v>18</v>
      </c>
      <c r="C3592" t="s">
        <v>34</v>
      </c>
      <c r="D3592">
        <v>47</v>
      </c>
      <c r="E3592">
        <v>43</v>
      </c>
      <c r="F3592">
        <v>4</v>
      </c>
      <c r="G3592">
        <v>2</v>
      </c>
      <c r="H3592" s="1">
        <v>2.0486111111111113E-3</v>
      </c>
      <c r="I3592">
        <v>2015</v>
      </c>
      <c r="J3592" t="s">
        <v>20</v>
      </c>
      <c r="K3592" s="2" t="str">
        <f>HYPERLINK("https://www.nba.com/stats/events?CFID=&amp;CFPARAMS=&amp;GameEventID=224&amp;GameID=0021500013&amp;Season=2015-16&amp;flag=1&amp;title=Leonard%2014'%20Turnaround%20Jump%20Shot%20(14%20PTS)%20(Green%202%20AST)", "Leonard 14' Turnaround Jump Shot (14 PTS) (Green 2 AST)")</f>
        <v>Leonard 14' Turnaround Jump Shot (14 PTS) (Green 2 AST)</v>
      </c>
      <c r="L3592" s="2" t="str">
        <f>HYPERLINK("https://www.nba.com/game/...-vs-...-0021500013/play-by-play?watchFullGame=true", "SAS vs OKC - Q2 02:57.00")</f>
        <v>SAS vs OKC - Q2 02:57.00</v>
      </c>
      <c r="M3592">
        <v>14</v>
      </c>
      <c r="N3592">
        <v>-133</v>
      </c>
      <c r="O3592">
        <v>46</v>
      </c>
      <c r="P3592">
        <v>-133</v>
      </c>
      <c r="Q3592">
        <v>46</v>
      </c>
      <c r="R3592" t="s">
        <v>21</v>
      </c>
      <c r="S3592" t="s">
        <v>21</v>
      </c>
    </row>
    <row r="3593" spans="1:19" hidden="1" x14ac:dyDescent="0.25">
      <c r="A3593">
        <v>21600639</v>
      </c>
      <c r="B3593" t="s">
        <v>18</v>
      </c>
      <c r="C3593" t="s">
        <v>36</v>
      </c>
      <c r="D3593">
        <v>49</v>
      </c>
      <c r="E3593">
        <v>43</v>
      </c>
      <c r="F3593">
        <v>6</v>
      </c>
      <c r="G3593">
        <v>2</v>
      </c>
      <c r="H3593" s="1">
        <v>2.0601851851851853E-3</v>
      </c>
      <c r="I3593">
        <v>2016</v>
      </c>
      <c r="J3593" t="s">
        <v>20</v>
      </c>
      <c r="K3593" s="2" t="str">
        <f>HYPERLINK("https://www.nba.com/stats/events?CFID=&amp;CFPARAMS=&amp;GameEventID=219&amp;GameID=0021600639&amp;Season=2016-17&amp;flag=1&amp;title=Leonard%2014'%20Pullup%20Jump%20Shot%20(13%20PTS)%20(Bertans%201%20AST)", "Leonard 14' Pullup Jump Shot (13 PTS) (Bertans 1 AST)")</f>
        <v>Leonard 14' Pullup Jump Shot (13 PTS) (Bertans 1 AST)</v>
      </c>
      <c r="L3593" s="2" t="str">
        <f>HYPERLINK("https://www.nba.com/game/...-vs-...-0021600639/play-by-play?watchFullGame=true", "SAS vs DEN - Q2 02:58.00")</f>
        <v>SAS vs DEN - Q2 02:58.00</v>
      </c>
      <c r="M3593">
        <v>14</v>
      </c>
      <c r="N3593">
        <v>-6</v>
      </c>
      <c r="O3593">
        <v>141</v>
      </c>
      <c r="P3593">
        <v>-6</v>
      </c>
      <c r="Q3593">
        <v>141</v>
      </c>
      <c r="R3593" t="s">
        <v>21</v>
      </c>
      <c r="S3593" t="s">
        <v>21</v>
      </c>
    </row>
    <row r="3594" spans="1:19" hidden="1" x14ac:dyDescent="0.25">
      <c r="A3594">
        <v>21501215</v>
      </c>
      <c r="B3594" t="s">
        <v>18</v>
      </c>
      <c r="C3594" t="s">
        <v>36</v>
      </c>
      <c r="D3594">
        <v>97</v>
      </c>
      <c r="E3594">
        <v>96</v>
      </c>
      <c r="F3594">
        <v>1</v>
      </c>
      <c r="G3594">
        <v>5</v>
      </c>
      <c r="H3594" s="1">
        <v>2.0833333333333333E-3</v>
      </c>
      <c r="I3594">
        <v>2015</v>
      </c>
      <c r="J3594" t="s">
        <v>20</v>
      </c>
      <c r="K3594" s="2" t="str">
        <f>HYPERLINK("https://www.nba.com/stats/events?CFID=&amp;CFPARAMS=&amp;GameEventID=534&amp;GameID=0021501215&amp;Season=2015-16&amp;flag=1&amp;title=Leonard%2014'%20Pullup%20Jump%20Shot%20(24%20PTS)", "Leonard 14' Pullup Jump Shot (24 PTS)")</f>
        <v>Leonard 14' Pullup Jump Shot (24 PTS)</v>
      </c>
      <c r="L3594" s="2" t="str">
        <f>HYPERLINK("https://www.nba.com/game/...-vs-...-0021501215/play-by-play?watchFullGame=true", "SAS vs OKC - Q5 03:00.00")</f>
        <v>SAS vs OKC - Q5 03:00.00</v>
      </c>
      <c r="M3594">
        <v>14</v>
      </c>
      <c r="N3594">
        <v>-74</v>
      </c>
      <c r="O3594">
        <v>121</v>
      </c>
      <c r="P3594">
        <v>-74</v>
      </c>
      <c r="Q3594">
        <v>121</v>
      </c>
      <c r="R3594" t="s">
        <v>21</v>
      </c>
      <c r="S3594" t="s">
        <v>21</v>
      </c>
    </row>
    <row r="3595" spans="1:19" hidden="1" x14ac:dyDescent="0.25">
      <c r="A3595">
        <v>41300402</v>
      </c>
      <c r="B3595" t="s">
        <v>18</v>
      </c>
      <c r="C3595" t="s">
        <v>19</v>
      </c>
      <c r="D3595">
        <v>22</v>
      </c>
      <c r="E3595">
        <v>15</v>
      </c>
      <c r="F3595">
        <v>7</v>
      </c>
      <c r="G3595">
        <v>1</v>
      </c>
      <c r="H3595" s="1">
        <v>2.2222222222222222E-3</v>
      </c>
      <c r="I3595" t="s">
        <v>55</v>
      </c>
      <c r="J3595" t="s">
        <v>20</v>
      </c>
      <c r="K3595" s="2" t="str">
        <f>HYPERLINK("https://www.nba.com/stats/events?CFID=&amp;CFPARAMS=&amp;GameEventID=77&amp;GameID=0041300402&amp;Season=2013-14&amp;flag=1&amp;title=Leonard%2014'%20Jump%20Shot%20(3%20PTS)%20(Parker%203%20AST)", "Leonard 14' Jump Shot (3 PTS) (Parker 3 AST)")</f>
        <v>Leonard 14' Jump Shot (3 PTS) (Parker 3 AST)</v>
      </c>
      <c r="L3595" s="2" t="str">
        <f>HYPERLINK("https://www.nba.com/game/...-vs-...-0041300402/play-by-play?watchFullGame=true", "SAS vs MIA - Q1 03:12.00")</f>
        <v>SAS vs MIA - Q1 03:12.00</v>
      </c>
      <c r="M3595">
        <v>14</v>
      </c>
      <c r="N3595">
        <v>138</v>
      </c>
      <c r="O3595">
        <v>3</v>
      </c>
      <c r="P3595">
        <v>138</v>
      </c>
      <c r="Q3595">
        <v>3</v>
      </c>
      <c r="R3595" t="s">
        <v>21</v>
      </c>
      <c r="S3595" t="s">
        <v>21</v>
      </c>
    </row>
    <row r="3596" spans="1:19" hidden="1" x14ac:dyDescent="0.25">
      <c r="A3596">
        <v>21501036</v>
      </c>
      <c r="B3596" t="s">
        <v>18</v>
      </c>
      <c r="C3596" t="s">
        <v>37</v>
      </c>
      <c r="D3596">
        <v>40</v>
      </c>
      <c r="E3596">
        <v>30</v>
      </c>
      <c r="F3596">
        <v>10</v>
      </c>
      <c r="G3596">
        <v>2</v>
      </c>
      <c r="H3596" s="1">
        <v>2.2685185185185187E-3</v>
      </c>
      <c r="I3596">
        <v>2015</v>
      </c>
      <c r="J3596" t="s">
        <v>20</v>
      </c>
      <c r="K3596" s="2" t="str">
        <f>HYPERLINK("https://www.nba.com/stats/events?CFID=&amp;CFPARAMS=&amp;GameEventID=215&amp;GameID=0021501036&amp;Season=2015-16&amp;flag=1&amp;title=Leonard%2014'%20Fadeaway%20Jumper%20(12%20PTS)", "Leonard 14' Fadeaway Jumper (12 PTS)")</f>
        <v>Leonard 14' Fadeaway Jumper (12 PTS)</v>
      </c>
      <c r="L3596" s="2" t="str">
        <f>HYPERLINK("https://www.nba.com/game/...-vs-...-0021501036/play-by-play?watchFullGame=true", "SAS vs GSW - Q2 03:16.00")</f>
        <v>SAS vs GSW - Q2 03:16.00</v>
      </c>
      <c r="M3596">
        <v>14</v>
      </c>
      <c r="N3596">
        <v>114</v>
      </c>
      <c r="O3596">
        <v>80</v>
      </c>
      <c r="P3596">
        <v>114</v>
      </c>
      <c r="Q3596">
        <v>80</v>
      </c>
      <c r="R3596" t="s">
        <v>21</v>
      </c>
      <c r="S3596" t="s">
        <v>21</v>
      </c>
    </row>
    <row r="3597" spans="1:19" hidden="1" x14ac:dyDescent="0.25">
      <c r="A3597">
        <v>41800214</v>
      </c>
      <c r="B3597" t="s">
        <v>18</v>
      </c>
      <c r="C3597" t="s">
        <v>36</v>
      </c>
      <c r="D3597">
        <v>68</v>
      </c>
      <c r="E3597">
        <v>68</v>
      </c>
      <c r="F3597">
        <v>0</v>
      </c>
      <c r="G3597">
        <v>3</v>
      </c>
      <c r="H3597" s="1">
        <v>2.5000000000000001E-3</v>
      </c>
      <c r="I3597" t="s">
        <v>60</v>
      </c>
      <c r="J3597" t="s">
        <v>48</v>
      </c>
      <c r="K3597" s="2" t="str">
        <f>HYPERLINK("https://www.nba.com/stats/events?CFID=&amp;CFPARAMS=&amp;GameEventID=432&amp;GameID=0041800214&amp;Season=2018-19&amp;flag=1&amp;title=Leonard%2014'%20Pullup%20Jump%20Shot%20(28%20PTS)", "Leonard 14' Pullup Jump Shot (28 PTS)")</f>
        <v>Leonard 14' Pullup Jump Shot (28 PTS)</v>
      </c>
      <c r="L3597" s="2" t="str">
        <f>HYPERLINK("https://www.nba.com/game/...-vs-...-0041800214/play-by-play?watchFullGame=true", "TOR vs PHI - Q3 03:36.00")</f>
        <v>TOR vs PHI - Q3 03:36.00</v>
      </c>
      <c r="M3597">
        <v>14</v>
      </c>
      <c r="N3597">
        <v>-138</v>
      </c>
      <c r="O3597">
        <v>29</v>
      </c>
      <c r="P3597">
        <v>-138</v>
      </c>
      <c r="Q3597">
        <v>29</v>
      </c>
      <c r="R3597" t="s">
        <v>21</v>
      </c>
      <c r="S3597" t="s">
        <v>21</v>
      </c>
    </row>
    <row r="3598" spans="1:19" hidden="1" x14ac:dyDescent="0.25">
      <c r="A3598">
        <v>21801180</v>
      </c>
      <c r="B3598" t="s">
        <v>18</v>
      </c>
      <c r="C3598" t="s">
        <v>37</v>
      </c>
      <c r="D3598">
        <v>28</v>
      </c>
      <c r="E3598">
        <v>22</v>
      </c>
      <c r="F3598">
        <v>6</v>
      </c>
      <c r="G3598">
        <v>1</v>
      </c>
      <c r="H3598" s="1">
        <v>2.638888888888889E-3</v>
      </c>
      <c r="I3598">
        <v>2018</v>
      </c>
      <c r="J3598" t="s">
        <v>48</v>
      </c>
      <c r="K3598" s="2" t="str">
        <f>HYPERLINK("https://www.nba.com/stats/events?CFID=&amp;CFPARAMS=&amp;GameEventID=117&amp;GameID=0021801180&amp;Season=2018-19&amp;flag=1&amp;title=Leonard%2014'%20Fadeaway%20Jumper%20(8%20PTS)", "Leonard 14' Fadeaway Jumper (8 PTS)")</f>
        <v>Leonard 14' Fadeaway Jumper (8 PTS)</v>
      </c>
      <c r="L3598" s="2" t="str">
        <f>HYPERLINK("https://www.nba.com/game/...-vs-...-0021801180/play-by-play?watchFullGame=true", "TOR vs CHA - Q1 03:48.00")</f>
        <v>TOR vs CHA - Q1 03:48.00</v>
      </c>
      <c r="M3598">
        <v>14</v>
      </c>
      <c r="N3598">
        <v>-135</v>
      </c>
      <c r="O3598">
        <v>-15</v>
      </c>
      <c r="P3598">
        <v>-135</v>
      </c>
      <c r="Q3598">
        <v>-15</v>
      </c>
      <c r="R3598" t="s">
        <v>21</v>
      </c>
      <c r="S3598" t="s">
        <v>21</v>
      </c>
    </row>
    <row r="3599" spans="1:19" hidden="1" x14ac:dyDescent="0.25">
      <c r="A3599">
        <v>41600152</v>
      </c>
      <c r="B3599" t="s">
        <v>18</v>
      </c>
      <c r="C3599" t="s">
        <v>38</v>
      </c>
      <c r="D3599">
        <v>24</v>
      </c>
      <c r="E3599">
        <v>14</v>
      </c>
      <c r="F3599">
        <v>10</v>
      </c>
      <c r="G3599">
        <v>1</v>
      </c>
      <c r="H3599" s="1">
        <v>2.7662037037037039E-3</v>
      </c>
      <c r="I3599" t="s">
        <v>58</v>
      </c>
      <c r="J3599" t="s">
        <v>20</v>
      </c>
      <c r="K3599" s="2" t="str">
        <f>HYPERLINK("https://www.nba.com/stats/events?CFID=&amp;CFPARAMS=&amp;GameEventID=90&amp;GameID=0041600152&amp;Season=2016-17&amp;flag=1&amp;title=Leonard%2014'%20Turnaround%20Fadeaway%20(10%20PTS)", "Leonard 14' Turnaround Fadeaway (10 PTS)")</f>
        <v>Leonard 14' Turnaround Fadeaway (10 PTS)</v>
      </c>
      <c r="L3599" s="2" t="str">
        <f>HYPERLINK("https://www.nba.com/game/...-vs-...-0041600152/play-by-play?watchFullGame=true", "SAS vs MEM - Q1 03:59.00")</f>
        <v>SAS vs MEM - Q1 03:59.00</v>
      </c>
      <c r="M3599">
        <v>14</v>
      </c>
      <c r="N3599">
        <v>-135</v>
      </c>
      <c r="O3599">
        <v>36</v>
      </c>
      <c r="P3599">
        <v>-135</v>
      </c>
      <c r="Q3599">
        <v>36</v>
      </c>
      <c r="R3599" t="s">
        <v>21</v>
      </c>
      <c r="S3599" t="s">
        <v>21</v>
      </c>
    </row>
    <row r="3600" spans="1:19" hidden="1" x14ac:dyDescent="0.25">
      <c r="A3600">
        <v>21600657</v>
      </c>
      <c r="B3600" t="s">
        <v>18</v>
      </c>
      <c r="C3600" t="s">
        <v>19</v>
      </c>
      <c r="D3600">
        <v>109</v>
      </c>
      <c r="E3600">
        <v>109</v>
      </c>
      <c r="F3600">
        <v>0</v>
      </c>
      <c r="G3600">
        <v>5</v>
      </c>
      <c r="H3600" s="1">
        <v>2.9513888888888888E-3</v>
      </c>
      <c r="I3600">
        <v>2016</v>
      </c>
      <c r="J3600" t="s">
        <v>20</v>
      </c>
      <c r="K3600" s="2" t="str">
        <f>HYPERLINK("https://www.nba.com/stats/events?CFID=&amp;CFPARAMS=&amp;GameEventID=513&amp;GameID=0021600657&amp;Season=2016-17&amp;flag=1&amp;title=Leonard%2014'%20Jump%20Shot%20(37%20PTS)%20(Ginobili%202%20AST)", "Leonard 14' Jump Shot (37 PTS) (Ginobili 2 AST)")</f>
        <v>Leonard 14' Jump Shot (37 PTS) (Ginobili 2 AST)</v>
      </c>
      <c r="L3600" s="2" t="str">
        <f>HYPERLINK("https://www.nba.com/game/...-vs-...-0021600657/play-by-play?watchFullGame=true", "SAS vs CLE - Q5 04:15.00")</f>
        <v>SAS vs CLE - Q5 04:15.00</v>
      </c>
      <c r="M3600">
        <v>14</v>
      </c>
      <c r="N3600">
        <v>-83</v>
      </c>
      <c r="O3600">
        <v>115</v>
      </c>
      <c r="P3600">
        <v>-83</v>
      </c>
      <c r="Q3600">
        <v>115</v>
      </c>
      <c r="R3600" t="s">
        <v>21</v>
      </c>
      <c r="S3600" t="s">
        <v>21</v>
      </c>
    </row>
    <row r="3601" spans="1:19" hidden="1" x14ac:dyDescent="0.25">
      <c r="A3601">
        <v>21500790</v>
      </c>
      <c r="B3601" t="s">
        <v>18</v>
      </c>
      <c r="C3601" t="s">
        <v>34</v>
      </c>
      <c r="D3601">
        <v>14</v>
      </c>
      <c r="E3601">
        <v>15</v>
      </c>
      <c r="F3601">
        <v>1</v>
      </c>
      <c r="G3601">
        <v>1</v>
      </c>
      <c r="H3601" s="1">
        <v>2.9629629629629628E-3</v>
      </c>
      <c r="I3601">
        <v>2015</v>
      </c>
      <c r="J3601" t="s">
        <v>20</v>
      </c>
      <c r="K3601" s="2" t="str">
        <f>HYPERLINK("https://www.nba.com/stats/events?CFID=&amp;CFPARAMS=&amp;GameEventID=70&amp;GameID=0021500790&amp;Season=2015-16&amp;flag=1&amp;title=Leonard%2014'%20Turnaround%20Jump%20Shot%20(6%20PTS)", "Leonard 14' Turnaround Jump Shot (6 PTS)")</f>
        <v>Leonard 14' Turnaround Jump Shot (6 PTS)</v>
      </c>
      <c r="L3601" s="2" t="str">
        <f>HYPERLINK("https://www.nba.com/game/...-vs-...-0021500790/play-by-play?watchFullGame=true", "SAS vs ORL - Q1 04:16.00")</f>
        <v>SAS vs ORL - Q1 04:16.00</v>
      </c>
      <c r="M3601">
        <v>14</v>
      </c>
      <c r="N3601">
        <v>-135</v>
      </c>
      <c r="O3601">
        <v>38</v>
      </c>
      <c r="P3601">
        <v>-135</v>
      </c>
      <c r="Q3601">
        <v>38</v>
      </c>
      <c r="R3601" t="s">
        <v>21</v>
      </c>
      <c r="S3601" t="s">
        <v>21</v>
      </c>
    </row>
    <row r="3602" spans="1:19" hidden="1" x14ac:dyDescent="0.25">
      <c r="A3602">
        <v>21300363</v>
      </c>
      <c r="B3602" t="s">
        <v>18</v>
      </c>
      <c r="C3602" t="s">
        <v>34</v>
      </c>
      <c r="D3602">
        <v>84</v>
      </c>
      <c r="E3602">
        <v>92</v>
      </c>
      <c r="F3602">
        <v>8</v>
      </c>
      <c r="G3602">
        <v>4</v>
      </c>
      <c r="H3602" s="1">
        <v>3.1597222222222222E-3</v>
      </c>
      <c r="I3602">
        <v>2013</v>
      </c>
      <c r="J3602" t="s">
        <v>20</v>
      </c>
      <c r="K3602" s="2" t="str">
        <f>HYPERLINK("https://www.nba.com/stats/events?CFID=&amp;CFPARAMS=&amp;GameEventID=478&amp;GameID=0021300363&amp;Season=2013-14&amp;flag=1&amp;title=Leonard%2014'%20Turnaround%20Jump%20Shot%20(12%20PTS)", "Leonard 14' Turnaround Jump Shot (12 PTS)")</f>
        <v>Leonard 14' Turnaround Jump Shot (12 PTS)</v>
      </c>
      <c r="L3602" s="2" t="str">
        <f>HYPERLINK("https://www.nba.com/game/...-vs-...-0021300363/play-by-play?watchFullGame=true", "SAS vs LAC - Q4 04:33.00")</f>
        <v>SAS vs LAC - Q4 04:33.00</v>
      </c>
      <c r="M3602">
        <v>14</v>
      </c>
      <c r="N3602">
        <v>-139</v>
      </c>
      <c r="O3602">
        <v>-2</v>
      </c>
      <c r="P3602">
        <v>-139</v>
      </c>
      <c r="Q3602">
        <v>-2</v>
      </c>
      <c r="R3602" t="s">
        <v>21</v>
      </c>
      <c r="S3602" t="s">
        <v>21</v>
      </c>
    </row>
    <row r="3603" spans="1:19" hidden="1" x14ac:dyDescent="0.25">
      <c r="A3603">
        <v>21600917</v>
      </c>
      <c r="B3603" t="s">
        <v>18</v>
      </c>
      <c r="C3603" t="s">
        <v>59</v>
      </c>
      <c r="D3603">
        <v>16</v>
      </c>
      <c r="E3603">
        <v>20</v>
      </c>
      <c r="F3603">
        <v>4</v>
      </c>
      <c r="G3603">
        <v>1</v>
      </c>
      <c r="H3603" s="1">
        <v>3.1597222222222222E-3</v>
      </c>
      <c r="I3603">
        <v>2016</v>
      </c>
      <c r="J3603" t="s">
        <v>20</v>
      </c>
      <c r="K3603" s="2" t="str">
        <f>HYPERLINK("https://www.nba.com/stats/events?CFID=&amp;CFPARAMS=&amp;GameEventID=79&amp;GameID=0021600917&amp;Season=2016-17&amp;flag=1&amp;title=Leonard%2014'%20Floating%20Jump%20Shot%20(8%20PTS)%20(Ginobili%201%20AST)", "Leonard 14' Floating Jump Shot (8 PTS) (Ginobili 1 AST)")</f>
        <v>Leonard 14' Floating Jump Shot (8 PTS) (Ginobili 1 AST)</v>
      </c>
      <c r="L3603" s="2" t="str">
        <f>HYPERLINK("https://www.nba.com/game/...-vs-...-0021600917/play-by-play?watchFullGame=true", "SAS vs NOP - Q1 04:33.00")</f>
        <v>SAS vs NOP - Q1 04:33.00</v>
      </c>
      <c r="M3603">
        <v>14</v>
      </c>
      <c r="N3603">
        <v>-102</v>
      </c>
      <c r="O3603">
        <v>101</v>
      </c>
      <c r="P3603">
        <v>-102</v>
      </c>
      <c r="Q3603">
        <v>101</v>
      </c>
      <c r="R3603" t="s">
        <v>21</v>
      </c>
      <c r="S3603" t="s">
        <v>21</v>
      </c>
    </row>
    <row r="3604" spans="1:19" hidden="1" x14ac:dyDescent="0.25">
      <c r="A3604">
        <v>21600902</v>
      </c>
      <c r="B3604" t="s">
        <v>18</v>
      </c>
      <c r="C3604" t="s">
        <v>19</v>
      </c>
      <c r="D3604">
        <v>93</v>
      </c>
      <c r="E3604">
        <v>91</v>
      </c>
      <c r="F3604">
        <v>2</v>
      </c>
      <c r="G3604">
        <v>4</v>
      </c>
      <c r="H3604" s="1">
        <v>3.2175925925925926E-3</v>
      </c>
      <c r="I3604">
        <v>2016</v>
      </c>
      <c r="J3604" t="s">
        <v>20</v>
      </c>
      <c r="K3604" s="2" t="str">
        <f>HYPERLINK("https://www.nba.com/stats/events?CFID=&amp;CFPARAMS=&amp;GameEventID=473&amp;GameID=0021600902&amp;Season=2016-17&amp;flag=1&amp;title=Leonard%2014'%20Jump%20Shot%20(24%20PTS)", "Leonard 14' Jump Shot (24 PTS)")</f>
        <v>Leonard 14' Jump Shot (24 PTS)</v>
      </c>
      <c r="L3604" s="2" t="str">
        <f>HYPERLINK("https://www.nba.com/game/...-vs-...-0021600902/play-by-play?watchFullGame=true", "SAS vs IND - Q4 04:38.00")</f>
        <v>SAS vs IND - Q4 04:38.00</v>
      </c>
      <c r="M3604">
        <v>14</v>
      </c>
      <c r="N3604">
        <v>140</v>
      </c>
      <c r="O3604">
        <v>-15</v>
      </c>
      <c r="P3604">
        <v>140</v>
      </c>
      <c r="Q3604">
        <v>-15</v>
      </c>
      <c r="R3604" t="s">
        <v>21</v>
      </c>
      <c r="S3604" t="s">
        <v>21</v>
      </c>
    </row>
    <row r="3605" spans="1:19" hidden="1" x14ac:dyDescent="0.25">
      <c r="A3605">
        <v>21800549</v>
      </c>
      <c r="B3605" t="s">
        <v>18</v>
      </c>
      <c r="C3605" t="s">
        <v>36</v>
      </c>
      <c r="D3605">
        <v>17</v>
      </c>
      <c r="E3605">
        <v>12</v>
      </c>
      <c r="F3605">
        <v>5</v>
      </c>
      <c r="G3605">
        <v>1</v>
      </c>
      <c r="H3605" s="1">
        <v>3.2291666666666666E-3</v>
      </c>
      <c r="I3605">
        <v>2018</v>
      </c>
      <c r="J3605" t="s">
        <v>48</v>
      </c>
      <c r="K3605" s="2" t="str">
        <f>HYPERLINK("https://www.nba.com/stats/events?CFID=&amp;CFPARAMS=&amp;GameEventID=85&amp;GameID=0021800549&amp;Season=2018-19&amp;flag=1&amp;title=Leonard%2014'%20Pullup%20Jump%20Shot%20(6%20PTS)%20(Anunoby%201%20AST)", "Leonard 14' Pullup Jump Shot (6 PTS) (Anunoby 1 AST)")</f>
        <v>Leonard 14' Pullup Jump Shot (6 PTS) (Anunoby 1 AST)</v>
      </c>
      <c r="L3605" s="2" t="str">
        <f>HYPERLINK("https://www.nba.com/game/...-vs-...-0021800549/play-by-play?watchFullGame=true", "TOR vs UTA - Q1 04:39.00")</f>
        <v>TOR vs UTA - Q1 04:39.00</v>
      </c>
      <c r="M3605">
        <v>14</v>
      </c>
      <c r="N3605">
        <v>130</v>
      </c>
      <c r="O3605">
        <v>47</v>
      </c>
      <c r="P3605">
        <v>130</v>
      </c>
      <c r="Q3605">
        <v>47</v>
      </c>
      <c r="R3605" t="s">
        <v>21</v>
      </c>
      <c r="S3605" t="s">
        <v>21</v>
      </c>
    </row>
    <row r="3606" spans="1:19" hidden="1" x14ac:dyDescent="0.25">
      <c r="A3606">
        <v>21600206</v>
      </c>
      <c r="B3606" t="s">
        <v>18</v>
      </c>
      <c r="C3606" t="s">
        <v>38</v>
      </c>
      <c r="D3606">
        <v>40</v>
      </c>
      <c r="E3606">
        <v>37</v>
      </c>
      <c r="F3606">
        <v>3</v>
      </c>
      <c r="G3606">
        <v>2</v>
      </c>
      <c r="H3606" s="1">
        <v>3.2986111111111111E-3</v>
      </c>
      <c r="I3606">
        <v>2016</v>
      </c>
      <c r="J3606" t="s">
        <v>20</v>
      </c>
      <c r="K3606" s="2" t="str">
        <f>HYPERLINK("https://www.nba.com/stats/events?CFID=&amp;CFPARAMS=&amp;GameEventID=179&amp;GameID=0021600206&amp;Season=2016-17&amp;flag=1&amp;title=Leonard%2014'%20Turnaround%20Fadeaway%20(15%20PTS)", "Leonard 14' Turnaround Fadeaway (15 PTS)")</f>
        <v>Leonard 14' Turnaround Fadeaway (15 PTS)</v>
      </c>
      <c r="L3606" s="2" t="str">
        <f>HYPERLINK("https://www.nba.com/game/...-vs-...-0021600206/play-by-play?watchFullGame=true", "SAS vs DAL - Q2 04:45.00")</f>
        <v>SAS vs DAL - Q2 04:45.00</v>
      </c>
      <c r="M3606">
        <v>14</v>
      </c>
      <c r="N3606">
        <v>-127</v>
      </c>
      <c r="O3606">
        <v>57</v>
      </c>
      <c r="P3606">
        <v>-127</v>
      </c>
      <c r="Q3606">
        <v>57</v>
      </c>
      <c r="R3606" t="s">
        <v>21</v>
      </c>
      <c r="S3606" t="s">
        <v>21</v>
      </c>
    </row>
    <row r="3607" spans="1:19" hidden="1" x14ac:dyDescent="0.25">
      <c r="A3607">
        <v>21400241</v>
      </c>
      <c r="B3607" t="s">
        <v>18</v>
      </c>
      <c r="C3607" t="s">
        <v>19</v>
      </c>
      <c r="D3607">
        <v>34</v>
      </c>
      <c r="E3607">
        <v>38</v>
      </c>
      <c r="F3607">
        <v>4</v>
      </c>
      <c r="G3607">
        <v>2</v>
      </c>
      <c r="H3607" s="1">
        <v>3.3796296296296296E-3</v>
      </c>
      <c r="I3607">
        <v>2014</v>
      </c>
      <c r="J3607" t="s">
        <v>20</v>
      </c>
      <c r="K3607" s="2" t="str">
        <f>HYPERLINK("https://www.nba.com/stats/events?CFID=&amp;CFPARAMS=&amp;GameEventID=173&amp;GameID=0021400241&amp;Season=2014-15&amp;flag=1&amp;title=Leonard%2014'%20Jump%20Shot%20(5%20PTS)%20(Diaw%203%20AST)", "Leonard 14' Jump Shot (5 PTS) (Diaw 3 AST)")</f>
        <v>Leonard 14' Jump Shot (5 PTS) (Diaw 3 AST)</v>
      </c>
      <c r="L3607" s="2" t="str">
        <f>HYPERLINK("https://www.nba.com/game/...-vs-...-0021400241/play-by-play?watchFullGame=true", "SAS vs BOS - Q2 04:52.00")</f>
        <v>SAS vs BOS - Q2 04:52.00</v>
      </c>
      <c r="M3607">
        <v>14</v>
      </c>
      <c r="N3607">
        <v>-120</v>
      </c>
      <c r="O3607">
        <v>77</v>
      </c>
      <c r="P3607">
        <v>-120</v>
      </c>
      <c r="Q3607">
        <v>77</v>
      </c>
      <c r="R3607" t="s">
        <v>21</v>
      </c>
      <c r="S3607" t="s">
        <v>21</v>
      </c>
    </row>
    <row r="3608" spans="1:19" hidden="1" x14ac:dyDescent="0.25">
      <c r="A3608">
        <v>21801044</v>
      </c>
      <c r="B3608" t="s">
        <v>18</v>
      </c>
      <c r="C3608" t="s">
        <v>19</v>
      </c>
      <c r="D3608">
        <v>65</v>
      </c>
      <c r="E3608">
        <v>63</v>
      </c>
      <c r="F3608">
        <v>2</v>
      </c>
      <c r="G3608">
        <v>3</v>
      </c>
      <c r="H3608" s="1">
        <v>3.4375E-3</v>
      </c>
      <c r="I3608">
        <v>2018</v>
      </c>
      <c r="J3608" t="s">
        <v>48</v>
      </c>
      <c r="K3608" s="2" t="str">
        <f>HYPERLINK("https://www.nba.com/stats/events?CFID=&amp;CFPARAMS=&amp;GameEventID=361&amp;GameID=0021801044&amp;Season=2018-19&amp;flag=1&amp;title=Leonard%2014'%20Jump%20Shot%20(24%20PTS)", "Leonard 14' Jump Shot (24 PTS)")</f>
        <v>Leonard 14' Jump Shot (24 PTS)</v>
      </c>
      <c r="L3608" s="2" t="str">
        <f>HYPERLINK("https://www.nba.com/game/...-vs-...-0021801044/play-by-play?watchFullGame=true", "TOR vs DET - Q3 04:57.00")</f>
        <v>TOR vs DET - Q3 04:57.00</v>
      </c>
      <c r="M3608">
        <v>14</v>
      </c>
      <c r="N3608">
        <v>49</v>
      </c>
      <c r="O3608">
        <v>131</v>
      </c>
      <c r="P3608">
        <v>49</v>
      </c>
      <c r="Q3608">
        <v>131</v>
      </c>
      <c r="R3608" t="s">
        <v>21</v>
      </c>
      <c r="S3608" t="s">
        <v>21</v>
      </c>
    </row>
    <row r="3609" spans="1:19" hidden="1" x14ac:dyDescent="0.25">
      <c r="A3609">
        <v>41400163</v>
      </c>
      <c r="B3609" t="s">
        <v>18</v>
      </c>
      <c r="C3609" t="s">
        <v>34</v>
      </c>
      <c r="D3609">
        <v>61</v>
      </c>
      <c r="E3609">
        <v>45</v>
      </c>
      <c r="F3609">
        <v>16</v>
      </c>
      <c r="G3609">
        <v>3</v>
      </c>
      <c r="H3609" s="1">
        <v>3.449074074074074E-3</v>
      </c>
      <c r="I3609" t="s">
        <v>56</v>
      </c>
      <c r="J3609" t="s">
        <v>20</v>
      </c>
      <c r="K3609" s="2" t="str">
        <f>HYPERLINK("https://www.nba.com/stats/events?CFID=&amp;CFPARAMS=&amp;GameEventID=296&amp;GameID=0041400163&amp;Season=2014-15&amp;flag=1&amp;title=Leonard%2014'%20Turnaround%20Jump%20Shot%20(29%20PTS)%20(Ginobili%202%20AST)", "Leonard 14' Turnaround Jump Shot (29 PTS) (Ginobili 2 AST)")</f>
        <v>Leonard 14' Turnaround Jump Shot (29 PTS) (Ginobili 2 AST)</v>
      </c>
      <c r="L3609" s="2" t="str">
        <f>HYPERLINK("https://www.nba.com/game/...-vs-...-0041400163/play-by-play?watchFullGame=true", "SAS vs LAC - Q3 04:58.00")</f>
        <v>SAS vs LAC - Q3 04:58.00</v>
      </c>
      <c r="M3609">
        <v>14</v>
      </c>
      <c r="N3609">
        <v>34</v>
      </c>
      <c r="O3609">
        <v>137</v>
      </c>
      <c r="P3609">
        <v>34</v>
      </c>
      <c r="Q3609">
        <v>137</v>
      </c>
      <c r="R3609" t="s">
        <v>21</v>
      </c>
      <c r="S3609" t="s">
        <v>21</v>
      </c>
    </row>
    <row r="3610" spans="1:19" hidden="1" x14ac:dyDescent="0.25">
      <c r="A3610">
        <v>21500516</v>
      </c>
      <c r="B3610" t="s">
        <v>18</v>
      </c>
      <c r="C3610" t="s">
        <v>36</v>
      </c>
      <c r="D3610">
        <v>11</v>
      </c>
      <c r="E3610">
        <v>17</v>
      </c>
      <c r="F3610">
        <v>6</v>
      </c>
      <c r="G3610">
        <v>1</v>
      </c>
      <c r="H3610" s="1">
        <v>3.8541666666666668E-3</v>
      </c>
      <c r="I3610">
        <v>2015</v>
      </c>
      <c r="J3610" t="s">
        <v>20</v>
      </c>
      <c r="K3610" s="2" t="str">
        <f>HYPERLINK("https://www.nba.com/stats/events?CFID=&amp;CFPARAMS=&amp;GameEventID=61&amp;GameID=0021500516&amp;Season=2015-16&amp;flag=1&amp;title=Leonard%2014'%20Pullup%20Jump%20Shot%20(7%20PTS)%20(Mills%201%20AST)", "Leonard 14' Pullup Jump Shot (7 PTS) (Mills 1 AST)")</f>
        <v>Leonard 14' Pullup Jump Shot (7 PTS) (Mills 1 AST)</v>
      </c>
      <c r="L3610" s="2" t="str">
        <f>HYPERLINK("https://www.nba.com/game/...-vs-...-0021500516/play-by-play?watchFullGame=true", "SAS vs MIL - Q1 05:33.00")</f>
        <v>SAS vs MIL - Q1 05:33.00</v>
      </c>
      <c r="M3610">
        <v>14</v>
      </c>
      <c r="N3610">
        <v>-117</v>
      </c>
      <c r="O3610">
        <v>82</v>
      </c>
      <c r="P3610">
        <v>-117</v>
      </c>
      <c r="Q3610">
        <v>82</v>
      </c>
      <c r="R3610" t="s">
        <v>21</v>
      </c>
      <c r="S3610" t="s">
        <v>21</v>
      </c>
    </row>
    <row r="3611" spans="1:19" hidden="1" x14ac:dyDescent="0.25">
      <c r="A3611">
        <v>21300559</v>
      </c>
      <c r="B3611" t="s">
        <v>18</v>
      </c>
      <c r="C3611" t="s">
        <v>38</v>
      </c>
      <c r="D3611">
        <v>37</v>
      </c>
      <c r="E3611">
        <v>45</v>
      </c>
      <c r="F3611">
        <v>8</v>
      </c>
      <c r="G3611">
        <v>2</v>
      </c>
      <c r="H3611" s="1">
        <v>3.8888888888888888E-3</v>
      </c>
      <c r="I3611">
        <v>2013</v>
      </c>
      <c r="J3611" t="s">
        <v>20</v>
      </c>
      <c r="K3611" s="2" t="str">
        <f>HYPERLINK("https://www.nba.com/stats/events?CFID=&amp;CFPARAMS=&amp;GameEventID=221&amp;GameID=0021300559&amp;Season=2013-14&amp;flag=1&amp;title=Leonard%2014'%20Turnaround%20Fadeaway%20(6%20PTS)", "Leonard 14' Turnaround Fadeaway (6 PTS)")</f>
        <v>Leonard 14' Turnaround Fadeaway (6 PTS)</v>
      </c>
      <c r="L3611" s="2" t="str">
        <f>HYPERLINK("https://www.nba.com/game/...-vs-...-0021300559/play-by-play?watchFullGame=true", "SAS vs NOP - Q2 05:36.00")</f>
        <v>SAS vs NOP - Q2 05:36.00</v>
      </c>
      <c r="M3611">
        <v>14</v>
      </c>
      <c r="N3611">
        <v>-142</v>
      </c>
      <c r="O3611">
        <v>-2</v>
      </c>
      <c r="P3611">
        <v>-142</v>
      </c>
      <c r="Q3611">
        <v>-2</v>
      </c>
      <c r="R3611" t="s">
        <v>21</v>
      </c>
      <c r="S3611" t="s">
        <v>21</v>
      </c>
    </row>
    <row r="3612" spans="1:19" hidden="1" x14ac:dyDescent="0.25">
      <c r="A3612">
        <v>41300316</v>
      </c>
      <c r="B3612" t="s">
        <v>18</v>
      </c>
      <c r="C3612" t="s">
        <v>36</v>
      </c>
      <c r="D3612">
        <v>60</v>
      </c>
      <c r="E3612">
        <v>58</v>
      </c>
      <c r="F3612">
        <v>2</v>
      </c>
      <c r="G3612">
        <v>3</v>
      </c>
      <c r="H3612" s="1">
        <v>3.9930555555555552E-3</v>
      </c>
      <c r="I3612" t="s">
        <v>55</v>
      </c>
      <c r="J3612" t="s">
        <v>20</v>
      </c>
      <c r="K3612" s="2" t="str">
        <f>HYPERLINK("https://www.nba.com/stats/events?CFID=&amp;CFPARAMS=&amp;GameEventID=299&amp;GameID=0041300316&amp;Season=2013-14&amp;flag=1&amp;title=Leonard%2014'%20Pullup%20Jump%20Shot%20(17%20PTS)", "Leonard 14' Pullup Jump Shot (17 PTS)")</f>
        <v>Leonard 14' Pullup Jump Shot (17 PTS)</v>
      </c>
      <c r="L3612" s="2" t="str">
        <f>HYPERLINK("https://www.nba.com/game/...-vs-...-0041300316/play-by-play?watchFullGame=true", "SAS vs OKC - Q3 05:45.00")</f>
        <v>SAS vs OKC - Q3 05:45.00</v>
      </c>
      <c r="M3612">
        <v>14</v>
      </c>
      <c r="N3612">
        <v>2</v>
      </c>
      <c r="O3612">
        <v>143</v>
      </c>
      <c r="P3612">
        <v>2</v>
      </c>
      <c r="Q3612">
        <v>143</v>
      </c>
      <c r="R3612" t="s">
        <v>21</v>
      </c>
      <c r="S3612" t="s">
        <v>21</v>
      </c>
    </row>
    <row r="3613" spans="1:19" hidden="1" x14ac:dyDescent="0.25">
      <c r="A3613">
        <v>41600235</v>
      </c>
      <c r="B3613" t="s">
        <v>18</v>
      </c>
      <c r="C3613" t="s">
        <v>36</v>
      </c>
      <c r="D3613">
        <v>45</v>
      </c>
      <c r="E3613">
        <v>44</v>
      </c>
      <c r="F3613">
        <v>1</v>
      </c>
      <c r="G3613">
        <v>2</v>
      </c>
      <c r="H3613" s="1">
        <v>4.0046296296296297E-3</v>
      </c>
      <c r="I3613" t="s">
        <v>58</v>
      </c>
      <c r="J3613" t="s">
        <v>20</v>
      </c>
      <c r="K3613" s="2" t="str">
        <f>HYPERLINK("https://www.nba.com/stats/events?CFID=&amp;CFPARAMS=&amp;GameEventID=187&amp;GameID=0041600235&amp;Season=2016-17&amp;flag=1&amp;title=Leonard%2014'%20Pullup%20Jump%20Shot%20(10%20PTS)", "Leonard 14' Pullup Jump Shot (10 PTS)")</f>
        <v>Leonard 14' Pullup Jump Shot (10 PTS)</v>
      </c>
      <c r="L3613" s="2" t="str">
        <f>HYPERLINK("https://www.nba.com/game/...-vs-...-0041600235/play-by-play?watchFullGame=true", "SAS vs HOU - Q2 05:46.00")</f>
        <v>SAS vs HOU - Q2 05:46.00</v>
      </c>
      <c r="M3613">
        <v>14</v>
      </c>
      <c r="N3613">
        <v>86</v>
      </c>
      <c r="O3613">
        <v>105</v>
      </c>
      <c r="P3613">
        <v>86</v>
      </c>
      <c r="Q3613">
        <v>105</v>
      </c>
      <c r="R3613" t="s">
        <v>21</v>
      </c>
      <c r="S3613" t="s">
        <v>21</v>
      </c>
    </row>
    <row r="3614" spans="1:19" hidden="1" x14ac:dyDescent="0.25">
      <c r="A3614">
        <v>21700530</v>
      </c>
      <c r="B3614" t="s">
        <v>18</v>
      </c>
      <c r="C3614" t="s">
        <v>19</v>
      </c>
      <c r="D3614">
        <v>65</v>
      </c>
      <c r="E3614">
        <v>80</v>
      </c>
      <c r="F3614">
        <v>15</v>
      </c>
      <c r="G3614">
        <v>4</v>
      </c>
      <c r="H3614" s="1">
        <v>4.1435185185185186E-3</v>
      </c>
      <c r="I3614">
        <v>2017</v>
      </c>
      <c r="J3614" t="s">
        <v>20</v>
      </c>
      <c r="K3614" s="2" t="str">
        <f>HYPERLINK("https://www.nba.com/stats/events?CFID=&amp;CFPARAMS=&amp;GameEventID=510&amp;GameID=0021700530&amp;Season=2017-18&amp;flag=1&amp;title=Leonard%2014'%20Jump%20Shot%20(16%20PTS)", "Leonard 14' Jump Shot (16 PTS)")</f>
        <v>Leonard 14' Jump Shot (16 PTS)</v>
      </c>
      <c r="L3614" s="2" t="str">
        <f>HYPERLINK("https://www.nba.com/game/...-vs-...-0021700530/play-by-play?watchFullGame=true", "SAS vs DET - Q4 05:58.00")</f>
        <v>SAS vs DET - Q4 05:58.00</v>
      </c>
      <c r="M3614">
        <v>14</v>
      </c>
      <c r="N3614">
        <v>131</v>
      </c>
      <c r="O3614">
        <v>56</v>
      </c>
      <c r="P3614">
        <v>131</v>
      </c>
      <c r="Q3614">
        <v>56</v>
      </c>
      <c r="R3614" t="s">
        <v>21</v>
      </c>
      <c r="S3614" t="s">
        <v>21</v>
      </c>
    </row>
    <row r="3615" spans="1:19" hidden="1" x14ac:dyDescent="0.25">
      <c r="A3615">
        <v>41800403</v>
      </c>
      <c r="B3615" t="s">
        <v>18</v>
      </c>
      <c r="C3615" t="s">
        <v>36</v>
      </c>
      <c r="D3615">
        <v>109</v>
      </c>
      <c r="E3615">
        <v>94</v>
      </c>
      <c r="F3615">
        <v>15</v>
      </c>
      <c r="G3615">
        <v>4</v>
      </c>
      <c r="H3615" s="1">
        <v>4.2939814814814811E-3</v>
      </c>
      <c r="I3615" t="s">
        <v>60</v>
      </c>
      <c r="J3615" t="s">
        <v>48</v>
      </c>
      <c r="K3615" s="2" t="str">
        <f>HYPERLINK("https://www.nba.com/stats/events?CFID=&amp;CFPARAMS=&amp;GameEventID=590&amp;GameID=0041800403&amp;Season=2018-19&amp;flag=1&amp;title=Leonard%2014'%20Pullup%20Jump%20Shot%20(26%20PTS)%20(Lowry%206%20AST)", "Leonard 14' Pullup Jump Shot (26 PTS) (Lowry 6 AST)")</f>
        <v>Leonard 14' Pullup Jump Shot (26 PTS) (Lowry 6 AST)</v>
      </c>
      <c r="L3615" s="2" t="str">
        <f>HYPERLINK("https://www.nba.com/game/...-vs-...-0041800403/play-by-play?watchFullGame=true", "TOR vs GSW - Q4 06:11.00")</f>
        <v>TOR vs GSW - Q4 06:11.00</v>
      </c>
      <c r="M3615">
        <v>14</v>
      </c>
      <c r="N3615">
        <v>106</v>
      </c>
      <c r="O3615">
        <v>92</v>
      </c>
      <c r="P3615">
        <v>106</v>
      </c>
      <c r="Q3615">
        <v>92</v>
      </c>
      <c r="R3615" t="s">
        <v>21</v>
      </c>
      <c r="S3615" t="s">
        <v>21</v>
      </c>
    </row>
    <row r="3616" spans="1:19" hidden="1" x14ac:dyDescent="0.25">
      <c r="A3616">
        <v>41300316</v>
      </c>
      <c r="B3616" t="s">
        <v>18</v>
      </c>
      <c r="C3616" t="s">
        <v>34</v>
      </c>
      <c r="D3616">
        <v>11</v>
      </c>
      <c r="E3616">
        <v>15</v>
      </c>
      <c r="F3616">
        <v>4</v>
      </c>
      <c r="G3616">
        <v>1</v>
      </c>
      <c r="H3616" s="1">
        <v>4.363425925925926E-3</v>
      </c>
      <c r="I3616" t="s">
        <v>55</v>
      </c>
      <c r="J3616" t="s">
        <v>20</v>
      </c>
      <c r="K3616" s="2" t="str">
        <f>HYPERLINK("https://www.nba.com/stats/events?CFID=&amp;CFPARAMS=&amp;GameEventID=47&amp;GameID=0041300316&amp;Season=2013-14&amp;flag=1&amp;title=Leonard%2014'%20Turnaround%20Jump%20Shot%20(6%20PTS)", "Leonard 14' Turnaround Jump Shot (6 PTS)")</f>
        <v>Leonard 14' Turnaround Jump Shot (6 PTS)</v>
      </c>
      <c r="L3616" s="2" t="str">
        <f>HYPERLINK("https://www.nba.com/game/...-vs-...-0041300316/play-by-play?watchFullGame=true", "SAS vs OKC - Q1 06:17.00")</f>
        <v>SAS vs OKC - Q1 06:17.00</v>
      </c>
      <c r="M3616">
        <v>14</v>
      </c>
      <c r="N3616">
        <v>138</v>
      </c>
      <c r="O3616">
        <v>19</v>
      </c>
      <c r="P3616">
        <v>138</v>
      </c>
      <c r="Q3616">
        <v>19</v>
      </c>
      <c r="R3616" t="s">
        <v>21</v>
      </c>
      <c r="S3616" t="s">
        <v>21</v>
      </c>
    </row>
    <row r="3617" spans="1:19" hidden="1" x14ac:dyDescent="0.25">
      <c r="A3617">
        <v>21800347</v>
      </c>
      <c r="B3617" t="s">
        <v>18</v>
      </c>
      <c r="C3617" t="s">
        <v>36</v>
      </c>
      <c r="D3617">
        <v>90</v>
      </c>
      <c r="E3617">
        <v>94</v>
      </c>
      <c r="F3617">
        <v>4</v>
      </c>
      <c r="G3617">
        <v>4</v>
      </c>
      <c r="H3617" s="1">
        <v>4.386574074074074E-3</v>
      </c>
      <c r="I3617">
        <v>2018</v>
      </c>
      <c r="J3617" t="s">
        <v>48</v>
      </c>
      <c r="K3617" s="2" t="str">
        <f>HYPERLINK("https://www.nba.com/stats/events?CFID=&amp;CFPARAMS=&amp;GameEventID=570&amp;GameID=0021800347&amp;Season=2018-19&amp;flag=1&amp;title=Leonard%2014'%20Pullup%20Jump%20Shot%20(21%20PTS)", "Leonard 14' Pullup Jump Shot (21 PTS)")</f>
        <v>Leonard 14' Pullup Jump Shot (21 PTS)</v>
      </c>
      <c r="L3617" s="2" t="str">
        <f>HYPERLINK("https://www.nba.com/game/...-vs-...-0021800347/play-by-play?watchFullGame=true", "TOR vs DEN - Q4 06:19.00")</f>
        <v>TOR vs DEN - Q4 06:19.00</v>
      </c>
      <c r="M3617">
        <v>14</v>
      </c>
      <c r="N3617">
        <v>-131</v>
      </c>
      <c r="O3617">
        <v>38</v>
      </c>
      <c r="P3617">
        <v>-131</v>
      </c>
      <c r="Q3617">
        <v>38</v>
      </c>
      <c r="R3617" t="s">
        <v>21</v>
      </c>
      <c r="S3617" t="s">
        <v>21</v>
      </c>
    </row>
    <row r="3618" spans="1:19" hidden="1" x14ac:dyDescent="0.25">
      <c r="A3618">
        <v>21300068</v>
      </c>
      <c r="B3618" t="s">
        <v>18</v>
      </c>
      <c r="C3618" t="s">
        <v>36</v>
      </c>
      <c r="D3618">
        <v>35</v>
      </c>
      <c r="E3618">
        <v>35</v>
      </c>
      <c r="F3618">
        <v>0</v>
      </c>
      <c r="G3618">
        <v>2</v>
      </c>
      <c r="H3618" s="1">
        <v>4.4560185185185189E-3</v>
      </c>
      <c r="I3618">
        <v>2013</v>
      </c>
      <c r="J3618" t="s">
        <v>20</v>
      </c>
      <c r="K3618" s="2" t="str">
        <f>HYPERLINK("https://www.nba.com/stats/events?CFID=&amp;CFPARAMS=&amp;GameEventID=178&amp;GameID=0021300068&amp;Season=2013-14&amp;flag=1&amp;title=Leonard%2014'%20Pullup%20Jump%20Shot%20(4%20PTS)%20(Ayres%201%20AST)", "Leonard 14' Pullup Jump Shot (4 PTS) (Ayres 1 AST)")</f>
        <v>Leonard 14' Pullup Jump Shot (4 PTS) (Ayres 1 AST)</v>
      </c>
      <c r="L3618" s="2" t="str">
        <f>HYPERLINK("https://www.nba.com/game/...-vs-...-0021300068/play-by-play?watchFullGame=true", "SAS vs PHX - Q2 06:25.00")</f>
        <v>SAS vs PHX - Q2 06:25.00</v>
      </c>
      <c r="M3618">
        <v>14</v>
      </c>
      <c r="N3618">
        <v>-18</v>
      </c>
      <c r="O3618">
        <v>140</v>
      </c>
      <c r="P3618">
        <v>-18</v>
      </c>
      <c r="Q3618">
        <v>140</v>
      </c>
      <c r="R3618" t="s">
        <v>21</v>
      </c>
      <c r="S3618" t="s">
        <v>21</v>
      </c>
    </row>
    <row r="3619" spans="1:19" hidden="1" x14ac:dyDescent="0.25">
      <c r="A3619">
        <v>21300494</v>
      </c>
      <c r="B3619" t="s">
        <v>18</v>
      </c>
      <c r="C3619" t="s">
        <v>36</v>
      </c>
      <c r="D3619">
        <v>76</v>
      </c>
      <c r="E3619">
        <v>49</v>
      </c>
      <c r="F3619">
        <v>27</v>
      </c>
      <c r="G3619">
        <v>3</v>
      </c>
      <c r="H3619" s="1">
        <v>4.4907407407407405E-3</v>
      </c>
      <c r="I3619">
        <v>2013</v>
      </c>
      <c r="J3619" t="s">
        <v>20</v>
      </c>
      <c r="K3619" s="2" t="str">
        <f>HYPERLINK("https://www.nba.com/stats/events?CFID=&amp;CFPARAMS=&amp;GameEventID=296&amp;GameID=0021300494&amp;Season=2013-14&amp;flag=1&amp;title=Leonard%2014'%20Pullup%20Jump%20Shot%20(8%20PTS)%20(Parker%207%20AST)", "Leonard 14' Pullup Jump Shot (8 PTS) (Parker 7 AST)")</f>
        <v>Leonard 14' Pullup Jump Shot (8 PTS) (Parker 7 AST)</v>
      </c>
      <c r="L3619" s="2" t="str">
        <f>HYPERLINK("https://www.nba.com/game/...-vs-...-0021300494/play-by-play?watchFullGame=true", "SAS vs LAC - Q3 06:28.00")</f>
        <v>SAS vs LAC - Q3 06:28.00</v>
      </c>
      <c r="M3619">
        <v>14</v>
      </c>
      <c r="N3619">
        <v>-141</v>
      </c>
      <c r="O3619">
        <v>15</v>
      </c>
      <c r="P3619">
        <v>-141</v>
      </c>
      <c r="Q3619">
        <v>15</v>
      </c>
      <c r="R3619" t="s">
        <v>21</v>
      </c>
      <c r="S3619" t="s">
        <v>21</v>
      </c>
    </row>
    <row r="3620" spans="1:19" hidden="1" x14ac:dyDescent="0.25">
      <c r="A3620">
        <v>21800216</v>
      </c>
      <c r="B3620" t="s">
        <v>18</v>
      </c>
      <c r="C3620" t="s">
        <v>36</v>
      </c>
      <c r="D3620">
        <v>16</v>
      </c>
      <c r="E3620">
        <v>12</v>
      </c>
      <c r="F3620">
        <v>4</v>
      </c>
      <c r="G3620">
        <v>1</v>
      </c>
      <c r="H3620" s="1">
        <v>4.5138888888888885E-3</v>
      </c>
      <c r="I3620">
        <v>2018</v>
      </c>
      <c r="J3620" t="s">
        <v>48</v>
      </c>
      <c r="K3620" s="2" t="str">
        <f>HYPERLINK("https://www.nba.com/stats/events?CFID=&amp;CFPARAMS=&amp;GameEventID=64&amp;GameID=0021800216&amp;Season=2018-19&amp;flag=1&amp;title=Leonard%2014'%20Pullup%20Jump%20Shot%20(4%20PTS)", "Leonard 14' Pullup Jump Shot (4 PTS)")</f>
        <v>Leonard 14' Pullup Jump Shot (4 PTS)</v>
      </c>
      <c r="L3620" s="2" t="str">
        <f>HYPERLINK("https://www.nba.com/game/...-vs-...-0021800216/play-by-play?watchFullGame=true", "TOR vs BOS - Q1 06:30.00")</f>
        <v>TOR vs BOS - Q1 06:30.00</v>
      </c>
      <c r="M3620">
        <v>14</v>
      </c>
      <c r="N3620">
        <v>-91</v>
      </c>
      <c r="O3620">
        <v>108</v>
      </c>
      <c r="P3620">
        <v>-91</v>
      </c>
      <c r="Q3620">
        <v>108</v>
      </c>
      <c r="R3620" t="s">
        <v>21</v>
      </c>
      <c r="S3620" t="s">
        <v>21</v>
      </c>
    </row>
    <row r="3621" spans="1:19" hidden="1" x14ac:dyDescent="0.25">
      <c r="A3621">
        <v>21401110</v>
      </c>
      <c r="B3621" t="s">
        <v>18</v>
      </c>
      <c r="C3621" t="s">
        <v>34</v>
      </c>
      <c r="D3621">
        <v>33</v>
      </c>
      <c r="E3621">
        <v>29</v>
      </c>
      <c r="F3621">
        <v>4</v>
      </c>
      <c r="G3621">
        <v>2</v>
      </c>
      <c r="H3621" s="1">
        <v>4.5601851851851853E-3</v>
      </c>
      <c r="I3621">
        <v>2014</v>
      </c>
      <c r="J3621" t="s">
        <v>20</v>
      </c>
      <c r="K3621" s="2" t="str">
        <f>HYPERLINK("https://www.nba.com/stats/events?CFID=&amp;CFPARAMS=&amp;GameEventID=171&amp;GameID=0021401110&amp;Season=2014-15&amp;flag=1&amp;title=Leonard%2014'%20Turnaround%20Jump%20Shot%20(8%20PTS)", "Leonard 14' Turnaround Jump Shot (8 PTS)")</f>
        <v>Leonard 14' Turnaround Jump Shot (8 PTS)</v>
      </c>
      <c r="L3621" s="2" t="str">
        <f>HYPERLINK("https://www.nba.com/game/...-vs-...-0021401110/play-by-play?watchFullGame=true", "SAS vs MIA - Q2 06:34.00")</f>
        <v>SAS vs MIA - Q2 06:34.00</v>
      </c>
      <c r="M3621">
        <v>14</v>
      </c>
      <c r="N3621">
        <v>86</v>
      </c>
      <c r="O3621">
        <v>107</v>
      </c>
      <c r="P3621">
        <v>86</v>
      </c>
      <c r="Q3621">
        <v>107</v>
      </c>
      <c r="R3621" t="s">
        <v>21</v>
      </c>
      <c r="S3621" t="s">
        <v>21</v>
      </c>
    </row>
    <row r="3622" spans="1:19" hidden="1" x14ac:dyDescent="0.25">
      <c r="A3622">
        <v>21800271</v>
      </c>
      <c r="B3622" t="s">
        <v>18</v>
      </c>
      <c r="C3622" t="s">
        <v>34</v>
      </c>
      <c r="D3622">
        <v>53</v>
      </c>
      <c r="E3622">
        <v>41</v>
      </c>
      <c r="F3622">
        <v>12</v>
      </c>
      <c r="G3622">
        <v>2</v>
      </c>
      <c r="H3622" s="1">
        <v>4.6064814814814814E-3</v>
      </c>
      <c r="I3622">
        <v>2018</v>
      </c>
      <c r="J3622" t="s">
        <v>48</v>
      </c>
      <c r="K3622" s="2" t="str">
        <f>HYPERLINK("https://www.nba.com/stats/events?CFID=&amp;CFPARAMS=&amp;GameEventID=237&amp;GameID=0021800271&amp;Season=2018-19&amp;flag=1&amp;title=Leonard%2014'%20Turnaround%20Jump%20Shot%20(10%20PTS)", "Leonard 14' Turnaround Jump Shot (10 PTS)")</f>
        <v>Leonard 14' Turnaround Jump Shot (10 PTS)</v>
      </c>
      <c r="L3622" s="2" t="str">
        <f>HYPERLINK("https://www.nba.com/game/...-vs-...-0021800271/play-by-play?watchFullGame=true", "TOR vs WAS - Q2 06:38.00")</f>
        <v>TOR vs WAS - Q2 06:38.00</v>
      </c>
      <c r="M3622">
        <v>14</v>
      </c>
      <c r="N3622">
        <v>-137</v>
      </c>
      <c r="O3622">
        <v>22</v>
      </c>
      <c r="P3622">
        <v>-137</v>
      </c>
      <c r="Q3622">
        <v>22</v>
      </c>
      <c r="R3622" t="s">
        <v>21</v>
      </c>
      <c r="S3622" t="s">
        <v>21</v>
      </c>
    </row>
    <row r="3623" spans="1:19" hidden="1" x14ac:dyDescent="0.25">
      <c r="A3623">
        <v>41500232</v>
      </c>
      <c r="B3623" t="s">
        <v>18</v>
      </c>
      <c r="C3623" t="s">
        <v>36</v>
      </c>
      <c r="D3623">
        <v>39</v>
      </c>
      <c r="E3623">
        <v>37</v>
      </c>
      <c r="F3623">
        <v>2</v>
      </c>
      <c r="G3623">
        <v>2</v>
      </c>
      <c r="H3623" s="1">
        <v>4.6527777777777774E-3</v>
      </c>
      <c r="I3623" t="s">
        <v>57</v>
      </c>
      <c r="J3623" t="s">
        <v>20</v>
      </c>
      <c r="K3623" s="2" t="str">
        <f>HYPERLINK("https://www.nba.com/stats/events?CFID=&amp;CFPARAMS=&amp;GameEventID=194&amp;GameID=0041500232&amp;Season=2015-16&amp;flag=1&amp;title=Leonard%2014'%20Pullup%20Jump%20Shot%20(6%20PTS)", "Leonard 14' Pullup Jump Shot (6 PTS)")</f>
        <v>Leonard 14' Pullup Jump Shot (6 PTS)</v>
      </c>
      <c r="L3623" s="2" t="str">
        <f>HYPERLINK("https://www.nba.com/game/...-vs-...-0041500232/play-by-play?watchFullGame=true", "SAS vs OKC - Q2 06:42.00")</f>
        <v>SAS vs OKC - Q2 06:42.00</v>
      </c>
      <c r="M3623">
        <v>14</v>
      </c>
      <c r="N3623">
        <v>-137</v>
      </c>
      <c r="O3623">
        <v>-6</v>
      </c>
      <c r="P3623">
        <v>-137</v>
      </c>
      <c r="Q3623">
        <v>-6</v>
      </c>
      <c r="R3623" t="s">
        <v>21</v>
      </c>
      <c r="S3623" t="s">
        <v>21</v>
      </c>
    </row>
    <row r="3624" spans="1:19" hidden="1" x14ac:dyDescent="0.25">
      <c r="A3624">
        <v>21401181</v>
      </c>
      <c r="B3624" t="s">
        <v>18</v>
      </c>
      <c r="C3624" t="s">
        <v>37</v>
      </c>
      <c r="D3624">
        <v>59</v>
      </c>
      <c r="E3624">
        <v>61</v>
      </c>
      <c r="F3624">
        <v>2</v>
      </c>
      <c r="G3624">
        <v>3</v>
      </c>
      <c r="H3624" s="1">
        <v>4.7106481481481478E-3</v>
      </c>
      <c r="I3624">
        <v>2014</v>
      </c>
      <c r="J3624" t="s">
        <v>20</v>
      </c>
      <c r="K3624" s="2" t="str">
        <f>HYPERLINK("https://www.nba.com/stats/events?CFID=&amp;CFPARAMS=&amp;GameEventID=316&amp;GameID=0021401181&amp;Season=2014-15&amp;flag=1&amp;title=Leonard%2014'%20Fadeaway%20Jumper%20(10%20PTS)", "Leonard 14' Fadeaway Jumper (10 PTS)")</f>
        <v>Leonard 14' Fadeaway Jumper (10 PTS)</v>
      </c>
      <c r="L3624" s="2" t="str">
        <f>HYPERLINK("https://www.nba.com/game/...-vs-...-0021401181/play-by-play?watchFullGame=true", "SAS vs HOU - Q3 06:47.00")</f>
        <v>SAS vs HOU - Q3 06:47.00</v>
      </c>
      <c r="M3624">
        <v>14</v>
      </c>
      <c r="N3624">
        <v>-144</v>
      </c>
      <c r="O3624">
        <v>0</v>
      </c>
      <c r="P3624">
        <v>-144</v>
      </c>
      <c r="Q3624">
        <v>0</v>
      </c>
      <c r="R3624" t="s">
        <v>21</v>
      </c>
      <c r="S3624" t="s">
        <v>21</v>
      </c>
    </row>
    <row r="3625" spans="1:19" hidden="1" x14ac:dyDescent="0.25">
      <c r="A3625">
        <v>21600150</v>
      </c>
      <c r="B3625" t="s">
        <v>18</v>
      </c>
      <c r="C3625" t="s">
        <v>37</v>
      </c>
      <c r="D3625">
        <v>78</v>
      </c>
      <c r="E3625">
        <v>66</v>
      </c>
      <c r="F3625">
        <v>12</v>
      </c>
      <c r="G3625">
        <v>4</v>
      </c>
      <c r="H3625" s="1">
        <v>4.8495370370370368E-3</v>
      </c>
      <c r="I3625">
        <v>2016</v>
      </c>
      <c r="J3625" t="s">
        <v>20</v>
      </c>
      <c r="K3625" s="2" t="str">
        <f>HYPERLINK("https://www.nba.com/stats/events?CFID=&amp;CFPARAMS=&amp;GameEventID=429&amp;GameID=0021600150&amp;Season=2016-17&amp;flag=1&amp;title=Leonard%2014'%20Fadeaway%20Jumper%20(18%20PTS)", "Leonard 14' Fadeaway Jumper (18 PTS)")</f>
        <v>Leonard 14' Fadeaway Jumper (18 PTS)</v>
      </c>
      <c r="L3625" s="2" t="str">
        <f>HYPERLINK("https://www.nba.com/game/...-vs-...-0021600150/play-by-play?watchFullGame=true", "SAS vs MIA - Q4 06:59.00")</f>
        <v>SAS vs MIA - Q4 06:59.00</v>
      </c>
      <c r="M3625">
        <v>14</v>
      </c>
      <c r="N3625">
        <v>130</v>
      </c>
      <c r="O3625">
        <v>47</v>
      </c>
      <c r="P3625">
        <v>130</v>
      </c>
      <c r="Q3625">
        <v>47</v>
      </c>
      <c r="R3625" t="s">
        <v>21</v>
      </c>
      <c r="S3625" t="s">
        <v>21</v>
      </c>
    </row>
    <row r="3626" spans="1:19" hidden="1" x14ac:dyDescent="0.25">
      <c r="A3626">
        <v>21600016</v>
      </c>
      <c r="B3626" t="s">
        <v>18</v>
      </c>
      <c r="C3626" t="s">
        <v>39</v>
      </c>
      <c r="D3626">
        <v>6</v>
      </c>
      <c r="E3626">
        <v>12</v>
      </c>
      <c r="F3626">
        <v>6</v>
      </c>
      <c r="G3626">
        <v>1</v>
      </c>
      <c r="H3626" s="1">
        <v>4.8958333333333336E-3</v>
      </c>
      <c r="I3626">
        <v>2016</v>
      </c>
      <c r="J3626" t="s">
        <v>20</v>
      </c>
      <c r="K3626" s="2" t="str">
        <f>HYPERLINK("https://www.nba.com/stats/events?CFID=&amp;CFPARAMS=&amp;GameEventID=39&amp;GameID=0021600016&amp;Season=2016-17&amp;flag=1&amp;title=Leonard%2014'%20Step%20Back%20Jump%20Shot%20(6%20PTS)", "Leonard 14' Step Back Jump Shot (6 PTS)")</f>
        <v>Leonard 14' Step Back Jump Shot (6 PTS)</v>
      </c>
      <c r="L3626" s="2" t="str">
        <f>HYPERLINK("https://www.nba.com/game/...-vs-...-0021600016/play-by-play?watchFullGame=true", "SAS vs SAC - Q1 07:03.00")</f>
        <v>SAS vs SAC - Q1 07:03.00</v>
      </c>
      <c r="M3626">
        <v>14</v>
      </c>
      <c r="N3626">
        <v>-114</v>
      </c>
      <c r="O3626">
        <v>77</v>
      </c>
      <c r="P3626">
        <v>-114</v>
      </c>
      <c r="Q3626">
        <v>77</v>
      </c>
      <c r="R3626" t="s">
        <v>21</v>
      </c>
      <c r="S3626" t="s">
        <v>21</v>
      </c>
    </row>
    <row r="3627" spans="1:19" hidden="1" x14ac:dyDescent="0.25">
      <c r="A3627">
        <v>41800211</v>
      </c>
      <c r="B3627" t="s">
        <v>18</v>
      </c>
      <c r="C3627" t="s">
        <v>38</v>
      </c>
      <c r="D3627">
        <v>103</v>
      </c>
      <c r="E3627">
        <v>85</v>
      </c>
      <c r="F3627">
        <v>18</v>
      </c>
      <c r="G3627">
        <v>4</v>
      </c>
      <c r="H3627" s="1">
        <v>4.9305555555555552E-3</v>
      </c>
      <c r="I3627" t="s">
        <v>60</v>
      </c>
      <c r="J3627" t="s">
        <v>48</v>
      </c>
      <c r="K3627" s="2" t="str">
        <f>HYPERLINK("https://www.nba.com/stats/events?CFID=&amp;CFPARAMS=&amp;GameEventID=537&amp;GameID=0041800211&amp;Season=2018-19&amp;flag=1&amp;title=Leonard%2014'%20Turnaround%20Fadeaway%20(41%20PTS)", "Leonard 14' Turnaround Fadeaway (41 PTS)")</f>
        <v>Leonard 14' Turnaround Fadeaway (41 PTS)</v>
      </c>
      <c r="L3627" s="2" t="str">
        <f>HYPERLINK("https://www.nba.com/game/...-vs-...-0041800211/play-by-play?watchFullGame=true", "TOR vs PHI - Q4 07:06.00")</f>
        <v>TOR vs PHI - Q4 07:06.00</v>
      </c>
      <c r="M3627">
        <v>14</v>
      </c>
      <c r="N3627">
        <v>-127</v>
      </c>
      <c r="O3627">
        <v>58</v>
      </c>
      <c r="P3627">
        <v>-127</v>
      </c>
      <c r="Q3627">
        <v>58</v>
      </c>
      <c r="R3627" t="s">
        <v>21</v>
      </c>
      <c r="S3627" t="s">
        <v>21</v>
      </c>
    </row>
    <row r="3628" spans="1:19" hidden="1" x14ac:dyDescent="0.25">
      <c r="A3628">
        <v>21500379</v>
      </c>
      <c r="B3628" t="s">
        <v>18</v>
      </c>
      <c r="C3628" t="s">
        <v>36</v>
      </c>
      <c r="D3628">
        <v>70</v>
      </c>
      <c r="E3628">
        <v>60</v>
      </c>
      <c r="F3628">
        <v>10</v>
      </c>
      <c r="G3628">
        <v>3</v>
      </c>
      <c r="H3628" s="1">
        <v>4.9421296296296297E-3</v>
      </c>
      <c r="I3628">
        <v>2015</v>
      </c>
      <c r="J3628" t="s">
        <v>20</v>
      </c>
      <c r="K3628" s="2" t="str">
        <f>HYPERLINK("https://www.nba.com/stats/events?CFID=&amp;CFPARAMS=&amp;GameEventID=317&amp;GameID=0021500379&amp;Season=2015-16&amp;flag=1&amp;title=Leonard%2014'%20Pullup%20Jump%20Shot%20(22%20PTS)%20(West%201%20AST)", "Leonard 14' Pullup Jump Shot (22 PTS) (West 1 AST)")</f>
        <v>Leonard 14' Pullup Jump Shot (22 PTS) (West 1 AST)</v>
      </c>
      <c r="L3628" s="2" t="str">
        <f>HYPERLINK("https://www.nba.com/game/...-vs-...-0021500379/play-by-play?watchFullGame=true", "SAS vs WAS - Q3 07:07.00")</f>
        <v>SAS vs WAS - Q3 07:07.00</v>
      </c>
      <c r="M3628">
        <v>14</v>
      </c>
      <c r="N3628">
        <v>-140</v>
      </c>
      <c r="O3628">
        <v>8</v>
      </c>
      <c r="P3628">
        <v>-140</v>
      </c>
      <c r="Q3628">
        <v>8</v>
      </c>
      <c r="R3628" t="s">
        <v>21</v>
      </c>
      <c r="S3628" t="s">
        <v>21</v>
      </c>
    </row>
    <row r="3629" spans="1:19" hidden="1" x14ac:dyDescent="0.25">
      <c r="A3629">
        <v>21500323</v>
      </c>
      <c r="B3629" t="s">
        <v>18</v>
      </c>
      <c r="C3629" t="s">
        <v>30</v>
      </c>
      <c r="D3629">
        <v>76</v>
      </c>
      <c r="E3629">
        <v>85</v>
      </c>
      <c r="F3629">
        <v>9</v>
      </c>
      <c r="G3629">
        <v>4</v>
      </c>
      <c r="H3629" s="1">
        <v>5.0000000000000001E-3</v>
      </c>
      <c r="I3629">
        <v>2015</v>
      </c>
      <c r="J3629" t="s">
        <v>20</v>
      </c>
      <c r="K3629" s="2" t="str">
        <f>HYPERLINK("https://www.nba.com/stats/events?CFID=&amp;CFPARAMS=&amp;GameEventID=430&amp;GameID=0021500323&amp;Season=2015-16&amp;flag=1&amp;title=Leonard%2014'%20Running%20Jump%20Shot%20(2%20PTS)%20(Mills%205%20AST)", "Leonard 14' Running Jump Shot (2 PTS) (Mills 5 AST)")</f>
        <v>Leonard 14' Running Jump Shot (2 PTS) (Mills 5 AST)</v>
      </c>
      <c r="L3629" s="2" t="str">
        <f>HYPERLINK("https://www.nba.com/game/...-vs-...-0021500323/play-by-play?watchFullGame=true", "SAS vs TOR - Q4 07:12.00")</f>
        <v>SAS vs TOR - Q4 07:12.00</v>
      </c>
      <c r="M3629">
        <v>14</v>
      </c>
      <c r="N3629">
        <v>-140</v>
      </c>
      <c r="O3629">
        <v>8</v>
      </c>
      <c r="P3629">
        <v>-140</v>
      </c>
      <c r="Q3629">
        <v>8</v>
      </c>
      <c r="R3629" t="s">
        <v>21</v>
      </c>
      <c r="S3629" t="s">
        <v>21</v>
      </c>
    </row>
    <row r="3630" spans="1:19" hidden="1" x14ac:dyDescent="0.25">
      <c r="A3630">
        <v>41400167</v>
      </c>
      <c r="B3630" t="s">
        <v>18</v>
      </c>
      <c r="C3630" t="s">
        <v>36</v>
      </c>
      <c r="D3630">
        <v>15</v>
      </c>
      <c r="E3630">
        <v>9</v>
      </c>
      <c r="F3630">
        <v>6</v>
      </c>
      <c r="G3630">
        <v>1</v>
      </c>
      <c r="H3630" s="1">
        <v>5.0347222222222225E-3</v>
      </c>
      <c r="I3630" t="s">
        <v>56</v>
      </c>
      <c r="J3630" t="s">
        <v>20</v>
      </c>
      <c r="K3630" s="2" t="str">
        <f>HYPERLINK("https://www.nba.com/stats/events?CFID=&amp;CFPARAMS=&amp;GameEventID=34&amp;GameID=0041400167&amp;Season=2014-15&amp;flag=1&amp;title=Leonard%2014'%20Pullup%20Jump%20Shot%20(4%20PTS)", "Leonard 14' Pullup Jump Shot (4 PTS)")</f>
        <v>Leonard 14' Pullup Jump Shot (4 PTS)</v>
      </c>
      <c r="L3630" s="2" t="str">
        <f>HYPERLINK("https://www.nba.com/game/...-vs-...-0041400167/play-by-play?watchFullGame=true", "SAS vs LAC - Q1 07:15.00")</f>
        <v>SAS vs LAC - Q1 07:15.00</v>
      </c>
      <c r="M3630">
        <v>14</v>
      </c>
      <c r="N3630">
        <v>-109</v>
      </c>
      <c r="O3630">
        <v>91</v>
      </c>
      <c r="P3630">
        <v>-109</v>
      </c>
      <c r="Q3630">
        <v>91</v>
      </c>
      <c r="R3630" t="s">
        <v>21</v>
      </c>
      <c r="S3630" t="s">
        <v>21</v>
      </c>
    </row>
    <row r="3631" spans="1:19" hidden="1" x14ac:dyDescent="0.25">
      <c r="A3631">
        <v>21600309</v>
      </c>
      <c r="B3631" t="s">
        <v>18</v>
      </c>
      <c r="C3631" t="s">
        <v>36</v>
      </c>
      <c r="D3631">
        <v>82</v>
      </c>
      <c r="E3631">
        <v>78</v>
      </c>
      <c r="F3631">
        <v>4</v>
      </c>
      <c r="G3631">
        <v>4</v>
      </c>
      <c r="H3631" s="1">
        <v>5.0347222222222225E-3</v>
      </c>
      <c r="I3631">
        <v>2016</v>
      </c>
      <c r="J3631" t="s">
        <v>20</v>
      </c>
      <c r="K3631" s="2" t="str">
        <f>HYPERLINK("https://www.nba.com/stats/events?CFID=&amp;CFPARAMS=&amp;GameEventID=489&amp;GameID=0021600309&amp;Season=2016-17&amp;flag=1&amp;title=Leonard%2014'%20Pullup%20Jump%20Shot%20(11%20PTS)%20(Aldridge%205%20AST)", "Leonard 14' Pullup Jump Shot (11 PTS) (Aldridge 5 AST)")</f>
        <v>Leonard 14' Pullup Jump Shot (11 PTS) (Aldridge 5 AST)</v>
      </c>
      <c r="L3631" s="2" t="str">
        <f>HYPERLINK("https://www.nba.com/game/...-vs-...-0021600309/play-by-play?watchFullGame=true", "SAS vs MIL - Q4 07:15.00")</f>
        <v>SAS vs MIL - Q4 07:15.00</v>
      </c>
      <c r="M3631">
        <v>14</v>
      </c>
      <c r="N3631">
        <v>114</v>
      </c>
      <c r="O3631">
        <v>82</v>
      </c>
      <c r="P3631">
        <v>114</v>
      </c>
      <c r="Q3631">
        <v>82</v>
      </c>
      <c r="R3631" t="s">
        <v>21</v>
      </c>
      <c r="S3631" t="s">
        <v>21</v>
      </c>
    </row>
    <row r="3632" spans="1:19" hidden="1" x14ac:dyDescent="0.25">
      <c r="A3632">
        <v>21601170</v>
      </c>
      <c r="B3632" t="s">
        <v>18</v>
      </c>
      <c r="C3632" t="s">
        <v>36</v>
      </c>
      <c r="D3632">
        <v>8</v>
      </c>
      <c r="E3632">
        <v>8</v>
      </c>
      <c r="F3632">
        <v>0</v>
      </c>
      <c r="G3632">
        <v>1</v>
      </c>
      <c r="H3632" s="1">
        <v>5.0810185185185186E-3</v>
      </c>
      <c r="I3632">
        <v>2016</v>
      </c>
      <c r="J3632" t="s">
        <v>20</v>
      </c>
      <c r="K3632" s="2" t="str">
        <f>HYPERLINK("https://www.nba.com/stats/events?CFID=&amp;CFPARAMS=&amp;GameEventID=34&amp;GameID=0021601170&amp;Season=2016-17&amp;flag=1&amp;title=Leonard%2014'%20Pullup%20Jump%20Shot%20(4%20PTS)%20(Simmons%201%20AST)", "Leonard 14' Pullup Jump Shot (4 PTS) (Simmons 1 AST)")</f>
        <v>Leonard 14' Pullup Jump Shot (4 PTS) (Simmons 1 AST)</v>
      </c>
      <c r="L3632" s="2" t="str">
        <f>HYPERLINK("https://www.nba.com/game/...-vs-...-0021601170/play-by-play?watchFullGame=true", "SAS vs LAL - Q1 07:19.00")</f>
        <v>SAS vs LAL - Q1 07:19.00</v>
      </c>
      <c r="M3632">
        <v>14</v>
      </c>
      <c r="N3632">
        <v>-68</v>
      </c>
      <c r="O3632">
        <v>120</v>
      </c>
      <c r="P3632">
        <v>-68</v>
      </c>
      <c r="Q3632">
        <v>120</v>
      </c>
      <c r="R3632" t="s">
        <v>21</v>
      </c>
      <c r="S3632" t="s">
        <v>21</v>
      </c>
    </row>
    <row r="3633" spans="1:19" hidden="1" x14ac:dyDescent="0.25">
      <c r="A3633">
        <v>21400739</v>
      </c>
      <c r="B3633" t="s">
        <v>18</v>
      </c>
      <c r="C3633" t="s">
        <v>19</v>
      </c>
      <c r="D3633">
        <v>35</v>
      </c>
      <c r="E3633">
        <v>30</v>
      </c>
      <c r="F3633">
        <v>5</v>
      </c>
      <c r="G3633">
        <v>2</v>
      </c>
      <c r="H3633" s="1">
        <v>5.1736111111111115E-3</v>
      </c>
      <c r="I3633">
        <v>2014</v>
      </c>
      <c r="J3633" t="s">
        <v>20</v>
      </c>
      <c r="K3633" s="2" t="str">
        <f>HYPERLINK("https://www.nba.com/stats/events?CFID=&amp;CFPARAMS=&amp;GameEventID=145&amp;GameID=0021400739&amp;Season=2014-15&amp;flag=1&amp;title=Leonard%2014'%20Jump%20Shot%20(8%20PTS)%20(Joseph%201%20AST)", "Leonard 14' Jump Shot (8 PTS) (Joseph 1 AST)")</f>
        <v>Leonard 14' Jump Shot (8 PTS) (Joseph 1 AST)</v>
      </c>
      <c r="L3633" s="2" t="str">
        <f>HYPERLINK("https://www.nba.com/game/...-vs-...-0021400739/play-by-play?watchFullGame=true", "SAS vs ORL - Q2 07:27.00")</f>
        <v>SAS vs ORL - Q2 07:27.00</v>
      </c>
      <c r="M3633">
        <v>14</v>
      </c>
      <c r="N3633">
        <v>-138</v>
      </c>
      <c r="O3633">
        <v>20</v>
      </c>
      <c r="P3633">
        <v>-138</v>
      </c>
      <c r="Q3633">
        <v>20</v>
      </c>
      <c r="R3633" t="s">
        <v>21</v>
      </c>
      <c r="S3633" t="s">
        <v>21</v>
      </c>
    </row>
    <row r="3634" spans="1:19" hidden="1" x14ac:dyDescent="0.25">
      <c r="A3634">
        <v>21801169</v>
      </c>
      <c r="B3634" t="s">
        <v>18</v>
      </c>
      <c r="C3634" t="s">
        <v>36</v>
      </c>
      <c r="D3634">
        <v>6</v>
      </c>
      <c r="E3634">
        <v>7</v>
      </c>
      <c r="F3634">
        <v>1</v>
      </c>
      <c r="G3634">
        <v>1</v>
      </c>
      <c r="H3634" s="1">
        <v>5.2893518518518515E-3</v>
      </c>
      <c r="I3634">
        <v>2018</v>
      </c>
      <c r="J3634" t="s">
        <v>48</v>
      </c>
      <c r="K3634" s="2" t="str">
        <f>HYPERLINK("https://www.nba.com/stats/events?CFID=&amp;CFPARAMS=&amp;GameEventID=56&amp;GameID=0021801169&amp;Season=2018-19&amp;flag=1&amp;title=Leonard%2014'%20Pullup%20Jump%20Shot%20(4%20PTS)%20(Gasol%201%20AST)", "Leonard 14' Pullup Jump Shot (4 PTS) (Gasol 1 AST)")</f>
        <v>Leonard 14' Pullup Jump Shot (4 PTS) (Gasol 1 AST)</v>
      </c>
      <c r="L3634" s="2" t="str">
        <f>HYPERLINK("https://www.nba.com/game/...-vs-...-0021801169/play-by-play?watchFullGame=true", "TOR vs BKN - Q1 07:37.00")</f>
        <v>TOR vs BKN - Q1 07:37.00</v>
      </c>
      <c r="M3634">
        <v>14</v>
      </c>
      <c r="N3634">
        <v>58</v>
      </c>
      <c r="O3634">
        <v>124</v>
      </c>
      <c r="P3634">
        <v>58</v>
      </c>
      <c r="Q3634">
        <v>124</v>
      </c>
      <c r="R3634" t="s">
        <v>21</v>
      </c>
      <c r="S3634" t="s">
        <v>21</v>
      </c>
    </row>
    <row r="3635" spans="1:19" hidden="1" x14ac:dyDescent="0.25">
      <c r="A3635">
        <v>21600817</v>
      </c>
      <c r="B3635" t="s">
        <v>18</v>
      </c>
      <c r="C3635" t="s">
        <v>36</v>
      </c>
      <c r="D3635">
        <v>50</v>
      </c>
      <c r="E3635">
        <v>51</v>
      </c>
      <c r="F3635">
        <v>1</v>
      </c>
      <c r="G3635">
        <v>3</v>
      </c>
      <c r="H3635" s="1">
        <v>5.3935185185185188E-3</v>
      </c>
      <c r="I3635">
        <v>2016</v>
      </c>
      <c r="J3635" t="s">
        <v>20</v>
      </c>
      <c r="K3635" s="2" t="str">
        <f>HYPERLINK("https://www.nba.com/stats/events?CFID=&amp;CFPARAMS=&amp;GameEventID=272&amp;GameID=0021600817&amp;Season=2016-17&amp;flag=1&amp;title=Leonard%2014'%20Pullup%20Jump%20Shot%20(16%20PTS)", "Leonard 14' Pullup Jump Shot (16 PTS)")</f>
        <v>Leonard 14' Pullup Jump Shot (16 PTS)</v>
      </c>
      <c r="L3635" s="2" t="str">
        <f>HYPERLINK("https://www.nba.com/game/...-vs-...-0021600817/play-by-play?watchFullGame=true", "SAS vs NYK - Q3 07:46.00")</f>
        <v>SAS vs NYK - Q3 07:46.00</v>
      </c>
      <c r="M3635">
        <v>14</v>
      </c>
      <c r="N3635">
        <v>119</v>
      </c>
      <c r="O3635">
        <v>65</v>
      </c>
      <c r="P3635">
        <v>119</v>
      </c>
      <c r="Q3635">
        <v>65</v>
      </c>
      <c r="R3635" t="s">
        <v>21</v>
      </c>
      <c r="S3635" t="s">
        <v>21</v>
      </c>
    </row>
    <row r="3636" spans="1:19" hidden="1" x14ac:dyDescent="0.25">
      <c r="A3636">
        <v>21700530</v>
      </c>
      <c r="B3636" t="s">
        <v>18</v>
      </c>
      <c r="C3636" t="s">
        <v>19</v>
      </c>
      <c r="D3636">
        <v>20</v>
      </c>
      <c r="E3636">
        <v>30</v>
      </c>
      <c r="F3636">
        <v>10</v>
      </c>
      <c r="G3636">
        <v>2</v>
      </c>
      <c r="H3636" s="1">
        <v>5.4629629629629629E-3</v>
      </c>
      <c r="I3636">
        <v>2017</v>
      </c>
      <c r="J3636" t="s">
        <v>20</v>
      </c>
      <c r="K3636" s="2" t="str">
        <f>HYPERLINK("https://www.nba.com/stats/events?CFID=&amp;CFPARAMS=&amp;GameEventID=188&amp;GameID=0021700530&amp;Season=2017-18&amp;flag=1&amp;title=Leonard%2014'%20Jump%20Shot%20(2%20PTS)%20(Parker%202%20AST)", "Leonard 14' Jump Shot (2 PTS) (Parker 2 AST)")</f>
        <v>Leonard 14' Jump Shot (2 PTS) (Parker 2 AST)</v>
      </c>
      <c r="L3636" s="2" t="str">
        <f>HYPERLINK("https://www.nba.com/game/...-vs-...-0021700530/play-by-play?watchFullGame=true", "SAS vs DET - Q2 07:52.00")</f>
        <v>SAS vs DET - Q2 07:52.00</v>
      </c>
      <c r="M3636">
        <v>14</v>
      </c>
      <c r="N3636">
        <v>87</v>
      </c>
      <c r="O3636">
        <v>111</v>
      </c>
      <c r="P3636">
        <v>87</v>
      </c>
      <c r="Q3636">
        <v>111</v>
      </c>
      <c r="R3636" t="s">
        <v>21</v>
      </c>
      <c r="S3636" t="s">
        <v>21</v>
      </c>
    </row>
    <row r="3637" spans="1:19" hidden="1" x14ac:dyDescent="0.25">
      <c r="A3637">
        <v>21800580</v>
      </c>
      <c r="B3637" t="s">
        <v>18</v>
      </c>
      <c r="C3637" t="s">
        <v>34</v>
      </c>
      <c r="D3637">
        <v>34</v>
      </c>
      <c r="E3637">
        <v>39</v>
      </c>
      <c r="F3637">
        <v>5</v>
      </c>
      <c r="G3637">
        <v>2</v>
      </c>
      <c r="H3637" s="1">
        <v>5.6018518518518518E-3</v>
      </c>
      <c r="I3637">
        <v>2018</v>
      </c>
      <c r="J3637" t="s">
        <v>48</v>
      </c>
      <c r="K3637" s="2" t="str">
        <f>HYPERLINK("https://www.nba.com/stats/events?CFID=&amp;CFPARAMS=&amp;GameEventID=207&amp;GameID=0021800580&amp;Season=2018-19&amp;flag=1&amp;title=Leonard%2014'%20Turnaround%20Jump%20Shot%20(9%20PTS)", "Leonard 14' Turnaround Jump Shot (9 PTS)")</f>
        <v>Leonard 14' Turnaround Jump Shot (9 PTS)</v>
      </c>
      <c r="L3637" s="2" t="str">
        <f>HYPERLINK("https://www.nba.com/game/...-vs-...-0021800580/play-by-play?watchFullGame=true", "TOR vs MIL - Q2 08:04.00")</f>
        <v>TOR vs MIL - Q2 08:04.00</v>
      </c>
      <c r="M3637">
        <v>14</v>
      </c>
      <c r="N3637">
        <v>-20</v>
      </c>
      <c r="O3637">
        <v>137</v>
      </c>
      <c r="P3637">
        <v>-20</v>
      </c>
      <c r="Q3637">
        <v>137</v>
      </c>
      <c r="R3637" t="s">
        <v>21</v>
      </c>
      <c r="S3637" t="s">
        <v>21</v>
      </c>
    </row>
    <row r="3638" spans="1:19" hidden="1" x14ac:dyDescent="0.25">
      <c r="A3638">
        <v>21400064</v>
      </c>
      <c r="B3638" t="s">
        <v>18</v>
      </c>
      <c r="C3638" t="s">
        <v>19</v>
      </c>
      <c r="D3638">
        <v>56</v>
      </c>
      <c r="E3638">
        <v>45</v>
      </c>
      <c r="F3638">
        <v>11</v>
      </c>
      <c r="G3638">
        <v>3</v>
      </c>
      <c r="H3638" s="1">
        <v>5.6944444444444447E-3</v>
      </c>
      <c r="I3638">
        <v>2014</v>
      </c>
      <c r="J3638" t="s">
        <v>20</v>
      </c>
      <c r="K3638" s="2" t="str">
        <f>HYPERLINK("https://www.nba.com/stats/events?CFID=&amp;CFPARAMS=&amp;GameEventID=282&amp;GameID=0021400064&amp;Season=2014-15&amp;flag=1&amp;title=Leonard%2014'%20Jump%20Shot%20(9%20PTS)%20(Diaw%203%20AST)", "Leonard 14' Jump Shot (9 PTS) (Diaw 3 AST)")</f>
        <v>Leonard 14' Jump Shot (9 PTS) (Diaw 3 AST)</v>
      </c>
      <c r="L3638" s="2" t="str">
        <f>HYPERLINK("https://www.nba.com/game/...-vs-...-0021400064/play-by-play?watchFullGame=true", "SAS vs ATL - Q3 08:12.00")</f>
        <v>SAS vs ATL - Q3 08:12.00</v>
      </c>
      <c r="M3638">
        <v>14</v>
      </c>
      <c r="N3638">
        <v>-141</v>
      </c>
      <c r="O3638">
        <v>-3</v>
      </c>
      <c r="P3638">
        <v>-141</v>
      </c>
      <c r="Q3638">
        <v>-3</v>
      </c>
      <c r="R3638" t="s">
        <v>21</v>
      </c>
      <c r="S3638" t="s">
        <v>21</v>
      </c>
    </row>
    <row r="3639" spans="1:19" hidden="1" x14ac:dyDescent="0.25">
      <c r="A3639">
        <v>21500465</v>
      </c>
      <c r="B3639" t="s">
        <v>18</v>
      </c>
      <c r="C3639" t="s">
        <v>39</v>
      </c>
      <c r="D3639">
        <v>58</v>
      </c>
      <c r="E3639">
        <v>58</v>
      </c>
      <c r="F3639">
        <v>0</v>
      </c>
      <c r="G3639">
        <v>3</v>
      </c>
      <c r="H3639" s="1">
        <v>5.8101851851851856E-3</v>
      </c>
      <c r="I3639">
        <v>2015</v>
      </c>
      <c r="J3639" t="s">
        <v>20</v>
      </c>
      <c r="K3639" s="2" t="str">
        <f>HYPERLINK("https://www.nba.com/stats/events?CFID=&amp;CFPARAMS=&amp;GameEventID=274&amp;GameID=0021500465&amp;Season=2015-16&amp;flag=1&amp;title=Leonard%2014'%20Step%20Back%20Jump%20Shot%20(13%20PTS)", "Leonard 14' Step Back Jump Shot (13 PTS)")</f>
        <v>Leonard 14' Step Back Jump Shot (13 PTS)</v>
      </c>
      <c r="L3639" s="2" t="str">
        <f>HYPERLINK("https://www.nba.com/game/...-vs-...-0021500465/play-by-play?watchFullGame=true", "SAS vs MIN - Q3 08:22.00")</f>
        <v>SAS vs MIN - Q3 08:22.00</v>
      </c>
      <c r="M3639">
        <v>14</v>
      </c>
      <c r="N3639">
        <v>-138</v>
      </c>
      <c r="O3639">
        <v>13</v>
      </c>
      <c r="P3639">
        <v>-138</v>
      </c>
      <c r="Q3639">
        <v>13</v>
      </c>
      <c r="R3639" t="s">
        <v>21</v>
      </c>
      <c r="S3639" t="s">
        <v>21</v>
      </c>
    </row>
    <row r="3640" spans="1:19" hidden="1" x14ac:dyDescent="0.25">
      <c r="A3640">
        <v>41600152</v>
      </c>
      <c r="B3640" t="s">
        <v>18</v>
      </c>
      <c r="C3640" t="s">
        <v>36</v>
      </c>
      <c r="D3640">
        <v>77</v>
      </c>
      <c r="E3640">
        <v>71</v>
      </c>
      <c r="F3640">
        <v>6</v>
      </c>
      <c r="G3640">
        <v>4</v>
      </c>
      <c r="H3640" s="1">
        <v>5.8796296296296296E-3</v>
      </c>
      <c r="I3640" t="s">
        <v>58</v>
      </c>
      <c r="J3640" t="s">
        <v>20</v>
      </c>
      <c r="K3640" s="2" t="str">
        <f>HYPERLINK("https://www.nba.com/stats/events?CFID=&amp;CFPARAMS=&amp;GameEventID=414&amp;GameID=0041600152&amp;Season=2016-17&amp;flag=1&amp;title=Leonard%2014'%20Pullup%20Jump%20Shot%20(29%20PTS)", "Leonard 14' Pullup Jump Shot (29 PTS)")</f>
        <v>Leonard 14' Pullup Jump Shot (29 PTS)</v>
      </c>
      <c r="L3640" s="2" t="str">
        <f>HYPERLINK("https://www.nba.com/game/...-vs-...-0041600152/play-by-play?watchFullGame=true", "SAS vs MEM - Q4 08:28.00")</f>
        <v>SAS vs MEM - Q4 08:28.00</v>
      </c>
      <c r="M3640">
        <v>14</v>
      </c>
      <c r="N3640">
        <v>133</v>
      </c>
      <c r="O3640">
        <v>36</v>
      </c>
      <c r="P3640">
        <v>133</v>
      </c>
      <c r="Q3640">
        <v>36</v>
      </c>
      <c r="R3640" t="s">
        <v>21</v>
      </c>
      <c r="S3640" t="s">
        <v>21</v>
      </c>
    </row>
    <row r="3641" spans="1:19" hidden="1" x14ac:dyDescent="0.25">
      <c r="A3641">
        <v>41800213</v>
      </c>
      <c r="B3641" t="s">
        <v>18</v>
      </c>
      <c r="C3641" t="s">
        <v>19</v>
      </c>
      <c r="D3641">
        <v>7</v>
      </c>
      <c r="E3641">
        <v>11</v>
      </c>
      <c r="F3641">
        <v>4</v>
      </c>
      <c r="G3641">
        <v>1</v>
      </c>
      <c r="H3641" s="1">
        <v>5.9722222222222225E-3</v>
      </c>
      <c r="I3641" t="s">
        <v>60</v>
      </c>
      <c r="J3641" t="s">
        <v>48</v>
      </c>
      <c r="K3641" s="2" t="str">
        <f>HYPERLINK("https://www.nba.com/stats/events?CFID=&amp;CFPARAMS=&amp;GameEventID=33&amp;GameID=0041800213&amp;Season=2018-19&amp;flag=1&amp;title=Leonard%2014'%20Jump%20Shot%20(7%20PTS)", "Leonard 14' Jump Shot (7 PTS)")</f>
        <v>Leonard 14' Jump Shot (7 PTS)</v>
      </c>
      <c r="L3641" s="2" t="str">
        <f>HYPERLINK("https://www.nba.com/game/...-vs-...-0041800213/play-by-play?watchFullGame=true", "TOR vs PHI - Q1 08:36.00")</f>
        <v>TOR vs PHI - Q1 08:36.00</v>
      </c>
      <c r="M3641">
        <v>14</v>
      </c>
      <c r="N3641">
        <v>-24</v>
      </c>
      <c r="O3641">
        <v>134</v>
      </c>
      <c r="P3641">
        <v>-24</v>
      </c>
      <c r="Q3641">
        <v>134</v>
      </c>
      <c r="R3641" t="s">
        <v>21</v>
      </c>
      <c r="S3641" t="s">
        <v>21</v>
      </c>
    </row>
    <row r="3642" spans="1:19" hidden="1" x14ac:dyDescent="0.25">
      <c r="A3642">
        <v>21600717</v>
      </c>
      <c r="B3642" t="s">
        <v>18</v>
      </c>
      <c r="C3642" t="s">
        <v>19</v>
      </c>
      <c r="D3642">
        <v>85</v>
      </c>
      <c r="E3642">
        <v>85</v>
      </c>
      <c r="F3642">
        <v>0</v>
      </c>
      <c r="G3642">
        <v>4</v>
      </c>
      <c r="H3642" s="1">
        <v>6.099537037037037E-3</v>
      </c>
      <c r="I3642">
        <v>2016</v>
      </c>
      <c r="J3642" t="s">
        <v>20</v>
      </c>
      <c r="K3642" s="2" t="str">
        <f>HYPERLINK("https://www.nba.com/stats/events?CFID=&amp;CFPARAMS=&amp;GameEventID=423&amp;GameID=0021600717&amp;Season=2016-17&amp;flag=1&amp;title=Leonard%2014'%20Jump%20Shot%20(20%20PTS)%20(Parker%204%20AST)", "Leonard 14' Jump Shot (20 PTS) (Parker 4 AST)")</f>
        <v>Leonard 14' Jump Shot (20 PTS) (Parker 4 AST)</v>
      </c>
      <c r="L3642" s="2" t="str">
        <f>HYPERLINK("https://www.nba.com/game/...-vs-...-0021600717/play-by-play?watchFullGame=true", "SAS vs DAL - Q4 08:47.00")</f>
        <v>SAS vs DAL - Q4 08:47.00</v>
      </c>
      <c r="M3642">
        <v>14</v>
      </c>
      <c r="N3642">
        <v>-137</v>
      </c>
      <c r="O3642">
        <v>11</v>
      </c>
      <c r="P3642">
        <v>-137</v>
      </c>
      <c r="Q3642">
        <v>11</v>
      </c>
      <c r="R3642" t="s">
        <v>21</v>
      </c>
      <c r="S3642" t="s">
        <v>21</v>
      </c>
    </row>
    <row r="3643" spans="1:19" hidden="1" x14ac:dyDescent="0.25">
      <c r="A3643">
        <v>21500028</v>
      </c>
      <c r="B3643" t="s">
        <v>18</v>
      </c>
      <c r="C3643" t="s">
        <v>34</v>
      </c>
      <c r="D3643">
        <v>54</v>
      </c>
      <c r="E3643">
        <v>55</v>
      </c>
      <c r="F3643">
        <v>1</v>
      </c>
      <c r="G3643">
        <v>3</v>
      </c>
      <c r="H3643" s="1">
        <v>6.1111111111111114E-3</v>
      </c>
      <c r="I3643">
        <v>2015</v>
      </c>
      <c r="J3643" t="s">
        <v>20</v>
      </c>
      <c r="K3643" s="2" t="str">
        <f>HYPERLINK("https://www.nba.com/stats/events?CFID=&amp;CFPARAMS=&amp;GameEventID=259&amp;GameID=0021500028&amp;Season=2015-16&amp;flag=1&amp;title=Leonard%2014'%20Turnaround%20Jump%20Shot%20(8%20PTS)", "Leonard 14' Turnaround Jump Shot (8 PTS)")</f>
        <v>Leonard 14' Turnaround Jump Shot (8 PTS)</v>
      </c>
      <c r="L3643" s="2" t="str">
        <f>HYPERLINK("https://www.nba.com/game/...-vs-...-0021500028/play-by-play?watchFullGame=true", "SAS vs BKN - Q3 08:48.00")</f>
        <v>SAS vs BKN - Q3 08:48.00</v>
      </c>
      <c r="M3643">
        <v>14</v>
      </c>
      <c r="N3643">
        <v>-137</v>
      </c>
      <c r="O3643">
        <v>16</v>
      </c>
      <c r="P3643">
        <v>-137</v>
      </c>
      <c r="Q3643">
        <v>16</v>
      </c>
      <c r="R3643" t="s">
        <v>21</v>
      </c>
      <c r="S3643" t="s">
        <v>21</v>
      </c>
    </row>
    <row r="3644" spans="1:19" hidden="1" x14ac:dyDescent="0.25">
      <c r="A3644">
        <v>21500979</v>
      </c>
      <c r="B3644" t="s">
        <v>18</v>
      </c>
      <c r="C3644" t="s">
        <v>39</v>
      </c>
      <c r="D3644">
        <v>8</v>
      </c>
      <c r="E3644">
        <v>6</v>
      </c>
      <c r="F3644">
        <v>2</v>
      </c>
      <c r="G3644">
        <v>1</v>
      </c>
      <c r="H3644" s="1">
        <v>6.1574074074074074E-3</v>
      </c>
      <c r="I3644">
        <v>2015</v>
      </c>
      <c r="J3644" t="s">
        <v>20</v>
      </c>
      <c r="K3644" s="2" t="str">
        <f>HYPERLINK("https://www.nba.com/stats/events?CFID=&amp;CFPARAMS=&amp;GameEventID=28&amp;GameID=0021500979&amp;Season=2015-16&amp;flag=1&amp;title=Leonard%2014'%20Step%20Back%20Jump%20Shot%20(2%20PTS)", "Leonard 14' Step Back Jump Shot (2 PTS)")</f>
        <v>Leonard 14' Step Back Jump Shot (2 PTS)</v>
      </c>
      <c r="L3644" s="2" t="str">
        <f>HYPERLINK("https://www.nba.com/game/...-vs-...-0021500979/play-by-play?watchFullGame=true", "SAS vs OKC - Q1 08:52.00")</f>
        <v>SAS vs OKC - Q1 08:52.00</v>
      </c>
      <c r="M3644">
        <v>14</v>
      </c>
      <c r="N3644">
        <v>25</v>
      </c>
      <c r="O3644">
        <v>134</v>
      </c>
      <c r="P3644">
        <v>25</v>
      </c>
      <c r="Q3644">
        <v>134</v>
      </c>
      <c r="R3644" t="s">
        <v>21</v>
      </c>
      <c r="S3644" t="s">
        <v>21</v>
      </c>
    </row>
    <row r="3645" spans="1:19" hidden="1" x14ac:dyDescent="0.25">
      <c r="A3645">
        <v>21500013</v>
      </c>
      <c r="B3645" t="s">
        <v>18</v>
      </c>
      <c r="C3645" t="s">
        <v>19</v>
      </c>
      <c r="D3645">
        <v>91</v>
      </c>
      <c r="E3645">
        <v>88</v>
      </c>
      <c r="F3645">
        <v>3</v>
      </c>
      <c r="G3645">
        <v>4</v>
      </c>
      <c r="H3645" s="1">
        <v>6.2731481481481484E-3</v>
      </c>
      <c r="I3645">
        <v>2015</v>
      </c>
      <c r="J3645" t="s">
        <v>20</v>
      </c>
      <c r="K3645" s="2" t="str">
        <f>HYPERLINK("https://www.nba.com/stats/events?CFID=&amp;CFPARAMS=&amp;GameEventID=434&amp;GameID=0021500013&amp;Season=2015-16&amp;flag=1&amp;title=Leonard%2014'%20Jump%20Shot%20(21%20PTS)%20(Diaw%206%20AST)", "Leonard 14' Jump Shot (21 PTS) (Diaw 6 AST)")</f>
        <v>Leonard 14' Jump Shot (21 PTS) (Diaw 6 AST)</v>
      </c>
      <c r="L3645" s="2" t="str">
        <f>HYPERLINK("https://www.nba.com/game/...-vs-...-0021500013/play-by-play?watchFullGame=true", "SAS vs OKC - Q4 09:02.00")</f>
        <v>SAS vs OKC - Q4 09:02.00</v>
      </c>
      <c r="M3645">
        <v>14</v>
      </c>
      <c r="N3645">
        <v>14</v>
      </c>
      <c r="O3645">
        <v>144</v>
      </c>
      <c r="P3645">
        <v>14</v>
      </c>
      <c r="Q3645">
        <v>144</v>
      </c>
      <c r="R3645" t="s">
        <v>21</v>
      </c>
      <c r="S3645" t="s">
        <v>21</v>
      </c>
    </row>
    <row r="3646" spans="1:19" hidden="1" x14ac:dyDescent="0.25">
      <c r="A3646">
        <v>41400164</v>
      </c>
      <c r="B3646" t="s">
        <v>18</v>
      </c>
      <c r="C3646" t="s">
        <v>19</v>
      </c>
      <c r="D3646">
        <v>4</v>
      </c>
      <c r="E3646">
        <v>6</v>
      </c>
      <c r="F3646">
        <v>2</v>
      </c>
      <c r="G3646">
        <v>1</v>
      </c>
      <c r="H3646" s="1">
        <v>6.3425925925925924E-3</v>
      </c>
      <c r="I3646" t="s">
        <v>56</v>
      </c>
      <c r="J3646" t="s">
        <v>20</v>
      </c>
      <c r="K3646" s="2" t="str">
        <f>HYPERLINK("https://www.nba.com/stats/events?CFID=&amp;CFPARAMS=&amp;GameEventID=29&amp;GameID=0041400164&amp;Season=2014-15&amp;flag=1&amp;title=Leonard%2014'%20Jump%20Shot%20(4%20PTS)%20(Duncan%202%20AST)", "Leonard 14' Jump Shot (4 PTS) (Duncan 2 AST)")</f>
        <v>Leonard 14' Jump Shot (4 PTS) (Duncan 2 AST)</v>
      </c>
      <c r="L3646" s="2" t="str">
        <f>HYPERLINK("https://www.nba.com/game/...-vs-...-0041400164/play-by-play?watchFullGame=true", "SAS vs LAC - Q1 09:08.00")</f>
        <v>SAS vs LAC - Q1 09:08.00</v>
      </c>
      <c r="M3646">
        <v>14</v>
      </c>
      <c r="N3646">
        <v>138</v>
      </c>
      <c r="O3646">
        <v>42</v>
      </c>
      <c r="P3646">
        <v>138</v>
      </c>
      <c r="Q3646">
        <v>42</v>
      </c>
      <c r="R3646" t="s">
        <v>21</v>
      </c>
      <c r="S3646" t="s">
        <v>21</v>
      </c>
    </row>
    <row r="3647" spans="1:19" hidden="1" x14ac:dyDescent="0.25">
      <c r="A3647">
        <v>41400163</v>
      </c>
      <c r="B3647" t="s">
        <v>18</v>
      </c>
      <c r="C3647" t="s">
        <v>39</v>
      </c>
      <c r="D3647">
        <v>9</v>
      </c>
      <c r="E3647">
        <v>2</v>
      </c>
      <c r="F3647">
        <v>7</v>
      </c>
      <c r="G3647">
        <v>1</v>
      </c>
      <c r="H3647" s="1">
        <v>6.4004629629629628E-3</v>
      </c>
      <c r="I3647" t="s">
        <v>56</v>
      </c>
      <c r="J3647" t="s">
        <v>20</v>
      </c>
      <c r="K3647" s="2" t="str">
        <f>HYPERLINK("https://www.nba.com/stats/events?CFID=&amp;CFPARAMS=&amp;GameEventID=25&amp;GameID=0041400163&amp;Season=2014-15&amp;flag=1&amp;title=Leonard%2014'%20Step%20Back%20Jump%20Shot%20(4%20PTS)", "Leonard 14' Step Back Jump Shot (4 PTS)")</f>
        <v>Leonard 14' Step Back Jump Shot (4 PTS)</v>
      </c>
      <c r="L3647" s="2" t="str">
        <f>HYPERLINK("https://www.nba.com/game/...-vs-...-0041400163/play-by-play?watchFullGame=true", "SAS vs LAC - Q1 09:13.00")</f>
        <v>SAS vs LAC - Q1 09:13.00</v>
      </c>
      <c r="M3647">
        <v>14</v>
      </c>
      <c r="N3647">
        <v>-136</v>
      </c>
      <c r="O3647">
        <v>19</v>
      </c>
      <c r="P3647">
        <v>-136</v>
      </c>
      <c r="Q3647">
        <v>19</v>
      </c>
      <c r="R3647" t="s">
        <v>21</v>
      </c>
      <c r="S3647" t="s">
        <v>21</v>
      </c>
    </row>
    <row r="3648" spans="1:19" hidden="1" x14ac:dyDescent="0.25">
      <c r="A3648">
        <v>21300100</v>
      </c>
      <c r="B3648" t="s">
        <v>18</v>
      </c>
      <c r="C3648" t="s">
        <v>36</v>
      </c>
      <c r="D3648">
        <v>6</v>
      </c>
      <c r="E3648">
        <v>0</v>
      </c>
      <c r="F3648">
        <v>6</v>
      </c>
      <c r="G3648">
        <v>1</v>
      </c>
      <c r="H3648" s="1">
        <v>6.4004629629629628E-3</v>
      </c>
      <c r="I3648">
        <v>2013</v>
      </c>
      <c r="J3648" t="s">
        <v>20</v>
      </c>
      <c r="K3648" s="2" t="str">
        <f>HYPERLINK("https://www.nba.com/stats/events?CFID=&amp;CFPARAMS=&amp;GameEventID=23&amp;GameID=0021300100&amp;Season=2013-14&amp;flag=1&amp;title=Leonard%2014'%20Pullup%20Jump%20Shot%20(2%20PTS)%20(Green%201%20AST)", "Leonard 14' Pullup Jump Shot (2 PTS) (Green 1 AST)")</f>
        <v>Leonard 14' Pullup Jump Shot (2 PTS) (Green 1 AST)</v>
      </c>
      <c r="L3648" s="2" t="str">
        <f>HYPERLINK("https://www.nba.com/game/...-vs-...-0021300100/play-by-play?watchFullGame=true", "SAS vs PHI - Q1 09:13.00")</f>
        <v>SAS vs PHI - Q1 09:13.00</v>
      </c>
      <c r="M3648">
        <v>14</v>
      </c>
      <c r="N3648">
        <v>121</v>
      </c>
      <c r="O3648">
        <v>77</v>
      </c>
      <c r="P3648">
        <v>121</v>
      </c>
      <c r="Q3648">
        <v>77</v>
      </c>
      <c r="R3648" t="s">
        <v>21</v>
      </c>
      <c r="S3648" t="s">
        <v>21</v>
      </c>
    </row>
    <row r="3649" spans="1:19" hidden="1" x14ac:dyDescent="0.25">
      <c r="A3649">
        <v>21700402</v>
      </c>
      <c r="B3649" t="s">
        <v>18</v>
      </c>
      <c r="C3649" t="s">
        <v>42</v>
      </c>
      <c r="D3649">
        <v>4</v>
      </c>
      <c r="E3649">
        <v>8</v>
      </c>
      <c r="F3649">
        <v>4</v>
      </c>
      <c r="G3649">
        <v>1</v>
      </c>
      <c r="H3649" s="1">
        <v>6.4467592592592588E-3</v>
      </c>
      <c r="I3649">
        <v>2017</v>
      </c>
      <c r="J3649" t="s">
        <v>20</v>
      </c>
      <c r="K3649" s="2" t="str">
        <f>HYPERLINK("https://www.nba.com/stats/events?CFID=&amp;CFPARAMS=&amp;GameEventID=26&amp;GameID=0021700402&amp;Season=2017-18&amp;flag=1&amp;title=Leonard%2014'%20Driving%20Floating%20Jump%20Shot%20(2%20PTS)", "Leonard 14' Driving Floating Jump Shot (2 PTS)")</f>
        <v>Leonard 14' Driving Floating Jump Shot (2 PTS)</v>
      </c>
      <c r="L3649" s="2" t="str">
        <f>HYPERLINK("https://www.nba.com/game/...-vs-...-0021700402/play-by-play?watchFullGame=true", "SAS vs DAL - Q1 09:17.00")</f>
        <v>SAS vs DAL - Q1 09:17.00</v>
      </c>
      <c r="M3649">
        <v>14</v>
      </c>
      <c r="N3649">
        <v>123</v>
      </c>
      <c r="O3649">
        <v>63</v>
      </c>
      <c r="P3649">
        <v>123</v>
      </c>
      <c r="Q3649">
        <v>63</v>
      </c>
      <c r="R3649" t="s">
        <v>21</v>
      </c>
      <c r="S3649" t="s">
        <v>21</v>
      </c>
    </row>
    <row r="3650" spans="1:19" hidden="1" x14ac:dyDescent="0.25">
      <c r="A3650">
        <v>21800008</v>
      </c>
      <c r="B3650" t="s">
        <v>18</v>
      </c>
      <c r="C3650" t="s">
        <v>36</v>
      </c>
      <c r="D3650">
        <v>70</v>
      </c>
      <c r="E3650">
        <v>53</v>
      </c>
      <c r="F3650">
        <v>17</v>
      </c>
      <c r="G3650">
        <v>3</v>
      </c>
      <c r="H3650" s="1">
        <v>6.4814814814814813E-3</v>
      </c>
      <c r="I3650">
        <v>2018</v>
      </c>
      <c r="J3650" t="s">
        <v>48</v>
      </c>
      <c r="K3650" s="2" t="str">
        <f>HYPERLINK("https://www.nba.com/stats/events?CFID=&amp;CFPARAMS=&amp;GameEventID=395&amp;GameID=0021800008&amp;Season=2018-19&amp;flag=1&amp;title=Leonard%2014'%20Pullup%20Jump%20Shot%20(16%20PTS)", "Leonard 14' Pullup Jump Shot (16 PTS)")</f>
        <v>Leonard 14' Pullup Jump Shot (16 PTS)</v>
      </c>
      <c r="L3650" s="2" t="str">
        <f>HYPERLINK("https://www.nba.com/game/...-vs-...-0021800008/play-by-play?watchFullGame=true", "TOR vs CLE - Q3 09:20.00")</f>
        <v>TOR vs CLE - Q3 09:20.00</v>
      </c>
      <c r="M3650">
        <v>14</v>
      </c>
      <c r="N3650">
        <v>68</v>
      </c>
      <c r="O3650">
        <v>124</v>
      </c>
      <c r="P3650">
        <v>68</v>
      </c>
      <c r="Q3650">
        <v>124</v>
      </c>
      <c r="R3650" t="s">
        <v>21</v>
      </c>
      <c r="S3650" t="s">
        <v>21</v>
      </c>
    </row>
    <row r="3651" spans="1:19" hidden="1" x14ac:dyDescent="0.25">
      <c r="A3651">
        <v>21600962</v>
      </c>
      <c r="B3651" t="s">
        <v>18</v>
      </c>
      <c r="C3651" t="s">
        <v>19</v>
      </c>
      <c r="D3651">
        <v>8</v>
      </c>
      <c r="E3651">
        <v>6</v>
      </c>
      <c r="F3651">
        <v>2</v>
      </c>
      <c r="G3651">
        <v>1</v>
      </c>
      <c r="H3651" s="1">
        <v>6.828703703703704E-3</v>
      </c>
      <c r="I3651">
        <v>2016</v>
      </c>
      <c r="J3651" t="s">
        <v>20</v>
      </c>
      <c r="K3651" s="2" t="str">
        <f>HYPERLINK("https://www.nba.com/stats/events?CFID=&amp;CFPARAMS=&amp;GameEventID=20&amp;GameID=0021600962&amp;Season=2016-17&amp;flag=1&amp;title=Leonard%2014'%20Jump%20Shot%20(4%20PTS)%20(Murray%202%20AST)", "Leonard 14' Jump Shot (4 PTS) (Murray 2 AST)")</f>
        <v>Leonard 14' Jump Shot (4 PTS) (Murray 2 AST)</v>
      </c>
      <c r="L3651" s="2" t="str">
        <f>HYPERLINK("https://www.nba.com/game/...-vs-...-0021600962/play-by-play?watchFullGame=true", "SAS vs OKC - Q1 09:50.00")</f>
        <v>SAS vs OKC - Q1 09:50.00</v>
      </c>
      <c r="M3651">
        <v>14</v>
      </c>
      <c r="N3651">
        <v>-138</v>
      </c>
      <c r="O3651">
        <v>13</v>
      </c>
      <c r="P3651">
        <v>-138</v>
      </c>
      <c r="Q3651">
        <v>13</v>
      </c>
      <c r="R3651" t="s">
        <v>21</v>
      </c>
      <c r="S3651" t="s">
        <v>21</v>
      </c>
    </row>
    <row r="3652" spans="1:19" hidden="1" x14ac:dyDescent="0.25">
      <c r="A3652">
        <v>41200152</v>
      </c>
      <c r="B3652" t="s">
        <v>18</v>
      </c>
      <c r="C3652" t="s">
        <v>19</v>
      </c>
      <c r="D3652">
        <v>82</v>
      </c>
      <c r="E3652">
        <v>70</v>
      </c>
      <c r="F3652">
        <v>12</v>
      </c>
      <c r="G3652">
        <v>4</v>
      </c>
      <c r="H3652" s="1">
        <v>6.9212962962962961E-3</v>
      </c>
      <c r="I3652" t="s">
        <v>53</v>
      </c>
      <c r="J3652" t="s">
        <v>20</v>
      </c>
      <c r="K3652" s="2" t="str">
        <f>HYPERLINK("https://www.nba.com/stats/events?CFID=&amp;CFPARAMS=&amp;GameEventID=366&amp;GameID=0041200152&amp;Season=2012-13&amp;flag=1&amp;title=Leonard%2014'%20Jump%20Shot%20(16%20PTS)%20(Neal%202%20AST)", "Leonard 14' Jump Shot (16 PTS) (Neal 2 AST)")</f>
        <v>Leonard 14' Jump Shot (16 PTS) (Neal 2 AST)</v>
      </c>
      <c r="L3652" s="2" t="str">
        <f>HYPERLINK("https://www.nba.com/game/...-vs-...-0041200152/play-by-play?watchFullGame=true", "SAS vs LAL - Q4 09:58.00")</f>
        <v>SAS vs LAL - Q4 09:58.00</v>
      </c>
      <c r="M3652">
        <v>14</v>
      </c>
      <c r="N3652">
        <v>12</v>
      </c>
      <c r="O3652">
        <v>143</v>
      </c>
      <c r="P3652">
        <v>12</v>
      </c>
      <c r="Q3652">
        <v>143</v>
      </c>
      <c r="R3652" t="s">
        <v>21</v>
      </c>
      <c r="S3652" t="s">
        <v>21</v>
      </c>
    </row>
    <row r="3653" spans="1:19" hidden="1" x14ac:dyDescent="0.25">
      <c r="A3653">
        <v>21500393</v>
      </c>
      <c r="B3653" t="s">
        <v>18</v>
      </c>
      <c r="C3653" t="s">
        <v>38</v>
      </c>
      <c r="D3653">
        <v>63</v>
      </c>
      <c r="E3653">
        <v>62</v>
      </c>
      <c r="F3653">
        <v>1</v>
      </c>
      <c r="G3653">
        <v>3</v>
      </c>
      <c r="H3653" s="1">
        <v>6.9328703703703705E-3</v>
      </c>
      <c r="I3653">
        <v>2015</v>
      </c>
      <c r="J3653" t="s">
        <v>20</v>
      </c>
      <c r="K3653" s="2" t="str">
        <f>HYPERLINK("https://www.nba.com/stats/events?CFID=&amp;CFPARAMS=&amp;GameEventID=260&amp;GameID=0021500393&amp;Season=2015-16&amp;flag=1&amp;title=Leonard%2014'%20Turnaround%20Fadeaway%20(12%20PTS)", "Leonard 14' Turnaround Fadeaway (12 PTS)")</f>
        <v>Leonard 14' Turnaround Fadeaway (12 PTS)</v>
      </c>
      <c r="L3653" s="2" t="str">
        <f>HYPERLINK("https://www.nba.com/game/...-vs-...-0021500393/play-by-play?watchFullGame=true", "SAS vs LAC - Q3 09:59.00")</f>
        <v>SAS vs LAC - Q3 09:59.00</v>
      </c>
      <c r="M3653">
        <v>14</v>
      </c>
      <c r="N3653">
        <v>137</v>
      </c>
      <c r="O3653">
        <v>0</v>
      </c>
      <c r="P3653">
        <v>137</v>
      </c>
      <c r="Q3653">
        <v>0</v>
      </c>
      <c r="R3653" t="s">
        <v>21</v>
      </c>
      <c r="S3653" t="s">
        <v>21</v>
      </c>
    </row>
    <row r="3654" spans="1:19" hidden="1" x14ac:dyDescent="0.25">
      <c r="A3654">
        <v>21401098</v>
      </c>
      <c r="B3654" t="s">
        <v>18</v>
      </c>
      <c r="C3654" t="s">
        <v>34</v>
      </c>
      <c r="D3654">
        <v>76</v>
      </c>
      <c r="E3654">
        <v>69</v>
      </c>
      <c r="F3654">
        <v>7</v>
      </c>
      <c r="G3654">
        <v>4</v>
      </c>
      <c r="H3654" s="1">
        <v>7.1527777777777779E-3</v>
      </c>
      <c r="I3654">
        <v>2014</v>
      </c>
      <c r="J3654" t="s">
        <v>20</v>
      </c>
      <c r="K3654" s="2" t="str">
        <f>HYPERLINK("https://www.nba.com/stats/events?CFID=&amp;CFPARAMS=&amp;GameEventID=361&amp;GameID=0021401098&amp;Season=2014-15&amp;flag=1&amp;title=Leonard%2014'%20Turnaround%20Jump%20Shot%20(16%20PTS)%20(Green%204%20AST)", "Leonard 14' Turnaround Jump Shot (16 PTS) (Green 4 AST)")</f>
        <v>Leonard 14' Turnaround Jump Shot (16 PTS) (Green 4 AST)</v>
      </c>
      <c r="L3654" s="2" t="str">
        <f>HYPERLINK("https://www.nba.com/game/...-vs-...-0021401098/play-by-play?watchFullGame=true", "SAS vs MEM - Q4 10:18.00")</f>
        <v>SAS vs MEM - Q4 10:18.00</v>
      </c>
      <c r="M3654">
        <v>14</v>
      </c>
      <c r="N3654">
        <v>-138</v>
      </c>
      <c r="O3654">
        <v>-5</v>
      </c>
      <c r="P3654">
        <v>-138</v>
      </c>
      <c r="Q3654">
        <v>-5</v>
      </c>
      <c r="R3654" t="s">
        <v>21</v>
      </c>
      <c r="S3654" t="s">
        <v>21</v>
      </c>
    </row>
    <row r="3655" spans="1:19" hidden="1" x14ac:dyDescent="0.25">
      <c r="A3655">
        <v>41800305</v>
      </c>
      <c r="B3655" t="s">
        <v>18</v>
      </c>
      <c r="C3655" t="s">
        <v>37</v>
      </c>
      <c r="D3655">
        <v>76</v>
      </c>
      <c r="E3655">
        <v>77</v>
      </c>
      <c r="F3655">
        <v>1</v>
      </c>
      <c r="G3655">
        <v>4</v>
      </c>
      <c r="H3655" s="1">
        <v>7.1759259259259259E-3</v>
      </c>
      <c r="I3655" t="s">
        <v>60</v>
      </c>
      <c r="J3655" t="s">
        <v>48</v>
      </c>
      <c r="K3655" s="2" t="str">
        <f>HYPERLINK("https://www.nba.com/stats/events?CFID=&amp;CFPARAMS=&amp;GameEventID=497&amp;GameID=0041800305&amp;Season=2018-19&amp;flag=1&amp;title=Leonard%2014'%20Fadeaway%20Jumper%20(24%20PTS)", "Leonard 14' Fadeaway Jumper (24 PTS)")</f>
        <v>Leonard 14' Fadeaway Jumper (24 PTS)</v>
      </c>
      <c r="L3655" s="2" t="str">
        <f>HYPERLINK("https://www.nba.com/game/...-vs-...-0041800305/play-by-play?watchFullGame=true", "TOR vs MIL - Q4 10:20.00")</f>
        <v>TOR vs MIL - Q4 10:20.00</v>
      </c>
      <c r="M3655">
        <v>14</v>
      </c>
      <c r="N3655">
        <v>-40</v>
      </c>
      <c r="O3655">
        <v>136</v>
      </c>
      <c r="P3655">
        <v>-40</v>
      </c>
      <c r="Q3655">
        <v>136</v>
      </c>
      <c r="R3655" t="s">
        <v>21</v>
      </c>
      <c r="S3655" t="s">
        <v>21</v>
      </c>
    </row>
    <row r="3656" spans="1:19" hidden="1" x14ac:dyDescent="0.25">
      <c r="A3656">
        <v>21601135</v>
      </c>
      <c r="B3656" t="s">
        <v>18</v>
      </c>
      <c r="C3656" t="s">
        <v>19</v>
      </c>
      <c r="D3656">
        <v>45</v>
      </c>
      <c r="E3656">
        <v>58</v>
      </c>
      <c r="F3656">
        <v>13</v>
      </c>
      <c r="G3656">
        <v>3</v>
      </c>
      <c r="H3656" s="1">
        <v>7.3032407407407404E-3</v>
      </c>
      <c r="I3656">
        <v>2016</v>
      </c>
      <c r="J3656" t="s">
        <v>20</v>
      </c>
      <c r="K3656" s="2" t="str">
        <f>HYPERLINK("https://www.nba.com/stats/events?CFID=&amp;CFPARAMS=&amp;GameEventID=268&amp;GameID=0021601135&amp;Season=2016-17&amp;flag=1&amp;title=Leonard%2014'%20Jump%20Shot%20(10%20PTS)%20(Aldridge%202%20AST)", "Leonard 14' Jump Shot (10 PTS) (Aldridge 2 AST)")</f>
        <v>Leonard 14' Jump Shot (10 PTS) (Aldridge 2 AST)</v>
      </c>
      <c r="L3656" s="2" t="str">
        <f>HYPERLINK("https://www.nba.com/game/...-vs-...-0021601135/play-by-play?watchFullGame=true", "SAS vs OKC - Q3 10:31.00")</f>
        <v>SAS vs OKC - Q3 10:31.00</v>
      </c>
      <c r="M3656">
        <v>14</v>
      </c>
      <c r="N3656">
        <v>-71</v>
      </c>
      <c r="O3656">
        <v>126</v>
      </c>
      <c r="P3656">
        <v>-71</v>
      </c>
      <c r="Q3656">
        <v>126</v>
      </c>
      <c r="R3656" t="s">
        <v>21</v>
      </c>
      <c r="S3656" t="s">
        <v>21</v>
      </c>
    </row>
    <row r="3657" spans="1:19" hidden="1" x14ac:dyDescent="0.25">
      <c r="A3657">
        <v>21301221</v>
      </c>
      <c r="B3657" t="s">
        <v>18</v>
      </c>
      <c r="C3657" t="s">
        <v>36</v>
      </c>
      <c r="D3657">
        <v>28</v>
      </c>
      <c r="E3657">
        <v>35</v>
      </c>
      <c r="F3657">
        <v>7</v>
      </c>
      <c r="G3657">
        <v>2</v>
      </c>
      <c r="H3657" s="1">
        <v>7.3958333333333333E-3</v>
      </c>
      <c r="I3657">
        <v>2013</v>
      </c>
      <c r="J3657" t="s">
        <v>20</v>
      </c>
      <c r="K3657" s="2" t="str">
        <f>HYPERLINK("https://www.nba.com/stats/events?CFID=&amp;CFPARAMS=&amp;GameEventID=139&amp;GameID=0021301221&amp;Season=2013-14&amp;flag=1&amp;title=Leonard%2014'%20Pullup%20Jump%20Shot%20(7%20PTS)", "Leonard 14' Pullup Jump Shot (7 PTS)")</f>
        <v>Leonard 14' Pullup Jump Shot (7 PTS)</v>
      </c>
      <c r="L3657" s="2" t="str">
        <f>HYPERLINK("https://www.nba.com/game/...-vs-...-0021301221/play-by-play?watchFullGame=true", "SAS vs LAL - Q2 10:39.00")</f>
        <v>SAS vs LAL - Q2 10:39.00</v>
      </c>
      <c r="M3657">
        <v>14</v>
      </c>
      <c r="N3657">
        <v>-144</v>
      </c>
      <c r="O3657">
        <v>-13</v>
      </c>
      <c r="P3657">
        <v>-144</v>
      </c>
      <c r="Q3657">
        <v>-13</v>
      </c>
      <c r="R3657" t="s">
        <v>21</v>
      </c>
      <c r="S3657" t="s">
        <v>21</v>
      </c>
    </row>
    <row r="3658" spans="1:19" hidden="1" x14ac:dyDescent="0.25">
      <c r="A3658">
        <v>41400165</v>
      </c>
      <c r="B3658" t="s">
        <v>18</v>
      </c>
      <c r="C3658" t="s">
        <v>36</v>
      </c>
      <c r="D3658">
        <v>2</v>
      </c>
      <c r="E3658">
        <v>3</v>
      </c>
      <c r="F3658">
        <v>1</v>
      </c>
      <c r="G3658">
        <v>1</v>
      </c>
      <c r="H3658" s="1">
        <v>7.4421296296296293E-3</v>
      </c>
      <c r="I3658" t="s">
        <v>56</v>
      </c>
      <c r="J3658" t="s">
        <v>20</v>
      </c>
      <c r="K3658" s="2" t="str">
        <f>HYPERLINK("https://www.nba.com/stats/events?CFID=&amp;CFPARAMS=&amp;GameEventID=14&amp;GameID=0041400165&amp;Season=2014-15&amp;flag=1&amp;title=Leonard%2014'%20Pullup%20Jump%20Shot%20(2%20PTS)%20(Green%201%20AST)", "Leonard 14' Pullup Jump Shot (2 PTS) (Green 1 AST)")</f>
        <v>Leonard 14' Pullup Jump Shot (2 PTS) (Green 1 AST)</v>
      </c>
      <c r="L3658" s="2" t="str">
        <f>HYPERLINK("https://www.nba.com/game/...-vs-...-0041400165/play-by-play?watchFullGame=true", "SAS vs LAC - Q1 10:43.00")</f>
        <v>SAS vs LAC - Q1 10:43.00</v>
      </c>
      <c r="M3658">
        <v>14</v>
      </c>
      <c r="N3658">
        <v>105</v>
      </c>
      <c r="O3658">
        <v>86</v>
      </c>
      <c r="P3658">
        <v>105</v>
      </c>
      <c r="Q3658">
        <v>86</v>
      </c>
      <c r="R3658" t="s">
        <v>21</v>
      </c>
      <c r="S3658" t="s">
        <v>21</v>
      </c>
    </row>
    <row r="3659" spans="1:19" hidden="1" x14ac:dyDescent="0.25">
      <c r="A3659">
        <v>41600311</v>
      </c>
      <c r="B3659" t="s">
        <v>18</v>
      </c>
      <c r="C3659" t="s">
        <v>37</v>
      </c>
      <c r="D3659">
        <v>2</v>
      </c>
      <c r="E3659">
        <v>0</v>
      </c>
      <c r="F3659">
        <v>2</v>
      </c>
      <c r="G3659">
        <v>1</v>
      </c>
      <c r="H3659" s="1">
        <v>7.5578703703703702E-3</v>
      </c>
      <c r="I3659" t="s">
        <v>58</v>
      </c>
      <c r="J3659" t="s">
        <v>20</v>
      </c>
      <c r="K3659" s="2" t="str">
        <f>HYPERLINK("https://www.nba.com/stats/events?CFID=&amp;CFPARAMS=&amp;GameEventID=9&amp;GameID=0041600311&amp;Season=2016-17&amp;flag=1&amp;title=Leonard%2014'%20Fadeaway%20Jumper%20(2%20PTS)%20(Mills%201%20AST)", "Leonard 14' Fadeaway Jumper (2 PTS) (Mills 1 AST)")</f>
        <v>Leonard 14' Fadeaway Jumper (2 PTS) (Mills 1 AST)</v>
      </c>
      <c r="L3659" s="2" t="str">
        <f>HYPERLINK("https://www.nba.com/game/...-vs-...-0041600311/play-by-play?watchFullGame=true", "SAS vs GSW - Q1 10:53.00")</f>
        <v>SAS vs GSW - Q1 10:53.00</v>
      </c>
      <c r="M3659">
        <v>14</v>
      </c>
      <c r="N3659">
        <v>132</v>
      </c>
      <c r="O3659">
        <v>46</v>
      </c>
      <c r="P3659">
        <v>132</v>
      </c>
      <c r="Q3659">
        <v>46</v>
      </c>
      <c r="R3659" t="s">
        <v>21</v>
      </c>
      <c r="S3659" t="s">
        <v>21</v>
      </c>
    </row>
    <row r="3660" spans="1:19" hidden="1" x14ac:dyDescent="0.25">
      <c r="A3660">
        <v>21401200</v>
      </c>
      <c r="B3660" t="s">
        <v>18</v>
      </c>
      <c r="C3660" t="s">
        <v>19</v>
      </c>
      <c r="D3660">
        <v>53</v>
      </c>
      <c r="E3660">
        <v>39</v>
      </c>
      <c r="F3660">
        <v>14</v>
      </c>
      <c r="G3660">
        <v>3</v>
      </c>
      <c r="H3660" s="1">
        <v>7.6157407407407406E-3</v>
      </c>
      <c r="I3660">
        <v>2014</v>
      </c>
      <c r="J3660" t="s">
        <v>20</v>
      </c>
      <c r="K3660" s="2" t="str">
        <f>HYPERLINK("https://www.nba.com/stats/events?CFID=&amp;CFPARAMS=&amp;GameEventID=285&amp;GameID=0021401200&amp;Season=2014-15&amp;flag=1&amp;title=Leonard%2014'%20Jump%20Shot%20(9%20PTS)%20(Green%202%20AST)", "Leonard 14' Jump Shot (9 PTS) (Green 2 AST)")</f>
        <v>Leonard 14' Jump Shot (9 PTS) (Green 2 AST)</v>
      </c>
      <c r="L3660" s="2" t="str">
        <f>HYPERLINK("https://www.nba.com/game/...-vs-...-0021401200/play-by-play?watchFullGame=true", "SAS vs PHX - Q3 10:58.00")</f>
        <v>SAS vs PHX - Q3 10:58.00</v>
      </c>
      <c r="M3660">
        <v>14</v>
      </c>
      <c r="N3660">
        <v>-144</v>
      </c>
      <c r="O3660">
        <v>-5</v>
      </c>
      <c r="P3660">
        <v>-144</v>
      </c>
      <c r="Q3660">
        <v>-5</v>
      </c>
      <c r="R3660" t="s">
        <v>21</v>
      </c>
      <c r="S3660" t="s">
        <v>21</v>
      </c>
    </row>
    <row r="3661" spans="1:19" hidden="1" x14ac:dyDescent="0.25">
      <c r="A3661">
        <v>21600182</v>
      </c>
      <c r="B3661" t="s">
        <v>18</v>
      </c>
      <c r="C3661" t="s">
        <v>34</v>
      </c>
      <c r="D3661">
        <v>2</v>
      </c>
      <c r="E3661">
        <v>0</v>
      </c>
      <c r="F3661">
        <v>2</v>
      </c>
      <c r="G3661">
        <v>1</v>
      </c>
      <c r="H3661" s="1">
        <v>7.6736111111111111E-3</v>
      </c>
      <c r="I3661">
        <v>2016</v>
      </c>
      <c r="J3661" t="s">
        <v>20</v>
      </c>
      <c r="K3661" s="2" t="str">
        <f>HYPERLINK("https://www.nba.com/stats/events?CFID=&amp;CFPARAMS=&amp;GameEventID=11&amp;GameID=0021600182&amp;Season=2016-17&amp;flag=1&amp;title=Leonard%2014'%20Turnaround%20Jump%20Shot%20(2%20PTS)%20(Green%201%20AST)", "Leonard 14' Turnaround Jump Shot (2 PTS) (Green 1 AST)")</f>
        <v>Leonard 14' Turnaround Jump Shot (2 PTS) (Green 1 AST)</v>
      </c>
      <c r="L3661" s="2" t="str">
        <f>HYPERLINK("https://www.nba.com/game/...-vs-...-0021600182/play-by-play?watchFullGame=true", "SAS vs LAL - Q1 11:03.00")</f>
        <v>SAS vs LAL - Q1 11:03.00</v>
      </c>
      <c r="M3661">
        <v>14</v>
      </c>
      <c r="N3661">
        <v>-144</v>
      </c>
      <c r="O3661">
        <v>-11</v>
      </c>
      <c r="P3661">
        <v>-144</v>
      </c>
      <c r="Q3661">
        <v>-11</v>
      </c>
      <c r="R3661" t="s">
        <v>21</v>
      </c>
      <c r="S3661" t="s">
        <v>21</v>
      </c>
    </row>
    <row r="3662" spans="1:19" hidden="1" x14ac:dyDescent="0.25">
      <c r="A3662">
        <v>21401057</v>
      </c>
      <c r="B3662" t="s">
        <v>18</v>
      </c>
      <c r="C3662" t="s">
        <v>36</v>
      </c>
      <c r="D3662">
        <v>2</v>
      </c>
      <c r="E3662">
        <v>0</v>
      </c>
      <c r="F3662">
        <v>2</v>
      </c>
      <c r="G3662">
        <v>1</v>
      </c>
      <c r="H3662" s="1">
        <v>7.6967592592592591E-3</v>
      </c>
      <c r="I3662">
        <v>2014</v>
      </c>
      <c r="J3662" t="s">
        <v>20</v>
      </c>
      <c r="K3662" s="2" t="str">
        <f>HYPERLINK("https://www.nba.com/stats/events?CFID=&amp;CFPARAMS=&amp;GameEventID=9&amp;GameID=0021401057&amp;Season=2014-15&amp;flag=1&amp;title=Leonard%2014'%20Pullup%20Jump%20Shot%20(2%20PTS)", "Leonard 14' Pullup Jump Shot (2 PTS)")</f>
        <v>Leonard 14' Pullup Jump Shot (2 PTS)</v>
      </c>
      <c r="L3662" s="2" t="str">
        <f>HYPERLINK("https://www.nba.com/game/...-vs-...-0021401057/play-by-play?watchFullGame=true", "SAS vs DAL - Q1 11:05.00")</f>
        <v>SAS vs DAL - Q1 11:05.00</v>
      </c>
      <c r="M3662">
        <v>14</v>
      </c>
      <c r="N3662">
        <v>23</v>
      </c>
      <c r="O3662">
        <v>143</v>
      </c>
      <c r="P3662">
        <v>23</v>
      </c>
      <c r="Q3662">
        <v>143</v>
      </c>
      <c r="R3662" t="s">
        <v>21</v>
      </c>
      <c r="S3662" t="s">
        <v>21</v>
      </c>
    </row>
    <row r="3663" spans="1:19" hidden="1" x14ac:dyDescent="0.25">
      <c r="A3663">
        <v>21401098</v>
      </c>
      <c r="B3663" t="s">
        <v>18</v>
      </c>
      <c r="C3663" t="s">
        <v>34</v>
      </c>
      <c r="D3663">
        <v>74</v>
      </c>
      <c r="E3663">
        <v>66</v>
      </c>
      <c r="F3663">
        <v>8</v>
      </c>
      <c r="G3663">
        <v>4</v>
      </c>
      <c r="H3663" s="1">
        <v>7.7314814814814815E-3</v>
      </c>
      <c r="I3663">
        <v>2014</v>
      </c>
      <c r="J3663" t="s">
        <v>20</v>
      </c>
      <c r="K3663" s="2" t="str">
        <f>HYPERLINK("https://www.nba.com/stats/events?CFID=&amp;CFPARAMS=&amp;GameEventID=357&amp;GameID=0021401098&amp;Season=2014-15&amp;flag=1&amp;title=Leonard%2014'%20Turnaround%20Jump%20Shot%20(14%20PTS)", "Leonard 14' Turnaround Jump Shot (14 PTS)")</f>
        <v>Leonard 14' Turnaround Jump Shot (14 PTS)</v>
      </c>
      <c r="L3663" s="2" t="str">
        <f>HYPERLINK("https://www.nba.com/game/...-vs-...-0021401098/play-by-play?watchFullGame=true", "SAS vs MEM - Q4 11:08.00")</f>
        <v>SAS vs MEM - Q4 11:08.00</v>
      </c>
      <c r="M3663">
        <v>14</v>
      </c>
      <c r="N3663">
        <v>140</v>
      </c>
      <c r="O3663">
        <v>-13</v>
      </c>
      <c r="P3663">
        <v>140</v>
      </c>
      <c r="Q3663">
        <v>-13</v>
      </c>
      <c r="R3663" t="s">
        <v>21</v>
      </c>
      <c r="S3663" t="s">
        <v>21</v>
      </c>
    </row>
    <row r="3664" spans="1:19" hidden="1" x14ac:dyDescent="0.25">
      <c r="A3664">
        <v>21600825</v>
      </c>
      <c r="B3664" t="s">
        <v>18</v>
      </c>
      <c r="C3664" t="s">
        <v>29</v>
      </c>
      <c r="D3664">
        <v>51</v>
      </c>
      <c r="E3664">
        <v>52</v>
      </c>
      <c r="F3664">
        <v>1</v>
      </c>
      <c r="G3664">
        <v>3</v>
      </c>
      <c r="H3664" s="1">
        <v>7.9282407407407409E-3</v>
      </c>
      <c r="I3664">
        <v>2016</v>
      </c>
      <c r="J3664" t="s">
        <v>20</v>
      </c>
      <c r="K3664" s="2" t="str">
        <f>HYPERLINK("https://www.nba.com/stats/events?CFID=&amp;CFPARAMS=&amp;GameEventID=249&amp;GameID=0021600825&amp;Season=2016-17&amp;flag=1&amp;title=Leonard%2014'%20Jump%20Bank%20Shot%20(15%20PTS)", "Leonard 14' Jump Bank Shot (15 PTS)")</f>
        <v>Leonard 14' Jump Bank Shot (15 PTS)</v>
      </c>
      <c r="L3664" s="2" t="str">
        <f>HYPERLINK("https://www.nba.com/game/...-vs-...-0021600825/play-by-play?watchFullGame=true", "SAS vs IND - Q3 11:25.00")</f>
        <v>SAS vs IND - Q3 11:25.00</v>
      </c>
      <c r="M3664">
        <v>14</v>
      </c>
      <c r="N3664">
        <v>107</v>
      </c>
      <c r="O3664">
        <v>85</v>
      </c>
      <c r="P3664">
        <v>107</v>
      </c>
      <c r="Q3664">
        <v>85</v>
      </c>
      <c r="R3664" t="s">
        <v>21</v>
      </c>
      <c r="S3664" t="s">
        <v>21</v>
      </c>
    </row>
    <row r="3665" spans="1:19" hidden="1" x14ac:dyDescent="0.25">
      <c r="A3665">
        <v>41300147</v>
      </c>
      <c r="B3665" t="s">
        <v>18</v>
      </c>
      <c r="C3665" t="s">
        <v>36</v>
      </c>
      <c r="D3665">
        <v>70</v>
      </c>
      <c r="E3665">
        <v>49</v>
      </c>
      <c r="F3665">
        <v>21</v>
      </c>
      <c r="G3665">
        <v>3</v>
      </c>
      <c r="H3665" s="1">
        <v>7.951388888888888E-3</v>
      </c>
      <c r="I3665" t="s">
        <v>55</v>
      </c>
      <c r="J3665" t="s">
        <v>20</v>
      </c>
      <c r="K3665" s="2" t="str">
        <f>HYPERLINK("https://www.nba.com/stats/events?CFID=&amp;CFPARAMS=&amp;GameEventID=275&amp;GameID=0041300147&amp;Season=2013-14&amp;flag=1&amp;title=Leonard%2014'%20Pullup%20Jump%20Shot%20(8%20PTS)", "Leonard 14' Pullup Jump Shot (8 PTS)")</f>
        <v>Leonard 14' Pullup Jump Shot (8 PTS)</v>
      </c>
      <c r="L3665" s="2" t="str">
        <f>HYPERLINK("https://www.nba.com/game/...-vs-...-0041300147/play-by-play?watchFullGame=true", "SAS vs DAL - Q3 11:27.00")</f>
        <v>SAS vs DAL - Q3 11:27.00</v>
      </c>
      <c r="M3665">
        <v>14</v>
      </c>
      <c r="N3665">
        <v>122</v>
      </c>
      <c r="O3665">
        <v>75</v>
      </c>
      <c r="P3665">
        <v>122</v>
      </c>
      <c r="Q3665">
        <v>75</v>
      </c>
      <c r="R3665" t="s">
        <v>21</v>
      </c>
      <c r="S3665" t="s">
        <v>21</v>
      </c>
    </row>
    <row r="3666" spans="1:19" hidden="1" x14ac:dyDescent="0.25">
      <c r="A3666">
        <v>21300363</v>
      </c>
      <c r="B3666" t="s">
        <v>18</v>
      </c>
      <c r="C3666" t="s">
        <v>19</v>
      </c>
      <c r="D3666">
        <v>2</v>
      </c>
      <c r="E3666">
        <v>0</v>
      </c>
      <c r="F3666">
        <v>2</v>
      </c>
      <c r="G3666">
        <v>1</v>
      </c>
      <c r="H3666" s="1">
        <v>7.9629629629629634E-3</v>
      </c>
      <c r="I3666">
        <v>2013</v>
      </c>
      <c r="J3666" t="s">
        <v>20</v>
      </c>
      <c r="K3666" s="2" t="str">
        <f>HYPERLINK("https://www.nba.com/stats/events?CFID=&amp;CFPARAMS=&amp;GameEventID=4&amp;GameID=0021300363&amp;Season=2013-14&amp;flag=1&amp;title=Leonard%2014'%20Jump%20Shot%20(2%20PTS)", "Leonard 14' Jump Shot (2 PTS)")</f>
        <v>Leonard 14' Jump Shot (2 PTS)</v>
      </c>
      <c r="L3666" s="2" t="str">
        <f>HYPERLINK("https://www.nba.com/game/...-vs-...-0021300363/play-by-play?watchFullGame=true", "SAS vs LAC - Q1 11:28.00")</f>
        <v>SAS vs LAC - Q1 11:28.00</v>
      </c>
      <c r="M3666">
        <v>14</v>
      </c>
      <c r="N3666">
        <v>136</v>
      </c>
      <c r="O3666">
        <v>23</v>
      </c>
      <c r="P3666">
        <v>136</v>
      </c>
      <c r="Q3666">
        <v>23</v>
      </c>
      <c r="R3666" t="s">
        <v>21</v>
      </c>
      <c r="S3666" t="s">
        <v>21</v>
      </c>
    </row>
    <row r="3667" spans="1:19" hidden="1" x14ac:dyDescent="0.25">
      <c r="A3667">
        <v>21300245</v>
      </c>
      <c r="B3667" t="s">
        <v>18</v>
      </c>
      <c r="C3667" t="s">
        <v>19</v>
      </c>
      <c r="D3667">
        <v>48</v>
      </c>
      <c r="E3667">
        <v>57</v>
      </c>
      <c r="F3667">
        <v>9</v>
      </c>
      <c r="G3667">
        <v>3</v>
      </c>
      <c r="H3667" s="1">
        <v>8.0902777777777778E-3</v>
      </c>
      <c r="I3667">
        <v>2013</v>
      </c>
      <c r="J3667" t="s">
        <v>20</v>
      </c>
      <c r="K3667" s="2" t="str">
        <f>HYPERLINK("https://www.nba.com/stats/events?CFID=&amp;CFPARAMS=&amp;GameEventID=253&amp;GameID=0021300245&amp;Season=2013-14&amp;flag=1&amp;title=Leonard%2014'%20Jump%20Shot%20(4%20PTS)", "Leonard 14' Jump Shot (4 PTS)")</f>
        <v>Leonard 14' Jump Shot (4 PTS)</v>
      </c>
      <c r="L3667" s="2" t="str">
        <f>HYPERLINK("https://www.nba.com/game/...-vs-...-0021300245/play-by-play?watchFullGame=true", "SAS vs HOU - Q3 11:39.00")</f>
        <v>SAS vs HOU - Q3 11:39.00</v>
      </c>
      <c r="M3667">
        <v>14</v>
      </c>
      <c r="N3667">
        <v>-130</v>
      </c>
      <c r="O3667">
        <v>58</v>
      </c>
      <c r="P3667">
        <v>-130</v>
      </c>
      <c r="Q3667">
        <v>58</v>
      </c>
      <c r="R3667" t="s">
        <v>21</v>
      </c>
      <c r="S3667" t="s">
        <v>21</v>
      </c>
    </row>
    <row r="3668" spans="1:19" hidden="1" x14ac:dyDescent="0.25">
      <c r="A3668">
        <v>41300222</v>
      </c>
      <c r="B3668" t="s">
        <v>18</v>
      </c>
      <c r="C3668" t="s">
        <v>19</v>
      </c>
      <c r="D3668">
        <v>2</v>
      </c>
      <c r="E3668">
        <v>0</v>
      </c>
      <c r="F3668">
        <v>2</v>
      </c>
      <c r="G3668">
        <v>1</v>
      </c>
      <c r="H3668" s="1">
        <v>8.1250000000000003E-3</v>
      </c>
      <c r="I3668" t="s">
        <v>55</v>
      </c>
      <c r="J3668" t="s">
        <v>20</v>
      </c>
      <c r="K3668" s="2" t="str">
        <f>HYPERLINK("https://www.nba.com/stats/events?CFID=&amp;CFPARAMS=&amp;GameEventID=2&amp;GameID=0041300222&amp;Season=2013-14&amp;flag=1&amp;title=Leonard%2014'%20Jump%20Shot%20(2%20PTS)", "Leonard 14' Jump Shot (2 PTS)")</f>
        <v>Leonard 14' Jump Shot (2 PTS)</v>
      </c>
      <c r="L3668" s="2" t="str">
        <f>HYPERLINK("https://www.nba.com/game/...-vs-...-0041300222/play-by-play?watchFullGame=true", "SAS vs POR - Q1 11:42.00")</f>
        <v>SAS vs POR - Q1 11:42.00</v>
      </c>
      <c r="M3668">
        <v>14</v>
      </c>
      <c r="N3668">
        <v>-131</v>
      </c>
      <c r="O3668">
        <v>44</v>
      </c>
      <c r="P3668">
        <v>-131</v>
      </c>
      <c r="Q3668">
        <v>44</v>
      </c>
      <c r="R3668" t="s">
        <v>21</v>
      </c>
      <c r="S3668" t="s">
        <v>21</v>
      </c>
    </row>
    <row r="3669" spans="1:19" hidden="1" x14ac:dyDescent="0.25">
      <c r="A3669">
        <v>21601085</v>
      </c>
      <c r="B3669" t="s">
        <v>18</v>
      </c>
      <c r="C3669" t="s">
        <v>37</v>
      </c>
      <c r="D3669">
        <v>61</v>
      </c>
      <c r="E3669">
        <v>41</v>
      </c>
      <c r="F3669">
        <v>20</v>
      </c>
      <c r="G3669">
        <v>2</v>
      </c>
      <c r="H3669" s="1">
        <v>3.6921296296296295E-4</v>
      </c>
      <c r="I3669">
        <v>2016</v>
      </c>
      <c r="J3669" t="s">
        <v>20</v>
      </c>
      <c r="K3669" s="2" t="str">
        <f>HYPERLINK("https://www.nba.com/stats/events?CFID=&amp;CFPARAMS=&amp;GameEventID=245&amp;GameID=0021601085&amp;Season=2016-17&amp;flag=1&amp;title=Leonard%2013'%20Fadeaway%20Jumper%20(18%20PTS)", "Leonard 13' Fadeaway Jumper (18 PTS)")</f>
        <v>Leonard 13' Fadeaway Jumper (18 PTS)</v>
      </c>
      <c r="L3669" s="2" t="str">
        <f>HYPERLINK("https://www.nba.com/game/...-vs-...-0021601085/play-by-play?watchFullGame=true", "SAS vs NYK - Q2 00:31.90")</f>
        <v>SAS vs NYK - Q2 00:31.90</v>
      </c>
      <c r="M3669">
        <v>13</v>
      </c>
      <c r="N3669">
        <v>94</v>
      </c>
      <c r="O3669">
        <v>87</v>
      </c>
      <c r="P3669">
        <v>94</v>
      </c>
      <c r="Q3669">
        <v>87</v>
      </c>
      <c r="R3669" t="s">
        <v>21</v>
      </c>
      <c r="S3669" t="s">
        <v>21</v>
      </c>
    </row>
    <row r="3670" spans="1:19" hidden="1" x14ac:dyDescent="0.25">
      <c r="A3670">
        <v>21401181</v>
      </c>
      <c r="B3670" t="s">
        <v>18</v>
      </c>
      <c r="C3670" t="s">
        <v>38</v>
      </c>
      <c r="D3670">
        <v>44</v>
      </c>
      <c r="E3670">
        <v>45</v>
      </c>
      <c r="F3670">
        <v>1</v>
      </c>
      <c r="G3670">
        <v>2</v>
      </c>
      <c r="H3670" s="1">
        <v>4.5254629629629632E-4</v>
      </c>
      <c r="I3670">
        <v>2014</v>
      </c>
      <c r="J3670" t="s">
        <v>20</v>
      </c>
      <c r="K3670" s="2" t="str">
        <f>HYPERLINK("https://www.nba.com/stats/events?CFID=&amp;CFPARAMS=&amp;GameEventID=270&amp;GameID=0021401181&amp;Season=2014-15&amp;flag=1&amp;title=Leonard%2013'%20Turnaround%20Fadeaway%20(6%20PTS)", "Leonard 13' Turnaround Fadeaway (6 PTS)")</f>
        <v>Leonard 13' Turnaround Fadeaway (6 PTS)</v>
      </c>
      <c r="L3670" s="2" t="str">
        <f>HYPERLINK("https://www.nba.com/game/...-vs-...-0021401181/play-by-play?watchFullGame=true", "SAS vs HOU - Q2 00:39.10")</f>
        <v>SAS vs HOU - Q2 00:39.10</v>
      </c>
      <c r="M3670">
        <v>13</v>
      </c>
      <c r="N3670">
        <v>-105</v>
      </c>
      <c r="O3670">
        <v>80</v>
      </c>
      <c r="P3670">
        <v>-105</v>
      </c>
      <c r="Q3670">
        <v>80</v>
      </c>
      <c r="R3670" t="s">
        <v>21</v>
      </c>
      <c r="S3670" t="s">
        <v>21</v>
      </c>
    </row>
    <row r="3671" spans="1:19" hidden="1" x14ac:dyDescent="0.25">
      <c r="A3671">
        <v>21400089</v>
      </c>
      <c r="B3671" t="s">
        <v>18</v>
      </c>
      <c r="C3671" t="s">
        <v>19</v>
      </c>
      <c r="D3671">
        <v>96</v>
      </c>
      <c r="E3671">
        <v>98</v>
      </c>
      <c r="F3671">
        <v>2</v>
      </c>
      <c r="G3671">
        <v>4</v>
      </c>
      <c r="H3671" s="1">
        <v>5.1967592592592593E-4</v>
      </c>
      <c r="I3671">
        <v>2014</v>
      </c>
      <c r="J3671" t="s">
        <v>20</v>
      </c>
      <c r="K3671" s="2" t="str">
        <f>HYPERLINK("https://www.nba.com/stats/events?CFID=&amp;CFPARAMS=&amp;GameEventID=497&amp;GameID=0021400089&amp;Season=2014-15&amp;flag=1&amp;title=Leonard%2013'%20Jump%20Shot%20(14%20PTS)%20(Joseph%203%20AST)", "Leonard 13' Jump Shot (14 PTS) (Joseph 3 AST)")</f>
        <v>Leonard 13' Jump Shot (14 PTS) (Joseph 3 AST)</v>
      </c>
      <c r="L3671" s="2" t="str">
        <f>HYPERLINK("https://www.nba.com/game/...-vs-...-0021400089/play-by-play?watchFullGame=true", "SAS vs NOP - Q4 00:44.90")</f>
        <v>SAS vs NOP - Q4 00:44.90</v>
      </c>
      <c r="M3671">
        <v>13</v>
      </c>
      <c r="N3671">
        <v>-134</v>
      </c>
      <c r="O3671">
        <v>7</v>
      </c>
      <c r="P3671">
        <v>-134</v>
      </c>
      <c r="Q3671">
        <v>7</v>
      </c>
      <c r="R3671" t="s">
        <v>21</v>
      </c>
      <c r="S3671" t="s">
        <v>21</v>
      </c>
    </row>
    <row r="3672" spans="1:19" hidden="1" x14ac:dyDescent="0.25">
      <c r="A3672">
        <v>21600383</v>
      </c>
      <c r="B3672" t="s">
        <v>18</v>
      </c>
      <c r="C3672" t="s">
        <v>30</v>
      </c>
      <c r="D3672">
        <v>106</v>
      </c>
      <c r="E3672">
        <v>97</v>
      </c>
      <c r="F3672">
        <v>9</v>
      </c>
      <c r="G3672">
        <v>4</v>
      </c>
      <c r="H3672" s="1">
        <v>7.0601851851851847E-4</v>
      </c>
      <c r="I3672">
        <v>2016</v>
      </c>
      <c r="J3672" t="s">
        <v>20</v>
      </c>
      <c r="K3672" s="2" t="str">
        <f>HYPERLINK("https://www.nba.com/stats/events?CFID=&amp;CFPARAMS=&amp;GameEventID=476&amp;GameID=0021600383&amp;Season=2016-17&amp;flag=1&amp;title=Leonard%2013'%20Running%20Jump%20Shot%20(26%20PTS)", "Leonard 13' Running Jump Shot (26 PTS)")</f>
        <v>Leonard 13' Running Jump Shot (26 PTS)</v>
      </c>
      <c r="L3672" s="2" t="str">
        <f>HYPERLINK("https://www.nba.com/game/...-vs-...-0021600383/play-by-play?watchFullGame=true", "SAS vs BOS - Q4 01:01.00")</f>
        <v>SAS vs BOS - Q4 01:01.00</v>
      </c>
      <c r="M3672">
        <v>13</v>
      </c>
      <c r="N3672">
        <v>-76</v>
      </c>
      <c r="O3672">
        <v>100</v>
      </c>
      <c r="P3672">
        <v>-76</v>
      </c>
      <c r="Q3672">
        <v>100</v>
      </c>
      <c r="R3672" t="s">
        <v>21</v>
      </c>
      <c r="S3672" t="s">
        <v>21</v>
      </c>
    </row>
    <row r="3673" spans="1:19" hidden="1" x14ac:dyDescent="0.25">
      <c r="A3673">
        <v>41800111</v>
      </c>
      <c r="B3673" t="s">
        <v>18</v>
      </c>
      <c r="C3673" t="s">
        <v>37</v>
      </c>
      <c r="D3673">
        <v>101</v>
      </c>
      <c r="E3673">
        <v>99</v>
      </c>
      <c r="F3673">
        <v>2</v>
      </c>
      <c r="G3673">
        <v>4</v>
      </c>
      <c r="H3673" s="1">
        <v>7.1759259259259259E-4</v>
      </c>
      <c r="I3673" t="s">
        <v>60</v>
      </c>
      <c r="J3673" t="s">
        <v>48</v>
      </c>
      <c r="K3673" s="2" t="str">
        <f>HYPERLINK("https://www.nba.com/stats/events?CFID=&amp;CFPARAMS=&amp;GameEventID=599&amp;GameID=0041800111&amp;Season=2018-19&amp;flag=1&amp;title=Leonard%2013'%20Fadeaway%20Jumper%20(25%20PTS)", "Leonard 13' Fadeaway Jumper (25 PTS)")</f>
        <v>Leonard 13' Fadeaway Jumper (25 PTS)</v>
      </c>
      <c r="L3673" s="2" t="str">
        <f>HYPERLINK("https://www.nba.com/game/...-vs-...-0041800111/play-by-play?watchFullGame=true", "TOR vs ORL - Q4 01:02.00")</f>
        <v>TOR vs ORL - Q4 01:02.00</v>
      </c>
      <c r="M3673">
        <v>13</v>
      </c>
      <c r="N3673">
        <v>-128</v>
      </c>
      <c r="O3673">
        <v>3</v>
      </c>
      <c r="P3673">
        <v>-128</v>
      </c>
      <c r="Q3673">
        <v>3</v>
      </c>
      <c r="R3673" t="s">
        <v>21</v>
      </c>
      <c r="S3673" t="s">
        <v>21</v>
      </c>
    </row>
    <row r="3674" spans="1:19" hidden="1" x14ac:dyDescent="0.25">
      <c r="A3674">
        <v>21500207</v>
      </c>
      <c r="B3674" t="s">
        <v>18</v>
      </c>
      <c r="C3674" t="s">
        <v>37</v>
      </c>
      <c r="D3674">
        <v>20</v>
      </c>
      <c r="E3674">
        <v>15</v>
      </c>
      <c r="F3674">
        <v>5</v>
      </c>
      <c r="G3674">
        <v>1</v>
      </c>
      <c r="H3674" s="1">
        <v>8.3333333333333339E-4</v>
      </c>
      <c r="I3674">
        <v>2015</v>
      </c>
      <c r="J3674" t="s">
        <v>20</v>
      </c>
      <c r="K3674" s="2" t="str">
        <f>HYPERLINK("https://www.nba.com/stats/events?CFID=&amp;CFPARAMS=&amp;GameEventID=96&amp;GameID=0021500207&amp;Season=2015-16&amp;flag=1&amp;title=Leonard%2013'%20Fadeaway%20Jumper%20(11%20PTS)", "Leonard 13' Fadeaway Jumper (11 PTS)")</f>
        <v>Leonard 13' Fadeaway Jumper (11 PTS)</v>
      </c>
      <c r="L3674" s="2" t="str">
        <f>HYPERLINK("https://www.nba.com/game/...-vs-...-0021500207/play-by-play?watchFullGame=true", "SAS vs PHX - Q1 01:12.00")</f>
        <v>SAS vs PHX - Q1 01:12.00</v>
      </c>
      <c r="M3674">
        <v>13</v>
      </c>
      <c r="N3674">
        <v>127</v>
      </c>
      <c r="O3674">
        <v>-6</v>
      </c>
      <c r="P3674">
        <v>127</v>
      </c>
      <c r="Q3674">
        <v>-6</v>
      </c>
      <c r="R3674" t="s">
        <v>21</v>
      </c>
      <c r="S3674" t="s">
        <v>21</v>
      </c>
    </row>
    <row r="3675" spans="1:19" hidden="1" x14ac:dyDescent="0.25">
      <c r="A3675">
        <v>21800909</v>
      </c>
      <c r="B3675" t="s">
        <v>18</v>
      </c>
      <c r="C3675" t="s">
        <v>65</v>
      </c>
      <c r="D3675">
        <v>63</v>
      </c>
      <c r="E3675">
        <v>43</v>
      </c>
      <c r="F3675">
        <v>20</v>
      </c>
      <c r="G3675">
        <v>2</v>
      </c>
      <c r="H3675" s="1">
        <v>8.564814814814815E-4</v>
      </c>
      <c r="I3675">
        <v>2018</v>
      </c>
      <c r="J3675" t="s">
        <v>48</v>
      </c>
      <c r="K3675" s="2" t="str">
        <f>HYPERLINK("https://www.nba.com/stats/events?CFID=&amp;CFPARAMS=&amp;GameEventID=312&amp;GameID=0021800909&amp;Season=2018-19&amp;flag=1&amp;title=Leonard%2013'%20Running%20Pull-Up%20Jump%20Shot%20(12%20PTS)", "Leonard 13' Running Pull-Up Jump Shot (12 PTS)")</f>
        <v>Leonard 13' Running Pull-Up Jump Shot (12 PTS)</v>
      </c>
      <c r="L3675" s="2" t="str">
        <f>HYPERLINK("https://www.nba.com/game/...-vs-...-0021800909/play-by-play?watchFullGame=true", "TOR vs BOS - Q2 01:14.00")</f>
        <v>TOR vs BOS - Q2 01:14.00</v>
      </c>
      <c r="M3675">
        <v>13</v>
      </c>
      <c r="N3675">
        <v>-127</v>
      </c>
      <c r="O3675">
        <v>35</v>
      </c>
      <c r="P3675">
        <v>-127</v>
      </c>
      <c r="Q3675">
        <v>35</v>
      </c>
      <c r="R3675" t="s">
        <v>21</v>
      </c>
      <c r="S3675" t="s">
        <v>21</v>
      </c>
    </row>
    <row r="3676" spans="1:19" hidden="1" x14ac:dyDescent="0.25">
      <c r="A3676">
        <v>41600156</v>
      </c>
      <c r="B3676" t="s">
        <v>18</v>
      </c>
      <c r="C3676" t="s">
        <v>36</v>
      </c>
      <c r="D3676">
        <v>24</v>
      </c>
      <c r="E3676">
        <v>19</v>
      </c>
      <c r="F3676">
        <v>5</v>
      </c>
      <c r="G3676">
        <v>1</v>
      </c>
      <c r="H3676" s="1">
        <v>9.1435185185185185E-4</v>
      </c>
      <c r="I3676" t="s">
        <v>58</v>
      </c>
      <c r="J3676" t="s">
        <v>20</v>
      </c>
      <c r="K3676" s="2" t="str">
        <f>HYPERLINK("https://www.nba.com/stats/events?CFID=&amp;CFPARAMS=&amp;GameEventID=84&amp;GameID=0041600156&amp;Season=2016-17&amp;flag=1&amp;title=Leonard%2013'%20Pullup%20Jump%20Shot%20(6%20PTS)", "Leonard 13' Pullup Jump Shot (6 PTS)")</f>
        <v>Leonard 13' Pullup Jump Shot (6 PTS)</v>
      </c>
      <c r="L3676" s="2" t="str">
        <f>HYPERLINK("https://www.nba.com/game/...-vs-...-0041600156/play-by-play?watchFullGame=true", "SAS vs MEM - Q1 01:19.00")</f>
        <v>SAS vs MEM - Q1 01:19.00</v>
      </c>
      <c r="M3676">
        <v>13</v>
      </c>
      <c r="N3676">
        <v>46</v>
      </c>
      <c r="O3676">
        <v>126</v>
      </c>
      <c r="P3676">
        <v>46</v>
      </c>
      <c r="Q3676">
        <v>126</v>
      </c>
      <c r="R3676" t="s">
        <v>21</v>
      </c>
      <c r="S3676" t="s">
        <v>21</v>
      </c>
    </row>
    <row r="3677" spans="1:19" hidden="1" x14ac:dyDescent="0.25">
      <c r="A3677">
        <v>21400361</v>
      </c>
      <c r="B3677" t="s">
        <v>18</v>
      </c>
      <c r="C3677" t="s">
        <v>19</v>
      </c>
      <c r="D3677">
        <v>95</v>
      </c>
      <c r="E3677">
        <v>104</v>
      </c>
      <c r="F3677">
        <v>9</v>
      </c>
      <c r="G3677">
        <v>4</v>
      </c>
      <c r="H3677" s="1">
        <v>9.2592592592592596E-4</v>
      </c>
      <c r="I3677">
        <v>2014</v>
      </c>
      <c r="J3677" t="s">
        <v>20</v>
      </c>
      <c r="K3677" s="2" t="str">
        <f>HYPERLINK("https://www.nba.com/stats/events?CFID=&amp;CFPARAMS=&amp;GameEventID=494&amp;GameID=0021400361&amp;Season=2014-15&amp;flag=1&amp;title=Leonard%2013'%20Jump%20Shot%20(21%20PTS)", "Leonard 13' Jump Shot (21 PTS)")</f>
        <v>Leonard 13' Jump Shot (21 PTS)</v>
      </c>
      <c r="L3677" s="2" t="str">
        <f>HYPERLINK("https://www.nba.com/game/...-vs-...-0021400361/play-by-play?watchFullGame=true", "SAS vs POR - Q4 01:20.00")</f>
        <v>SAS vs POR - Q4 01:20.00</v>
      </c>
      <c r="M3677">
        <v>13</v>
      </c>
      <c r="N3677">
        <v>-24</v>
      </c>
      <c r="O3677">
        <v>131</v>
      </c>
      <c r="P3677">
        <v>-24</v>
      </c>
      <c r="Q3677">
        <v>131</v>
      </c>
      <c r="R3677" t="s">
        <v>21</v>
      </c>
      <c r="S3677" t="s">
        <v>21</v>
      </c>
    </row>
    <row r="3678" spans="1:19" hidden="1" x14ac:dyDescent="0.25">
      <c r="A3678">
        <v>21800019</v>
      </c>
      <c r="B3678" t="s">
        <v>18</v>
      </c>
      <c r="C3678" t="s">
        <v>37</v>
      </c>
      <c r="D3678">
        <v>43</v>
      </c>
      <c r="E3678">
        <v>45</v>
      </c>
      <c r="F3678">
        <v>2</v>
      </c>
      <c r="G3678">
        <v>2</v>
      </c>
      <c r="H3678" s="1">
        <v>1.0995370370370371E-3</v>
      </c>
      <c r="I3678">
        <v>2018</v>
      </c>
      <c r="J3678" t="s">
        <v>48</v>
      </c>
      <c r="K3678" s="2" t="str">
        <f>HYPERLINK("https://www.nba.com/stats/events?CFID=&amp;CFPARAMS=&amp;GameEventID=316&amp;GameID=0021800019&amp;Season=2018-19&amp;flag=1&amp;title=Leonard%2013'%20Fadeaway%20Jumper%20(9%20PTS)", "Leonard 13' Fadeaway Jumper (9 PTS)")</f>
        <v>Leonard 13' Fadeaway Jumper (9 PTS)</v>
      </c>
      <c r="L3678" s="2" t="str">
        <f>HYPERLINK("https://www.nba.com/game/...-vs-...-0021800019/play-by-play?watchFullGame=true", "TOR vs BOS - Q2 01:35.00")</f>
        <v>TOR vs BOS - Q2 01:35.00</v>
      </c>
      <c r="M3678">
        <v>13</v>
      </c>
      <c r="N3678">
        <v>127</v>
      </c>
      <c r="O3678">
        <v>6</v>
      </c>
      <c r="P3678">
        <v>127</v>
      </c>
      <c r="Q3678">
        <v>6</v>
      </c>
      <c r="R3678" t="s">
        <v>21</v>
      </c>
      <c r="S3678" t="s">
        <v>21</v>
      </c>
    </row>
    <row r="3679" spans="1:19" hidden="1" x14ac:dyDescent="0.25">
      <c r="A3679">
        <v>21500653</v>
      </c>
      <c r="B3679" t="s">
        <v>18</v>
      </c>
      <c r="C3679" t="s">
        <v>36</v>
      </c>
      <c r="D3679">
        <v>52</v>
      </c>
      <c r="E3679">
        <v>43</v>
      </c>
      <c r="F3679">
        <v>9</v>
      </c>
      <c r="G3679">
        <v>2</v>
      </c>
      <c r="H3679" s="1">
        <v>1.2847222222222223E-3</v>
      </c>
      <c r="I3679">
        <v>2015</v>
      </c>
      <c r="J3679" t="s">
        <v>20</v>
      </c>
      <c r="K3679" s="2" t="str">
        <f>HYPERLINK("https://www.nba.com/stats/events?CFID=&amp;CFPARAMS=&amp;GameEventID=217&amp;GameID=0021500653&amp;Season=2015-16&amp;flag=1&amp;title=Leonard%2013'%20Pullup%20Jump%20Shot%20(10%20PTS)", "Leonard 13' Pullup Jump Shot (10 PTS)")</f>
        <v>Leonard 13' Pullup Jump Shot (10 PTS)</v>
      </c>
      <c r="L3679" s="2" t="str">
        <f>HYPERLINK("https://www.nba.com/game/...-vs-...-0021500653/play-by-play?watchFullGame=true", "SAS vs LAL - Q2 01:51.00")</f>
        <v>SAS vs LAL - Q2 01:51.00</v>
      </c>
      <c r="M3679">
        <v>13</v>
      </c>
      <c r="N3679">
        <v>69</v>
      </c>
      <c r="O3679">
        <v>105</v>
      </c>
      <c r="P3679">
        <v>69</v>
      </c>
      <c r="Q3679">
        <v>105</v>
      </c>
      <c r="R3679" t="s">
        <v>21</v>
      </c>
      <c r="S3679" t="s">
        <v>21</v>
      </c>
    </row>
    <row r="3680" spans="1:19" hidden="1" x14ac:dyDescent="0.25">
      <c r="A3680">
        <v>21400191</v>
      </c>
      <c r="B3680" t="s">
        <v>18</v>
      </c>
      <c r="C3680" t="s">
        <v>19</v>
      </c>
      <c r="D3680">
        <v>49</v>
      </c>
      <c r="E3680">
        <v>32</v>
      </c>
      <c r="F3680">
        <v>17</v>
      </c>
      <c r="G3680">
        <v>2</v>
      </c>
      <c r="H3680" s="1">
        <v>1.4236111111111112E-3</v>
      </c>
      <c r="I3680">
        <v>2014</v>
      </c>
      <c r="J3680" t="s">
        <v>20</v>
      </c>
      <c r="K3680" s="2" t="str">
        <f>HYPERLINK("https://www.nba.com/stats/events?CFID=&amp;CFPARAMS=&amp;GameEventID=198&amp;GameID=0021400191&amp;Season=2014-15&amp;flag=1&amp;title=Leonard%2013'%20Jump%20Shot%20(13%20PTS)", "Leonard 13' Jump Shot (13 PTS)")</f>
        <v>Leonard 13' Jump Shot (13 PTS)</v>
      </c>
      <c r="L3680" s="2" t="str">
        <f>HYPERLINK("https://www.nba.com/game/...-vs-...-0021400191/play-by-play?watchFullGame=true", "SAS vs BKN - Q2 02:03.00")</f>
        <v>SAS vs BKN - Q2 02:03.00</v>
      </c>
      <c r="M3680">
        <v>13</v>
      </c>
      <c r="N3680">
        <v>-125</v>
      </c>
      <c r="O3680">
        <v>48</v>
      </c>
      <c r="P3680">
        <v>-125</v>
      </c>
      <c r="Q3680">
        <v>48</v>
      </c>
      <c r="R3680" t="s">
        <v>21</v>
      </c>
      <c r="S3680" t="s">
        <v>21</v>
      </c>
    </row>
    <row r="3681" spans="1:19" hidden="1" x14ac:dyDescent="0.25">
      <c r="A3681">
        <v>21500590</v>
      </c>
      <c r="B3681" t="s">
        <v>18</v>
      </c>
      <c r="C3681" t="s">
        <v>38</v>
      </c>
      <c r="D3681">
        <v>15</v>
      </c>
      <c r="E3681">
        <v>28</v>
      </c>
      <c r="F3681">
        <v>13</v>
      </c>
      <c r="G3681">
        <v>1</v>
      </c>
      <c r="H3681" s="1">
        <v>1.4583333333333334E-3</v>
      </c>
      <c r="I3681">
        <v>2015</v>
      </c>
      <c r="J3681" t="s">
        <v>20</v>
      </c>
      <c r="K3681" s="2" t="str">
        <f>HYPERLINK("https://www.nba.com/stats/events?CFID=&amp;CFPARAMS=&amp;GameEventID=95&amp;GameID=0021500590&amp;Season=2015-16&amp;flag=1&amp;title=Leonard%2013'%20Turnaround%20Fadeaway%20(4%20PTS)", "Leonard 13' Turnaround Fadeaway (4 PTS)")</f>
        <v>Leonard 13' Turnaround Fadeaway (4 PTS)</v>
      </c>
      <c r="L3681" s="2" t="str">
        <f>HYPERLINK("https://www.nba.com/game/...-vs-...-0021500590/play-by-play?watchFullGame=true", "SAS vs CLE - Q1 02:06.00")</f>
        <v>SAS vs CLE - Q1 02:06.00</v>
      </c>
      <c r="M3681">
        <v>13</v>
      </c>
      <c r="N3681">
        <v>115</v>
      </c>
      <c r="O3681">
        <v>61</v>
      </c>
      <c r="P3681">
        <v>115</v>
      </c>
      <c r="Q3681">
        <v>61</v>
      </c>
      <c r="R3681" t="s">
        <v>21</v>
      </c>
      <c r="S3681" t="s">
        <v>21</v>
      </c>
    </row>
    <row r="3682" spans="1:19" hidden="1" x14ac:dyDescent="0.25">
      <c r="A3682">
        <v>21500905</v>
      </c>
      <c r="B3682" t="s">
        <v>18</v>
      </c>
      <c r="C3682" t="s">
        <v>19</v>
      </c>
      <c r="D3682">
        <v>24</v>
      </c>
      <c r="E3682">
        <v>20</v>
      </c>
      <c r="F3682">
        <v>4</v>
      </c>
      <c r="G3682">
        <v>1</v>
      </c>
      <c r="H3682" s="1">
        <v>1.7013888888888888E-3</v>
      </c>
      <c r="I3682">
        <v>2015</v>
      </c>
      <c r="J3682" t="s">
        <v>20</v>
      </c>
      <c r="K3682" s="2" t="str">
        <f>HYPERLINK("https://www.nba.com/stats/events?CFID=&amp;CFPARAMS=&amp;GameEventID=87&amp;GameID=0021500905&amp;Season=2015-16&amp;flag=1&amp;title=Leonard%2013'%20Jump%20Shot%20(9%20PTS)%20(Mills%201%20AST)", "Leonard 13' Jump Shot (9 PTS) (Mills 1 AST)")</f>
        <v>Leonard 13' Jump Shot (9 PTS) (Mills 1 AST)</v>
      </c>
      <c r="L3682" s="2" t="str">
        <f>HYPERLINK("https://www.nba.com/game/...-vs-...-0021500905/play-by-play?watchFullGame=true", "SAS vs DET - Q1 02:27.00")</f>
        <v>SAS vs DET - Q1 02:27.00</v>
      </c>
      <c r="M3682">
        <v>13</v>
      </c>
      <c r="N3682">
        <v>4</v>
      </c>
      <c r="O3682">
        <v>134</v>
      </c>
      <c r="P3682">
        <v>4</v>
      </c>
      <c r="Q3682">
        <v>134</v>
      </c>
      <c r="R3682" t="s">
        <v>21</v>
      </c>
      <c r="S3682" t="s">
        <v>21</v>
      </c>
    </row>
    <row r="3683" spans="1:19" hidden="1" x14ac:dyDescent="0.25">
      <c r="A3683">
        <v>21800055</v>
      </c>
      <c r="B3683" t="s">
        <v>18</v>
      </c>
      <c r="C3683" t="s">
        <v>36</v>
      </c>
      <c r="D3683">
        <v>106</v>
      </c>
      <c r="E3683">
        <v>94</v>
      </c>
      <c r="F3683">
        <v>12</v>
      </c>
      <c r="G3683">
        <v>4</v>
      </c>
      <c r="H3683" s="1">
        <v>1.8287037037037037E-3</v>
      </c>
      <c r="I3683">
        <v>2018</v>
      </c>
      <c r="J3683" t="s">
        <v>48</v>
      </c>
      <c r="K3683" s="2" t="str">
        <f>HYPERLINK("https://www.nba.com/stats/events?CFID=&amp;CFPARAMS=&amp;GameEventID=601&amp;GameID=0021800055&amp;Season=2018-19&amp;flag=1&amp;title=Leonard%2013'%20Pullup%20Jump%20Shot%20(31%20PTS)", "Leonard 13' Pullup Jump Shot (31 PTS)")</f>
        <v>Leonard 13' Pullup Jump Shot (31 PTS)</v>
      </c>
      <c r="L3683" s="2" t="str">
        <f>HYPERLINK("https://www.nba.com/game/...-vs-...-0021800055/play-by-play?watchFullGame=true", "TOR vs MIN - Q4 02:38.00")</f>
        <v>TOR vs MIN - Q4 02:38.00</v>
      </c>
      <c r="M3683">
        <v>13</v>
      </c>
      <c r="N3683">
        <v>130</v>
      </c>
      <c r="O3683">
        <v>4</v>
      </c>
      <c r="P3683">
        <v>130</v>
      </c>
      <c r="Q3683">
        <v>4</v>
      </c>
      <c r="R3683" t="s">
        <v>21</v>
      </c>
      <c r="S3683" t="s">
        <v>21</v>
      </c>
    </row>
    <row r="3684" spans="1:19" hidden="1" x14ac:dyDescent="0.25">
      <c r="A3684">
        <v>21501215</v>
      </c>
      <c r="B3684" t="s">
        <v>18</v>
      </c>
      <c r="C3684" t="s">
        <v>34</v>
      </c>
      <c r="D3684">
        <v>37</v>
      </c>
      <c r="E3684">
        <v>45</v>
      </c>
      <c r="F3684">
        <v>8</v>
      </c>
      <c r="G3684">
        <v>2</v>
      </c>
      <c r="H3684" s="1">
        <v>1.8518518518518519E-3</v>
      </c>
      <c r="I3684">
        <v>2015</v>
      </c>
      <c r="J3684" t="s">
        <v>20</v>
      </c>
      <c r="K3684" s="2" t="str">
        <f>HYPERLINK("https://www.nba.com/stats/events?CFID=&amp;CFPARAMS=&amp;GameEventID=211&amp;GameID=0021501215&amp;Season=2015-16&amp;flag=1&amp;title=Leonard%2013'%20Turnaround%20Jump%20Shot%20(6%20PTS)", "Leonard 13' Turnaround Jump Shot (6 PTS)")</f>
        <v>Leonard 13' Turnaround Jump Shot (6 PTS)</v>
      </c>
      <c r="L3684" s="2" t="str">
        <f>HYPERLINK("https://www.nba.com/game/...-vs-...-0021501215/play-by-play?watchFullGame=true", "SAS vs OKC - Q2 02:40.00")</f>
        <v>SAS vs OKC - Q2 02:40.00</v>
      </c>
      <c r="M3684">
        <v>13</v>
      </c>
      <c r="N3684">
        <v>-119</v>
      </c>
      <c r="O3684">
        <v>51</v>
      </c>
      <c r="P3684">
        <v>-119</v>
      </c>
      <c r="Q3684">
        <v>51</v>
      </c>
      <c r="R3684" t="s">
        <v>21</v>
      </c>
      <c r="S3684" t="s">
        <v>21</v>
      </c>
    </row>
    <row r="3685" spans="1:19" hidden="1" x14ac:dyDescent="0.25">
      <c r="A3685">
        <v>21500979</v>
      </c>
      <c r="B3685" t="s">
        <v>18</v>
      </c>
      <c r="C3685" t="s">
        <v>19</v>
      </c>
      <c r="D3685">
        <v>89</v>
      </c>
      <c r="E3685">
        <v>81</v>
      </c>
      <c r="F3685">
        <v>8</v>
      </c>
      <c r="G3685">
        <v>4</v>
      </c>
      <c r="H3685" s="1">
        <v>1.9212962962962964E-3</v>
      </c>
      <c r="I3685">
        <v>2015</v>
      </c>
      <c r="J3685" t="s">
        <v>20</v>
      </c>
      <c r="K3685" s="2" t="str">
        <f>HYPERLINK("https://www.nba.com/stats/events?CFID=&amp;CFPARAMS=&amp;GameEventID=484&amp;GameID=0021500979&amp;Season=2015-16&amp;flag=1&amp;title=Leonard%2013'%20Jump%20Shot%20(26%20PTS)%20(Aldridge%203%20AST)", "Leonard 13' Jump Shot (26 PTS) (Aldridge 3 AST)")</f>
        <v>Leonard 13' Jump Shot (26 PTS) (Aldridge 3 AST)</v>
      </c>
      <c r="L3685" s="2" t="str">
        <f>HYPERLINK("https://www.nba.com/game/...-vs-...-0021500979/play-by-play?watchFullGame=true", "SAS vs OKC - Q4 02:46.00")</f>
        <v>SAS vs OKC - Q4 02:46.00</v>
      </c>
      <c r="M3685">
        <v>13</v>
      </c>
      <c r="N3685">
        <v>63</v>
      </c>
      <c r="O3685">
        <v>116</v>
      </c>
      <c r="P3685">
        <v>63</v>
      </c>
      <c r="Q3685">
        <v>116</v>
      </c>
      <c r="R3685" t="s">
        <v>21</v>
      </c>
      <c r="S3685" t="s">
        <v>21</v>
      </c>
    </row>
    <row r="3686" spans="1:19" hidden="1" x14ac:dyDescent="0.25">
      <c r="A3686">
        <v>21500860</v>
      </c>
      <c r="B3686" t="s">
        <v>18</v>
      </c>
      <c r="C3686" t="s">
        <v>34</v>
      </c>
      <c r="D3686">
        <v>35</v>
      </c>
      <c r="E3686">
        <v>31</v>
      </c>
      <c r="F3686">
        <v>4</v>
      </c>
      <c r="G3686">
        <v>2</v>
      </c>
      <c r="H3686" s="1">
        <v>2.0601851851851853E-3</v>
      </c>
      <c r="I3686">
        <v>2015</v>
      </c>
      <c r="J3686" t="s">
        <v>20</v>
      </c>
      <c r="K3686" s="2" t="str">
        <f>HYPERLINK("https://www.nba.com/stats/events?CFID=&amp;CFPARAMS=&amp;GameEventID=193&amp;GameID=0021500860&amp;Season=2015-16&amp;flag=1&amp;title=Leonard%2013'%20Turnaround%20Jump%20Shot%20(15%20PTS)", "Leonard 13' Turnaround Jump Shot (15 PTS)")</f>
        <v>Leonard 13' Turnaround Jump Shot (15 PTS)</v>
      </c>
      <c r="L3686" s="2" t="str">
        <f>HYPERLINK("https://www.nba.com/game/...-vs-...-0021500860/play-by-play?watchFullGame=true", "SAS vs UTA - Q2 02:58.00")</f>
        <v>SAS vs UTA - Q2 02:58.00</v>
      </c>
      <c r="M3686">
        <v>13</v>
      </c>
      <c r="N3686">
        <v>-119</v>
      </c>
      <c r="O3686">
        <v>56</v>
      </c>
      <c r="P3686">
        <v>-119</v>
      </c>
      <c r="Q3686">
        <v>56</v>
      </c>
      <c r="R3686" t="s">
        <v>21</v>
      </c>
      <c r="S3686" t="s">
        <v>21</v>
      </c>
    </row>
    <row r="3687" spans="1:19" hidden="1" x14ac:dyDescent="0.25">
      <c r="A3687">
        <v>21800459</v>
      </c>
      <c r="B3687" t="s">
        <v>18</v>
      </c>
      <c r="C3687" t="s">
        <v>36</v>
      </c>
      <c r="D3687">
        <v>94</v>
      </c>
      <c r="E3687">
        <v>94</v>
      </c>
      <c r="F3687">
        <v>0</v>
      </c>
      <c r="G3687">
        <v>4</v>
      </c>
      <c r="H3687" s="1">
        <v>2.1527777777777778E-3</v>
      </c>
      <c r="I3687">
        <v>2018</v>
      </c>
      <c r="J3687" t="s">
        <v>48</v>
      </c>
      <c r="K3687" s="2" t="str">
        <f>HYPERLINK("https://www.nba.com/stats/events?CFID=&amp;CFPARAMS=&amp;GameEventID=615&amp;GameID=0021800459&amp;Season=2018-19&amp;flag=1&amp;title=Leonard%2013'%20Pullup%20Jump%20Shot%20(28%20PTS)", "Leonard 13' Pullup Jump Shot (28 PTS)")</f>
        <v>Leonard 13' Pullup Jump Shot (28 PTS)</v>
      </c>
      <c r="L3687" s="2" t="str">
        <f>HYPERLINK("https://www.nba.com/game/...-vs-...-0021800459/play-by-play?watchFullGame=true", "TOR vs IND - Q4 03:06.00")</f>
        <v>TOR vs IND - Q4 03:06.00</v>
      </c>
      <c r="M3687">
        <v>13</v>
      </c>
      <c r="N3687">
        <v>119</v>
      </c>
      <c r="O3687">
        <v>55</v>
      </c>
      <c r="P3687">
        <v>119</v>
      </c>
      <c r="Q3687">
        <v>55</v>
      </c>
      <c r="R3687" t="s">
        <v>21</v>
      </c>
      <c r="S3687" t="s">
        <v>21</v>
      </c>
    </row>
    <row r="3688" spans="1:19" hidden="1" x14ac:dyDescent="0.25">
      <c r="A3688">
        <v>21800766</v>
      </c>
      <c r="B3688" t="s">
        <v>18</v>
      </c>
      <c r="C3688" t="s">
        <v>39</v>
      </c>
      <c r="D3688">
        <v>42</v>
      </c>
      <c r="E3688">
        <v>51</v>
      </c>
      <c r="F3688">
        <v>9</v>
      </c>
      <c r="G3688">
        <v>2</v>
      </c>
      <c r="H3688" s="1">
        <v>2.2569444444444442E-3</v>
      </c>
      <c r="I3688">
        <v>2018</v>
      </c>
      <c r="J3688" t="s">
        <v>48</v>
      </c>
      <c r="K3688" s="2" t="str">
        <f>HYPERLINK("https://www.nba.com/stats/events?CFID=&amp;CFPARAMS=&amp;GameEventID=267&amp;GameID=0021800766&amp;Season=2018-19&amp;flag=1&amp;title=Leonard%2013'%20Step%20Back%20Jump%20Shot%20(8%20PTS)", "Leonard 13' Step Back Jump Shot (8 PTS)")</f>
        <v>Leonard 13' Step Back Jump Shot (8 PTS)</v>
      </c>
      <c r="L3688" s="2" t="str">
        <f>HYPERLINK("https://www.nba.com/game/...-vs-...-0021800766/play-by-play?watchFullGame=true", "TOR vs MIL - Q2 03:15.00")</f>
        <v>TOR vs MIL - Q2 03:15.00</v>
      </c>
      <c r="M3688">
        <v>13</v>
      </c>
      <c r="N3688">
        <v>-133</v>
      </c>
      <c r="O3688">
        <v>19</v>
      </c>
      <c r="P3688">
        <v>-133</v>
      </c>
      <c r="Q3688">
        <v>19</v>
      </c>
      <c r="R3688" t="s">
        <v>21</v>
      </c>
      <c r="S3688" t="s">
        <v>21</v>
      </c>
    </row>
    <row r="3689" spans="1:19" hidden="1" x14ac:dyDescent="0.25">
      <c r="A3689">
        <v>21800206</v>
      </c>
      <c r="B3689" t="s">
        <v>18</v>
      </c>
      <c r="C3689" t="s">
        <v>36</v>
      </c>
      <c r="D3689">
        <v>53</v>
      </c>
      <c r="E3689">
        <v>44</v>
      </c>
      <c r="F3689">
        <v>9</v>
      </c>
      <c r="G3689">
        <v>2</v>
      </c>
      <c r="H3689" s="1">
        <v>2.3032407407407407E-3</v>
      </c>
      <c r="I3689">
        <v>2018</v>
      </c>
      <c r="J3689" t="s">
        <v>48</v>
      </c>
      <c r="K3689" s="2" t="str">
        <f>HYPERLINK("https://www.nba.com/stats/events?CFID=&amp;CFPARAMS=&amp;GameEventID=270&amp;GameID=0021800206&amp;Season=2018-19&amp;flag=1&amp;title=Leonard%2013'%20Pullup%20Jump%20Shot%20(14%20PTS)", "Leonard 13' Pullup Jump Shot (14 PTS)")</f>
        <v>Leonard 13' Pullup Jump Shot (14 PTS)</v>
      </c>
      <c r="L3689" s="2" t="str">
        <f>HYPERLINK("https://www.nba.com/game/...-vs-...-0021800206/play-by-play?watchFullGame=true", "TOR vs DET - Q2 03:19.00")</f>
        <v>TOR vs DET - Q2 03:19.00</v>
      </c>
      <c r="M3689">
        <v>13</v>
      </c>
      <c r="N3689">
        <v>127</v>
      </c>
      <c r="O3689">
        <v>12</v>
      </c>
      <c r="P3689">
        <v>127</v>
      </c>
      <c r="Q3689">
        <v>12</v>
      </c>
      <c r="R3689" t="s">
        <v>21</v>
      </c>
      <c r="S3689" t="s">
        <v>21</v>
      </c>
    </row>
    <row r="3690" spans="1:19" hidden="1" x14ac:dyDescent="0.25">
      <c r="A3690">
        <v>21800563</v>
      </c>
      <c r="B3690" t="s">
        <v>18</v>
      </c>
      <c r="C3690" t="s">
        <v>36</v>
      </c>
      <c r="D3690">
        <v>64</v>
      </c>
      <c r="E3690">
        <v>88</v>
      </c>
      <c r="F3690">
        <v>24</v>
      </c>
      <c r="G3690">
        <v>3</v>
      </c>
      <c r="H3690" s="1">
        <v>2.3842592592592591E-3</v>
      </c>
      <c r="I3690">
        <v>2018</v>
      </c>
      <c r="J3690" t="s">
        <v>48</v>
      </c>
      <c r="K3690" s="2" t="str">
        <f>HYPERLINK("https://www.nba.com/stats/events?CFID=&amp;CFPARAMS=&amp;GameEventID=422&amp;GameID=0021800563&amp;Season=2018-19&amp;flag=1&amp;title=Leonard%2013'%20Pullup%20Jump%20Shot%20(15%20PTS)", "Leonard 13' Pullup Jump Shot (15 PTS)")</f>
        <v>Leonard 13' Pullup Jump Shot (15 PTS)</v>
      </c>
      <c r="L3690" s="2" t="str">
        <f>HYPERLINK("https://www.nba.com/game/...-vs-...-0021800563/play-by-play?watchFullGame=true", "TOR vs SAS - Q3 03:26.00")</f>
        <v>TOR vs SAS - Q3 03:26.00</v>
      </c>
      <c r="M3690">
        <v>13</v>
      </c>
      <c r="N3690">
        <v>100</v>
      </c>
      <c r="O3690">
        <v>86</v>
      </c>
      <c r="P3690">
        <v>100</v>
      </c>
      <c r="Q3690">
        <v>86</v>
      </c>
      <c r="R3690" t="s">
        <v>21</v>
      </c>
      <c r="S3690" t="s">
        <v>21</v>
      </c>
    </row>
    <row r="3691" spans="1:19" hidden="1" x14ac:dyDescent="0.25">
      <c r="A3691">
        <v>21700633</v>
      </c>
      <c r="B3691" t="s">
        <v>18</v>
      </c>
      <c r="C3691" t="s">
        <v>34</v>
      </c>
      <c r="D3691">
        <v>51</v>
      </c>
      <c r="E3691">
        <v>33</v>
      </c>
      <c r="F3691">
        <v>18</v>
      </c>
      <c r="G3691">
        <v>2</v>
      </c>
      <c r="H3691" s="1">
        <v>2.4305555555555556E-3</v>
      </c>
      <c r="I3691">
        <v>2017</v>
      </c>
      <c r="J3691" t="s">
        <v>20</v>
      </c>
      <c r="K3691" s="2" t="str">
        <f>HYPERLINK("https://www.nba.com/stats/events?CFID=&amp;CFPARAMS=&amp;GameEventID=254&amp;GameID=0021700633&amp;Season=2017-18&amp;flag=1&amp;title=Leonard%2013'%20Turnaround%20Jump%20Shot%20(8%20PTS)", "Leonard 13' Turnaround Jump Shot (8 PTS)")</f>
        <v>Leonard 13' Turnaround Jump Shot (8 PTS)</v>
      </c>
      <c r="L3691" s="2" t="str">
        <f>HYPERLINK("https://www.nba.com/game/...-vs-...-0021700633/play-by-play?watchFullGame=true", "SAS vs DEN - Q2 03:30.00")</f>
        <v>SAS vs DEN - Q2 03:30.00</v>
      </c>
      <c r="M3691">
        <v>13</v>
      </c>
      <c r="N3691">
        <v>114</v>
      </c>
      <c r="O3691">
        <v>55</v>
      </c>
      <c r="P3691">
        <v>114</v>
      </c>
      <c r="Q3691">
        <v>55</v>
      </c>
      <c r="R3691" t="s">
        <v>21</v>
      </c>
      <c r="S3691" t="s">
        <v>21</v>
      </c>
    </row>
    <row r="3692" spans="1:19" hidden="1" x14ac:dyDescent="0.25">
      <c r="A3692">
        <v>41800404</v>
      </c>
      <c r="B3692" t="s">
        <v>18</v>
      </c>
      <c r="C3692" t="s">
        <v>37</v>
      </c>
      <c r="D3692">
        <v>12</v>
      </c>
      <c r="E3692">
        <v>17</v>
      </c>
      <c r="F3692">
        <v>5</v>
      </c>
      <c r="G3692">
        <v>1</v>
      </c>
      <c r="H3692" s="1">
        <v>2.5115740740740741E-3</v>
      </c>
      <c r="I3692" t="s">
        <v>60</v>
      </c>
      <c r="J3692" t="s">
        <v>48</v>
      </c>
      <c r="K3692" s="2" t="str">
        <f>HYPERLINK("https://www.nba.com/stats/events?CFID=&amp;CFPARAMS=&amp;GameEventID=105&amp;GameID=0041800404&amp;Season=2018-19&amp;flag=1&amp;title=Leonard%2013'%20Fadeaway%20Jumper%20(9%20PTS)%20(Gasol%202%20AST)", "Leonard 13' Fadeaway Jumper (9 PTS) (Gasol 2 AST)")</f>
        <v>Leonard 13' Fadeaway Jumper (9 PTS) (Gasol 2 AST)</v>
      </c>
      <c r="L3692" s="2" t="str">
        <f>HYPERLINK("https://www.nba.com/game/...-vs-...-0041800404/play-by-play?watchFullGame=true", "TOR vs GSW - Q1 03:37.00")</f>
        <v>TOR vs GSW - Q1 03:37.00</v>
      </c>
      <c r="M3692">
        <v>13</v>
      </c>
      <c r="N3692">
        <v>57</v>
      </c>
      <c r="O3692">
        <v>115</v>
      </c>
      <c r="P3692">
        <v>57</v>
      </c>
      <c r="Q3692">
        <v>115</v>
      </c>
      <c r="R3692" t="s">
        <v>21</v>
      </c>
      <c r="S3692" t="s">
        <v>21</v>
      </c>
    </row>
    <row r="3693" spans="1:19" hidden="1" x14ac:dyDescent="0.25">
      <c r="A3693">
        <v>21400108</v>
      </c>
      <c r="B3693" t="s">
        <v>18</v>
      </c>
      <c r="C3693" t="s">
        <v>19</v>
      </c>
      <c r="D3693">
        <v>19</v>
      </c>
      <c r="E3693">
        <v>17</v>
      </c>
      <c r="F3693">
        <v>2</v>
      </c>
      <c r="G3693">
        <v>1</v>
      </c>
      <c r="H3693" s="1">
        <v>2.5462962962962965E-3</v>
      </c>
      <c r="I3693">
        <v>2014</v>
      </c>
      <c r="J3693" t="s">
        <v>20</v>
      </c>
      <c r="K3693" s="2" t="str">
        <f>HYPERLINK("https://www.nba.com/stats/events?CFID=&amp;CFPARAMS=&amp;GameEventID=69&amp;GameID=0021400108&amp;Season=2014-15&amp;flag=1&amp;title=Leonard%2013'%20Jump%20Shot%20(6%20PTS)", "Leonard 13' Jump Shot (6 PTS)")</f>
        <v>Leonard 13' Jump Shot (6 PTS)</v>
      </c>
      <c r="L3693" s="2" t="str">
        <f>HYPERLINK("https://www.nba.com/game/...-vs-...-0021400108/play-by-play?watchFullGame=true", "SAS vs GSW - Q1 03:40.00")</f>
        <v>SAS vs GSW - Q1 03:40.00</v>
      </c>
      <c r="M3693">
        <v>13</v>
      </c>
      <c r="N3693">
        <v>1</v>
      </c>
      <c r="O3693">
        <v>127</v>
      </c>
      <c r="P3693">
        <v>1</v>
      </c>
      <c r="Q3693">
        <v>127</v>
      </c>
      <c r="R3693" t="s">
        <v>21</v>
      </c>
      <c r="S3693" t="s">
        <v>21</v>
      </c>
    </row>
    <row r="3694" spans="1:19" hidden="1" x14ac:dyDescent="0.25">
      <c r="A3694">
        <v>41800213</v>
      </c>
      <c r="B3694" t="s">
        <v>18</v>
      </c>
      <c r="C3694" t="s">
        <v>37</v>
      </c>
      <c r="D3694">
        <v>44</v>
      </c>
      <c r="E3694">
        <v>52</v>
      </c>
      <c r="F3694">
        <v>8</v>
      </c>
      <c r="G3694">
        <v>2</v>
      </c>
      <c r="H3694" s="1">
        <v>2.5578703703703705E-3</v>
      </c>
      <c r="I3694" t="s">
        <v>60</v>
      </c>
      <c r="J3694" t="s">
        <v>48</v>
      </c>
      <c r="K3694" s="2" t="str">
        <f>HYPERLINK("https://www.nba.com/stats/events?CFID=&amp;CFPARAMS=&amp;GameEventID=261&amp;GameID=0041800213&amp;Season=2018-19&amp;flag=1&amp;title=Leonard%2013'%20Fadeaway%20Jumper%20(15%20PTS)", "Leonard 13' Fadeaway Jumper (15 PTS)")</f>
        <v>Leonard 13' Fadeaway Jumper (15 PTS)</v>
      </c>
      <c r="L3694" s="2" t="str">
        <f>HYPERLINK("https://www.nba.com/game/...-vs-...-0041800213/play-by-play?watchFullGame=true", "TOR vs PHI - Q2 03:41.00")</f>
        <v>TOR vs PHI - Q2 03:41.00</v>
      </c>
      <c r="M3694">
        <v>13</v>
      </c>
      <c r="N3694">
        <v>-110</v>
      </c>
      <c r="O3694">
        <v>75</v>
      </c>
      <c r="P3694">
        <v>-110</v>
      </c>
      <c r="Q3694">
        <v>75</v>
      </c>
      <c r="R3694" t="s">
        <v>21</v>
      </c>
      <c r="S3694" t="s">
        <v>21</v>
      </c>
    </row>
    <row r="3695" spans="1:19" hidden="1" x14ac:dyDescent="0.25">
      <c r="A3695">
        <v>21800789</v>
      </c>
      <c r="B3695" t="s">
        <v>18</v>
      </c>
      <c r="C3695" t="s">
        <v>34</v>
      </c>
      <c r="D3695">
        <v>56</v>
      </c>
      <c r="E3695">
        <v>43</v>
      </c>
      <c r="F3695">
        <v>13</v>
      </c>
      <c r="G3695">
        <v>2</v>
      </c>
      <c r="H3695" s="1">
        <v>2.5925925925925925E-3</v>
      </c>
      <c r="I3695">
        <v>2018</v>
      </c>
      <c r="J3695" t="s">
        <v>48</v>
      </c>
      <c r="K3695" s="2" t="str">
        <f>HYPERLINK("https://www.nba.com/stats/events?CFID=&amp;CFPARAMS=&amp;GameEventID=276&amp;GameID=0021800789&amp;Season=2018-19&amp;flag=1&amp;title=Leonard%2013'%20Turnaround%20Jump%20Shot%20(15%20PTS)", "Leonard 13' Turnaround Jump Shot (15 PTS)")</f>
        <v>Leonard 13' Turnaround Jump Shot (15 PTS)</v>
      </c>
      <c r="L3695" s="2" t="str">
        <f>HYPERLINK("https://www.nba.com/game/...-vs-...-0021800789/play-by-play?watchFullGame=true", "TOR vs LAC - Q2 03:44.00")</f>
        <v>TOR vs LAC - Q2 03:44.00</v>
      </c>
      <c r="M3695">
        <v>13</v>
      </c>
      <c r="N3695">
        <v>118</v>
      </c>
      <c r="O3695">
        <v>53</v>
      </c>
      <c r="P3695">
        <v>118</v>
      </c>
      <c r="Q3695">
        <v>53</v>
      </c>
      <c r="R3695" t="s">
        <v>21</v>
      </c>
      <c r="S3695" t="s">
        <v>21</v>
      </c>
    </row>
    <row r="3696" spans="1:19" hidden="1" x14ac:dyDescent="0.25">
      <c r="A3696">
        <v>41800214</v>
      </c>
      <c r="B3696" t="s">
        <v>18</v>
      </c>
      <c r="C3696" t="s">
        <v>36</v>
      </c>
      <c r="D3696">
        <v>89</v>
      </c>
      <c r="E3696">
        <v>85</v>
      </c>
      <c r="F3696">
        <v>4</v>
      </c>
      <c r="G3696">
        <v>4</v>
      </c>
      <c r="H3696" s="1">
        <v>2.638888888888889E-3</v>
      </c>
      <c r="I3696" t="s">
        <v>60</v>
      </c>
      <c r="J3696" t="s">
        <v>48</v>
      </c>
      <c r="K3696" s="2" t="str">
        <f>HYPERLINK("https://www.nba.com/stats/events?CFID=&amp;CFPARAMS=&amp;GameEventID=587&amp;GameID=0041800214&amp;Season=2018-19&amp;flag=1&amp;title=Leonard%2013'%20Pullup%20Jump%20Shot%20(34%20PTS)", "Leonard 13' Pullup Jump Shot (34 PTS)")</f>
        <v>Leonard 13' Pullup Jump Shot (34 PTS)</v>
      </c>
      <c r="L3696" s="2" t="str">
        <f>HYPERLINK("https://www.nba.com/game/...-vs-...-0041800214/play-by-play?watchFullGame=true", "TOR vs PHI - Q4 03:48.00")</f>
        <v>TOR vs PHI - Q4 03:48.00</v>
      </c>
      <c r="M3696">
        <v>13</v>
      </c>
      <c r="N3696">
        <v>103</v>
      </c>
      <c r="O3696">
        <v>73</v>
      </c>
      <c r="P3696">
        <v>103</v>
      </c>
      <c r="Q3696">
        <v>73</v>
      </c>
      <c r="R3696" t="s">
        <v>21</v>
      </c>
      <c r="S3696" t="s">
        <v>21</v>
      </c>
    </row>
    <row r="3697" spans="1:19" hidden="1" x14ac:dyDescent="0.25">
      <c r="A3697">
        <v>41800114</v>
      </c>
      <c r="B3697" t="s">
        <v>18</v>
      </c>
      <c r="C3697" t="s">
        <v>36</v>
      </c>
      <c r="D3697">
        <v>72</v>
      </c>
      <c r="E3697">
        <v>58</v>
      </c>
      <c r="F3697">
        <v>14</v>
      </c>
      <c r="G3697">
        <v>3</v>
      </c>
      <c r="H3697" s="1">
        <v>2.7314814814814814E-3</v>
      </c>
      <c r="I3697" t="s">
        <v>60</v>
      </c>
      <c r="J3697" t="s">
        <v>48</v>
      </c>
      <c r="K3697" s="2" t="str">
        <f>HYPERLINK("https://www.nba.com/stats/events?CFID=&amp;CFPARAMS=&amp;GameEventID=376&amp;GameID=0041800114&amp;Season=2018-19&amp;flag=1&amp;title=Leonard%2013'%20Pullup%20Jump%20Shot%20(27%20PTS)", "Leonard 13' Pullup Jump Shot (27 PTS)")</f>
        <v>Leonard 13' Pullup Jump Shot (27 PTS)</v>
      </c>
      <c r="L3697" s="2" t="str">
        <f>HYPERLINK("https://www.nba.com/game/...-vs-...-0041800114/play-by-play?watchFullGame=true", "TOR vs ORL - Q3 03:56.00")</f>
        <v>TOR vs ORL - Q3 03:56.00</v>
      </c>
      <c r="M3697">
        <v>13</v>
      </c>
      <c r="N3697">
        <v>50</v>
      </c>
      <c r="O3697">
        <v>117</v>
      </c>
      <c r="P3697">
        <v>50</v>
      </c>
      <c r="Q3697">
        <v>117</v>
      </c>
      <c r="R3697" t="s">
        <v>21</v>
      </c>
      <c r="S3697" t="s">
        <v>21</v>
      </c>
    </row>
    <row r="3698" spans="1:19" hidden="1" x14ac:dyDescent="0.25">
      <c r="A3698">
        <v>21401039</v>
      </c>
      <c r="B3698" t="s">
        <v>18</v>
      </c>
      <c r="C3698" t="s">
        <v>19</v>
      </c>
      <c r="D3698">
        <v>26</v>
      </c>
      <c r="E3698">
        <v>6</v>
      </c>
      <c r="F3698">
        <v>20</v>
      </c>
      <c r="G3698">
        <v>1</v>
      </c>
      <c r="H3698" s="1">
        <v>2.8240740740740739E-3</v>
      </c>
      <c r="I3698">
        <v>2014</v>
      </c>
      <c r="J3698" t="s">
        <v>20</v>
      </c>
      <c r="K3698" s="2" t="str">
        <f>HYPERLINK("https://www.nba.com/stats/events?CFID=&amp;CFPARAMS=&amp;GameEventID=103&amp;GameID=0021401039&amp;Season=2014-15&amp;flag=1&amp;title=Leonard%2013'%20Jump%20Shot%20(10%20PTS)", "Leonard 13' Jump Shot (10 PTS)")</f>
        <v>Leonard 13' Jump Shot (10 PTS)</v>
      </c>
      <c r="L3698" s="2" t="str">
        <f>HYPERLINK("https://www.nba.com/game/...-vs-...-0021401039/play-by-play?watchFullGame=true", "SAS vs ATL - Q1 04:04.00")</f>
        <v>SAS vs ATL - Q1 04:04.00</v>
      </c>
      <c r="M3698">
        <v>13</v>
      </c>
      <c r="N3698">
        <v>120</v>
      </c>
      <c r="O3698">
        <v>46</v>
      </c>
      <c r="P3698">
        <v>120</v>
      </c>
      <c r="Q3698">
        <v>46</v>
      </c>
      <c r="R3698" t="s">
        <v>21</v>
      </c>
      <c r="S3698" t="s">
        <v>21</v>
      </c>
    </row>
    <row r="3699" spans="1:19" hidden="1" x14ac:dyDescent="0.25">
      <c r="A3699">
        <v>21301123</v>
      </c>
      <c r="B3699" t="s">
        <v>18</v>
      </c>
      <c r="C3699" t="s">
        <v>19</v>
      </c>
      <c r="D3699">
        <v>76</v>
      </c>
      <c r="E3699">
        <v>67</v>
      </c>
      <c r="F3699">
        <v>9</v>
      </c>
      <c r="G3699">
        <v>3</v>
      </c>
      <c r="H3699" s="1">
        <v>2.8703703703703703E-3</v>
      </c>
      <c r="I3699">
        <v>2013</v>
      </c>
      <c r="J3699" t="s">
        <v>20</v>
      </c>
      <c r="K3699" s="2" t="str">
        <f>HYPERLINK("https://www.nba.com/stats/events?CFID=&amp;CFPARAMS=&amp;GameEventID=300&amp;GameID=0021301123&amp;Season=2013-14&amp;flag=1&amp;title=Leonard%2013'%20Jump%20Shot%20(11%20PTS)%20(Belinelli%201%20AST)", "Leonard 13' Jump Shot (11 PTS) (Belinelli 1 AST)")</f>
        <v>Leonard 13' Jump Shot (11 PTS) (Belinelli 1 AST)</v>
      </c>
      <c r="L3699" s="2" t="str">
        <f>HYPERLINK("https://www.nba.com/game/...-vs-...-0021301123/play-by-play?watchFullGame=true", "SAS vs GSW - Q3 04:08.00")</f>
        <v>SAS vs GSW - Q3 04:08.00</v>
      </c>
      <c r="M3699">
        <v>13</v>
      </c>
      <c r="N3699">
        <v>-125</v>
      </c>
      <c r="O3699">
        <v>-2</v>
      </c>
      <c r="P3699">
        <v>-125</v>
      </c>
      <c r="Q3699">
        <v>-2</v>
      </c>
      <c r="R3699" t="s">
        <v>21</v>
      </c>
      <c r="S3699" t="s">
        <v>21</v>
      </c>
    </row>
    <row r="3700" spans="1:19" hidden="1" x14ac:dyDescent="0.25">
      <c r="A3700">
        <v>21600717</v>
      </c>
      <c r="B3700" t="s">
        <v>18</v>
      </c>
      <c r="C3700" t="s">
        <v>36</v>
      </c>
      <c r="D3700">
        <v>15</v>
      </c>
      <c r="E3700">
        <v>16</v>
      </c>
      <c r="F3700">
        <v>1</v>
      </c>
      <c r="G3700">
        <v>1</v>
      </c>
      <c r="H3700" s="1">
        <v>2.8819444444444444E-3</v>
      </c>
      <c r="I3700">
        <v>2016</v>
      </c>
      <c r="J3700" t="s">
        <v>20</v>
      </c>
      <c r="K3700" s="2" t="str">
        <f>HYPERLINK("https://www.nba.com/stats/events?CFID=&amp;CFPARAMS=&amp;GameEventID=73&amp;GameID=0021600717&amp;Season=2016-17&amp;flag=1&amp;title=Leonard%2013'%20Pullup%20Jump%20Shot%20(4%20PTS)%20(Aldridge%201%20AST)", "Leonard 13' Pullup Jump Shot (4 PTS) (Aldridge 1 AST)")</f>
        <v>Leonard 13' Pullup Jump Shot (4 PTS) (Aldridge 1 AST)</v>
      </c>
      <c r="L3700" s="2" t="str">
        <f>HYPERLINK("https://www.nba.com/game/...-vs-...-0021600717/play-by-play?watchFullGame=true", "SAS vs DAL - Q1 04:09.00")</f>
        <v>SAS vs DAL - Q1 04:09.00</v>
      </c>
      <c r="M3700">
        <v>13</v>
      </c>
      <c r="N3700">
        <v>92</v>
      </c>
      <c r="O3700">
        <v>85</v>
      </c>
      <c r="P3700">
        <v>92</v>
      </c>
      <c r="Q3700">
        <v>85</v>
      </c>
      <c r="R3700" t="s">
        <v>21</v>
      </c>
      <c r="S3700" t="s">
        <v>21</v>
      </c>
    </row>
    <row r="3701" spans="1:19" hidden="1" x14ac:dyDescent="0.25">
      <c r="A3701">
        <v>21600605</v>
      </c>
      <c r="B3701" t="s">
        <v>18</v>
      </c>
      <c r="C3701" t="s">
        <v>36</v>
      </c>
      <c r="D3701">
        <v>19</v>
      </c>
      <c r="E3701">
        <v>17</v>
      </c>
      <c r="F3701">
        <v>2</v>
      </c>
      <c r="G3701">
        <v>1</v>
      </c>
      <c r="H3701" s="1">
        <v>2.9745370370370373E-3</v>
      </c>
      <c r="I3701">
        <v>2016</v>
      </c>
      <c r="J3701" t="s">
        <v>20</v>
      </c>
      <c r="K3701" s="2" t="str">
        <f>HYPERLINK("https://www.nba.com/stats/events?CFID=&amp;CFPARAMS=&amp;GameEventID=90&amp;GameID=0021600605&amp;Season=2016-17&amp;flag=1&amp;title=Leonard%2013'%20Pullup%20Jump%20Shot%20(2%20PTS)", "Leonard 13' Pullup Jump Shot (2 PTS)")</f>
        <v>Leonard 13' Pullup Jump Shot (2 PTS)</v>
      </c>
      <c r="L3701" s="2" t="str">
        <f>HYPERLINK("https://www.nba.com/game/...-vs-...-0021600605/play-by-play?watchFullGame=true", "SAS vs PHX - Q1 04:17.00")</f>
        <v>SAS vs PHX - Q1 04:17.00</v>
      </c>
      <c r="M3701">
        <v>13</v>
      </c>
      <c r="N3701">
        <v>78</v>
      </c>
      <c r="O3701">
        <v>110</v>
      </c>
      <c r="P3701">
        <v>78</v>
      </c>
      <c r="Q3701">
        <v>110</v>
      </c>
      <c r="R3701" t="s">
        <v>21</v>
      </c>
      <c r="S3701" t="s">
        <v>21</v>
      </c>
    </row>
    <row r="3702" spans="1:19" hidden="1" x14ac:dyDescent="0.25">
      <c r="A3702">
        <v>21801214</v>
      </c>
      <c r="B3702" t="s">
        <v>18</v>
      </c>
      <c r="C3702" t="s">
        <v>38</v>
      </c>
      <c r="D3702">
        <v>53</v>
      </c>
      <c r="E3702">
        <v>42</v>
      </c>
      <c r="F3702">
        <v>11</v>
      </c>
      <c r="G3702">
        <v>2</v>
      </c>
      <c r="H3702" s="1">
        <v>3.0324074074074073E-3</v>
      </c>
      <c r="I3702">
        <v>2018</v>
      </c>
      <c r="J3702" t="s">
        <v>48</v>
      </c>
      <c r="K3702" s="2" t="str">
        <f>HYPERLINK("https://www.nba.com/stats/events?CFID=&amp;CFPARAMS=&amp;GameEventID=264&amp;GameID=0021801214&amp;Season=2018-19&amp;flag=1&amp;title=Leonard%2013'%20Turnaround%20Fadeaway%20(9%20PTS)", "Leonard 13' Turnaround Fadeaway (9 PTS)")</f>
        <v>Leonard 13' Turnaround Fadeaway (9 PTS)</v>
      </c>
      <c r="L3702" s="2" t="str">
        <f>HYPERLINK("https://www.nba.com/game/...-vs-...-0021801214/play-by-play?watchFullGame=true", "TOR vs MIN - Q2 04:22.00")</f>
        <v>TOR vs MIN - Q2 04:22.00</v>
      </c>
      <c r="M3702">
        <v>13</v>
      </c>
      <c r="N3702">
        <v>-125</v>
      </c>
      <c r="O3702">
        <v>22</v>
      </c>
      <c r="P3702">
        <v>-125</v>
      </c>
      <c r="Q3702">
        <v>22</v>
      </c>
      <c r="R3702" t="s">
        <v>21</v>
      </c>
      <c r="S3702" t="s">
        <v>21</v>
      </c>
    </row>
    <row r="3703" spans="1:19" hidden="1" x14ac:dyDescent="0.25">
      <c r="A3703">
        <v>21501001</v>
      </c>
      <c r="B3703" t="s">
        <v>18</v>
      </c>
      <c r="C3703" t="s">
        <v>42</v>
      </c>
      <c r="D3703">
        <v>39</v>
      </c>
      <c r="E3703">
        <v>31</v>
      </c>
      <c r="F3703">
        <v>8</v>
      </c>
      <c r="G3703">
        <v>2</v>
      </c>
      <c r="H3703" s="1">
        <v>3.3680555555555556E-3</v>
      </c>
      <c r="I3703">
        <v>2015</v>
      </c>
      <c r="J3703" t="s">
        <v>20</v>
      </c>
      <c r="K3703" s="2" t="str">
        <f>HYPERLINK("https://www.nba.com/stats/events?CFID=&amp;CFPARAMS=&amp;GameEventID=187&amp;GameID=0021501001&amp;Season=2015-16&amp;flag=1&amp;title=Leonard%2013'%20Driving%20Floating%20Jump%20Shot%20(10%20PTS)", "Leonard 13' Driving Floating Jump Shot (10 PTS)")</f>
        <v>Leonard 13' Driving Floating Jump Shot (10 PTS)</v>
      </c>
      <c r="L3703" s="2" t="str">
        <f>HYPERLINK("https://www.nba.com/game/...-vs-...-0021501001/play-by-play?watchFullGame=true", "SAS vs LAC - Q2 04:51.00")</f>
        <v>SAS vs LAC - Q2 04:51.00</v>
      </c>
      <c r="M3703">
        <v>13</v>
      </c>
      <c r="N3703">
        <v>-129</v>
      </c>
      <c r="O3703">
        <v>31</v>
      </c>
      <c r="P3703">
        <v>-129</v>
      </c>
      <c r="Q3703">
        <v>31</v>
      </c>
      <c r="R3703" t="s">
        <v>21</v>
      </c>
      <c r="S3703" t="s">
        <v>21</v>
      </c>
    </row>
    <row r="3704" spans="1:19" hidden="1" x14ac:dyDescent="0.25">
      <c r="A3704">
        <v>21800538</v>
      </c>
      <c r="B3704" t="s">
        <v>18</v>
      </c>
      <c r="C3704" t="s">
        <v>19</v>
      </c>
      <c r="D3704">
        <v>8</v>
      </c>
      <c r="E3704">
        <v>12</v>
      </c>
      <c r="F3704">
        <v>4</v>
      </c>
      <c r="G3704">
        <v>1</v>
      </c>
      <c r="H3704" s="1">
        <v>3.414351851851852E-3</v>
      </c>
      <c r="I3704">
        <v>2018</v>
      </c>
      <c r="J3704" t="s">
        <v>48</v>
      </c>
      <c r="K3704" s="2" t="str">
        <f>HYPERLINK("https://www.nba.com/stats/events?CFID=&amp;CFPARAMS=&amp;GameEventID=72&amp;GameID=0021800538&amp;Season=2018-19&amp;flag=1&amp;title=Leonard%2013'%20Jump%20Shot%20(4%20PTS)%20(VanVleet%201%20AST)", "Leonard 13' Jump Shot (4 PTS) (VanVleet 1 AST)")</f>
        <v>Leonard 13' Jump Shot (4 PTS) (VanVleet 1 AST)</v>
      </c>
      <c r="L3704" s="2" t="str">
        <f>HYPERLINK("https://www.nba.com/game/...-vs-...-0021800538/play-by-play?watchFullGame=true", "TOR vs CHI - Q1 04:55.00")</f>
        <v>TOR vs CHI - Q1 04:55.00</v>
      </c>
      <c r="M3704">
        <v>13</v>
      </c>
      <c r="N3704">
        <v>125</v>
      </c>
      <c r="O3704">
        <v>47</v>
      </c>
      <c r="P3704">
        <v>125</v>
      </c>
      <c r="Q3704">
        <v>47</v>
      </c>
      <c r="R3704" t="s">
        <v>21</v>
      </c>
      <c r="S3704" t="s">
        <v>21</v>
      </c>
    </row>
    <row r="3705" spans="1:19" hidden="1" x14ac:dyDescent="0.25">
      <c r="A3705">
        <v>21500090</v>
      </c>
      <c r="B3705" t="s">
        <v>18</v>
      </c>
      <c r="C3705" t="s">
        <v>34</v>
      </c>
      <c r="D3705">
        <v>105</v>
      </c>
      <c r="E3705">
        <v>82</v>
      </c>
      <c r="F3705">
        <v>23</v>
      </c>
      <c r="G3705">
        <v>4</v>
      </c>
      <c r="H3705" s="1">
        <v>3.5069444444444445E-3</v>
      </c>
      <c r="I3705">
        <v>2015</v>
      </c>
      <c r="J3705" t="s">
        <v>20</v>
      </c>
      <c r="K3705" s="2" t="str">
        <f>HYPERLINK("https://www.nba.com/stats/events?CFID=&amp;CFPARAMS=&amp;GameEventID=453&amp;GameID=0021500090&amp;Season=2015-16&amp;flag=1&amp;title=Leonard%2013'%20Turnaround%20Jump%20Shot%20(23%20PTS)%20(Parker%206%20AST)", "Leonard 13' Turnaround Jump Shot (23 PTS) (Parker 6 AST)")</f>
        <v>Leonard 13' Turnaround Jump Shot (23 PTS) (Parker 6 AST)</v>
      </c>
      <c r="L3705" s="2" t="str">
        <f>HYPERLINK("https://www.nba.com/game/...-vs-...-0021500090/play-by-play?watchFullGame=true", "SAS vs CHA - Q4 05:03.00")</f>
        <v>SAS vs CHA - Q4 05:03.00</v>
      </c>
      <c r="M3705">
        <v>13</v>
      </c>
      <c r="N3705">
        <v>-132</v>
      </c>
      <c r="O3705">
        <v>-5</v>
      </c>
      <c r="P3705">
        <v>-132</v>
      </c>
      <c r="Q3705">
        <v>-5</v>
      </c>
      <c r="R3705" t="s">
        <v>21</v>
      </c>
      <c r="S3705" t="s">
        <v>21</v>
      </c>
    </row>
    <row r="3706" spans="1:19" hidden="1" x14ac:dyDescent="0.25">
      <c r="A3706">
        <v>21600353</v>
      </c>
      <c r="B3706" t="s">
        <v>18</v>
      </c>
      <c r="C3706" t="s">
        <v>36</v>
      </c>
      <c r="D3706">
        <v>22</v>
      </c>
      <c r="E3706">
        <v>17</v>
      </c>
      <c r="F3706">
        <v>5</v>
      </c>
      <c r="G3706">
        <v>1</v>
      </c>
      <c r="H3706" s="1">
        <v>3.5185185185185185E-3</v>
      </c>
      <c r="I3706">
        <v>2016</v>
      </c>
      <c r="J3706" t="s">
        <v>20</v>
      </c>
      <c r="K3706" s="2" t="str">
        <f>HYPERLINK("https://www.nba.com/stats/events?CFID=&amp;CFPARAMS=&amp;GameEventID=52&amp;GameID=0021600353&amp;Season=2016-17&amp;flag=1&amp;title=Leonard%2013'%20Pullup%20Jump%20Shot%20(6%20PTS)%20(Aldridge%201%20AST)", "Leonard 13' Pullup Jump Shot (6 PTS) (Aldridge 1 AST)")</f>
        <v>Leonard 13' Pullup Jump Shot (6 PTS) (Aldridge 1 AST)</v>
      </c>
      <c r="L3706" s="2" t="str">
        <f>HYPERLINK("https://www.nba.com/game/...-vs-...-0021600353/play-by-play?watchFullGame=true", "SAS vs BKN - Q1 05:04.00")</f>
        <v>SAS vs BKN - Q1 05:04.00</v>
      </c>
      <c r="M3706">
        <v>13</v>
      </c>
      <c r="N3706">
        <v>12</v>
      </c>
      <c r="O3706">
        <v>129</v>
      </c>
      <c r="P3706">
        <v>12</v>
      </c>
      <c r="Q3706">
        <v>129</v>
      </c>
      <c r="R3706" t="s">
        <v>21</v>
      </c>
      <c r="S3706" t="s">
        <v>21</v>
      </c>
    </row>
    <row r="3707" spans="1:19" hidden="1" x14ac:dyDescent="0.25">
      <c r="A3707">
        <v>21400291</v>
      </c>
      <c r="B3707" t="s">
        <v>18</v>
      </c>
      <c r="C3707" t="s">
        <v>36</v>
      </c>
      <c r="D3707">
        <v>87</v>
      </c>
      <c r="E3707">
        <v>63</v>
      </c>
      <c r="F3707">
        <v>24</v>
      </c>
      <c r="G3707">
        <v>3</v>
      </c>
      <c r="H3707" s="1">
        <v>3.5995370370370369E-3</v>
      </c>
      <c r="I3707">
        <v>2014</v>
      </c>
      <c r="J3707" t="s">
        <v>20</v>
      </c>
      <c r="K3707" s="2" t="str">
        <f>HYPERLINK("https://www.nba.com/stats/events?CFID=&amp;CFPARAMS=&amp;GameEventID=347&amp;GameID=0021400291&amp;Season=2014-15&amp;flag=1&amp;title=Leonard%2013'%20Pullup%20Jump%20Shot%20(18%20PTS)", "Leonard 13' Pullup Jump Shot (18 PTS)")</f>
        <v>Leonard 13' Pullup Jump Shot (18 PTS)</v>
      </c>
      <c r="L3707" s="2" t="str">
        <f>HYPERLINK("https://www.nba.com/game/...-vs-...-0021400291/play-by-play?watchFullGame=true", "SAS vs MIN - Q3 05:11.00")</f>
        <v>SAS vs MIN - Q3 05:11.00</v>
      </c>
      <c r="M3707">
        <v>13</v>
      </c>
      <c r="N3707">
        <v>116</v>
      </c>
      <c r="O3707">
        <v>56</v>
      </c>
      <c r="P3707">
        <v>116</v>
      </c>
      <c r="Q3707">
        <v>56</v>
      </c>
      <c r="R3707" t="s">
        <v>21</v>
      </c>
      <c r="S3707" t="s">
        <v>21</v>
      </c>
    </row>
    <row r="3708" spans="1:19" hidden="1" x14ac:dyDescent="0.25">
      <c r="A3708">
        <v>21600701</v>
      </c>
      <c r="B3708" t="s">
        <v>18</v>
      </c>
      <c r="C3708" t="s">
        <v>39</v>
      </c>
      <c r="D3708">
        <v>68</v>
      </c>
      <c r="E3708">
        <v>62</v>
      </c>
      <c r="F3708">
        <v>6</v>
      </c>
      <c r="G3708">
        <v>3</v>
      </c>
      <c r="H3708" s="1">
        <v>3.6342592592592594E-3</v>
      </c>
      <c r="I3708">
        <v>2016</v>
      </c>
      <c r="J3708" t="s">
        <v>20</v>
      </c>
      <c r="K3708" s="2" t="str">
        <f>HYPERLINK("https://www.nba.com/stats/events?CFID=&amp;CFPARAMS=&amp;GameEventID=352&amp;GameID=0021600701&amp;Season=2016-17&amp;flag=1&amp;title=Leonard%2013'%20Step%20Back%20Jump%20Shot%20(18%20PTS)", "Leonard 13' Step Back Jump Shot (18 PTS)")</f>
        <v>Leonard 13' Step Back Jump Shot (18 PTS)</v>
      </c>
      <c r="L3708" s="2" t="str">
        <f>HYPERLINK("https://www.nba.com/game/...-vs-...-0021600701/play-by-play?watchFullGame=true", "SAS vs NOP - Q3 05:14.00")</f>
        <v>SAS vs NOP - Q3 05:14.00</v>
      </c>
      <c r="M3708">
        <v>13</v>
      </c>
      <c r="N3708">
        <v>104</v>
      </c>
      <c r="O3708">
        <v>80</v>
      </c>
      <c r="P3708">
        <v>104</v>
      </c>
      <c r="Q3708">
        <v>80</v>
      </c>
      <c r="R3708" t="s">
        <v>21</v>
      </c>
      <c r="S3708" t="s">
        <v>21</v>
      </c>
    </row>
    <row r="3709" spans="1:19" hidden="1" x14ac:dyDescent="0.25">
      <c r="A3709">
        <v>21600558</v>
      </c>
      <c r="B3709" t="s">
        <v>18</v>
      </c>
      <c r="C3709" t="s">
        <v>39</v>
      </c>
      <c r="D3709">
        <v>58</v>
      </c>
      <c r="E3709">
        <v>58</v>
      </c>
      <c r="F3709">
        <v>0</v>
      </c>
      <c r="G3709">
        <v>3</v>
      </c>
      <c r="H3709" s="1">
        <v>3.6458333333333334E-3</v>
      </c>
      <c r="I3709">
        <v>2016</v>
      </c>
      <c r="J3709" t="s">
        <v>20</v>
      </c>
      <c r="K3709" s="2" t="str">
        <f>HYPERLINK("https://www.nba.com/stats/events?CFID=&amp;CFPARAMS=&amp;GameEventID=303&amp;GameID=0021600558&amp;Season=2016-17&amp;flag=1&amp;title=Leonard%2013'%20Step%20Back%20Jump%20Shot%20(19%20PTS)", "Leonard 13' Step Back Jump Shot (19 PTS)")</f>
        <v>Leonard 13' Step Back Jump Shot (19 PTS)</v>
      </c>
      <c r="L3709" s="2" t="str">
        <f>HYPERLINK("https://www.nba.com/game/...-vs-...-0021600558/play-by-play?watchFullGame=true", "SAS vs CHA - Q3 05:15.00")</f>
        <v>SAS vs CHA - Q3 05:15.00</v>
      </c>
      <c r="M3709">
        <v>13</v>
      </c>
      <c r="N3709">
        <v>128</v>
      </c>
      <c r="O3709">
        <v>0</v>
      </c>
      <c r="P3709">
        <v>128</v>
      </c>
      <c r="Q3709">
        <v>0</v>
      </c>
      <c r="R3709" t="s">
        <v>21</v>
      </c>
      <c r="S3709" t="s">
        <v>21</v>
      </c>
    </row>
    <row r="3710" spans="1:19" hidden="1" x14ac:dyDescent="0.25">
      <c r="A3710">
        <v>21400906</v>
      </c>
      <c r="B3710" t="s">
        <v>18</v>
      </c>
      <c r="C3710" t="s">
        <v>36</v>
      </c>
      <c r="D3710">
        <v>42</v>
      </c>
      <c r="E3710">
        <v>34</v>
      </c>
      <c r="F3710">
        <v>8</v>
      </c>
      <c r="G3710">
        <v>2</v>
      </c>
      <c r="H3710" s="1">
        <v>3.6689814814814814E-3</v>
      </c>
      <c r="I3710">
        <v>2014</v>
      </c>
      <c r="J3710" t="s">
        <v>20</v>
      </c>
      <c r="K3710" s="2" t="str">
        <f>HYPERLINK("https://www.nba.com/stats/events?CFID=&amp;CFPARAMS=&amp;GameEventID=209&amp;GameID=0021400906&amp;Season=2014-15&amp;flag=1&amp;title=Leonard%2013'%20Pullup%20Jump%20Shot%20(16%20PTS)", "Leonard 13' Pullup Jump Shot (16 PTS)")</f>
        <v>Leonard 13' Pullup Jump Shot (16 PTS)</v>
      </c>
      <c r="L3710" s="2" t="str">
        <f>HYPERLINK("https://www.nba.com/game/...-vs-...-0021400906/play-by-play?watchFullGame=true", "SAS vs SAC - Q2 05:17.00")</f>
        <v>SAS vs SAC - Q2 05:17.00</v>
      </c>
      <c r="M3710">
        <v>13</v>
      </c>
      <c r="N3710">
        <v>-119</v>
      </c>
      <c r="O3710">
        <v>50</v>
      </c>
      <c r="P3710">
        <v>-119</v>
      </c>
      <c r="Q3710">
        <v>50</v>
      </c>
      <c r="R3710" t="s">
        <v>21</v>
      </c>
      <c r="S3710" t="s">
        <v>21</v>
      </c>
    </row>
    <row r="3711" spans="1:19" hidden="1" x14ac:dyDescent="0.25">
      <c r="A3711">
        <v>21300382</v>
      </c>
      <c r="B3711" t="s">
        <v>18</v>
      </c>
      <c r="C3711" t="s">
        <v>36</v>
      </c>
      <c r="D3711">
        <v>39</v>
      </c>
      <c r="E3711">
        <v>38</v>
      </c>
      <c r="F3711">
        <v>1</v>
      </c>
      <c r="G3711">
        <v>2</v>
      </c>
      <c r="H3711" s="1">
        <v>3.6921296296296298E-3</v>
      </c>
      <c r="I3711">
        <v>2013</v>
      </c>
      <c r="J3711" t="s">
        <v>20</v>
      </c>
      <c r="K3711" s="2" t="str">
        <f>HYPERLINK("https://www.nba.com/stats/events?CFID=&amp;CFPARAMS=&amp;GameEventID=184&amp;GameID=0021300382&amp;Season=2013-14&amp;flag=1&amp;title=Leonard%2013'%20Pullup%20Jump%20Shot%20(11%20PTS)%20(Diaw%204%20AST)", "Leonard 13' Pullup Jump Shot (11 PTS) (Diaw 4 AST)")</f>
        <v>Leonard 13' Pullup Jump Shot (11 PTS) (Diaw 4 AST)</v>
      </c>
      <c r="L3711" s="2" t="str">
        <f>HYPERLINK("https://www.nba.com/game/...-vs-...-0021300382/play-by-play?watchFullGame=true", "SAS vs GSW - Q2 05:19.00")</f>
        <v>SAS vs GSW - Q2 05:19.00</v>
      </c>
      <c r="M3711">
        <v>13</v>
      </c>
      <c r="N3711">
        <v>21</v>
      </c>
      <c r="O3711">
        <v>131</v>
      </c>
      <c r="P3711">
        <v>21</v>
      </c>
      <c r="Q3711">
        <v>131</v>
      </c>
      <c r="R3711" t="s">
        <v>21</v>
      </c>
      <c r="S3711" t="s">
        <v>21</v>
      </c>
    </row>
    <row r="3712" spans="1:19" hidden="1" x14ac:dyDescent="0.25">
      <c r="A3712">
        <v>21700633</v>
      </c>
      <c r="B3712" t="s">
        <v>18</v>
      </c>
      <c r="C3712" t="s">
        <v>49</v>
      </c>
      <c r="D3712">
        <v>44</v>
      </c>
      <c r="E3712">
        <v>31</v>
      </c>
      <c r="F3712">
        <v>13</v>
      </c>
      <c r="G3712">
        <v>2</v>
      </c>
      <c r="H3712" s="1">
        <v>3.8888888888888888E-3</v>
      </c>
      <c r="I3712">
        <v>2017</v>
      </c>
      <c r="J3712" t="s">
        <v>20</v>
      </c>
      <c r="K3712" s="2" t="str">
        <f>HYPERLINK("https://www.nba.com/stats/events?CFID=&amp;CFPARAMS=&amp;GameEventID=234&amp;GameID=0021700633&amp;Season=2017-18&amp;flag=1&amp;title=Leonard%2013'%20Driving%20Floating%20Bank%20Jump%20Shot%20(3%20PTS)", "Leonard 13' Driving Floating Bank Jump Shot (3 PTS)")</f>
        <v>Leonard 13' Driving Floating Bank Jump Shot (3 PTS)</v>
      </c>
      <c r="L3712" s="2" t="str">
        <f>HYPERLINK("https://www.nba.com/game/...-vs-...-0021700633/play-by-play?watchFullGame=true", "SAS vs DEN - Q2 05:36.00")</f>
        <v>SAS vs DEN - Q2 05:36.00</v>
      </c>
      <c r="M3712">
        <v>13</v>
      </c>
      <c r="N3712">
        <v>98</v>
      </c>
      <c r="O3712">
        <v>81</v>
      </c>
      <c r="P3712">
        <v>98</v>
      </c>
      <c r="Q3712">
        <v>81</v>
      </c>
      <c r="R3712" t="s">
        <v>21</v>
      </c>
      <c r="S3712" t="s">
        <v>21</v>
      </c>
    </row>
    <row r="3713" spans="1:19" hidden="1" x14ac:dyDescent="0.25">
      <c r="A3713">
        <v>21500909</v>
      </c>
      <c r="B3713" t="s">
        <v>18</v>
      </c>
      <c r="C3713" t="s">
        <v>37</v>
      </c>
      <c r="D3713">
        <v>76</v>
      </c>
      <c r="E3713">
        <v>81</v>
      </c>
      <c r="F3713">
        <v>5</v>
      </c>
      <c r="G3713">
        <v>4</v>
      </c>
      <c r="H3713" s="1">
        <v>3.9004629629629628E-3</v>
      </c>
      <c r="I3713">
        <v>2015</v>
      </c>
      <c r="J3713" t="s">
        <v>20</v>
      </c>
      <c r="K3713" s="2" t="str">
        <f>HYPERLINK("https://www.nba.com/stats/events?CFID=&amp;CFPARAMS=&amp;GameEventID=423&amp;GameID=0021500909&amp;Season=2015-16&amp;flag=1&amp;title=Leonard%2013'%20Fadeaway%20Jumper%20(25%20PTS)", "Leonard 13' Fadeaway Jumper (25 PTS)")</f>
        <v>Leonard 13' Fadeaway Jumper (25 PTS)</v>
      </c>
      <c r="L3713" s="2" t="str">
        <f>HYPERLINK("https://www.nba.com/game/...-vs-...-0021500909/play-by-play?watchFullGame=true", "SAS vs NOP - Q4 05:37.00")</f>
        <v>SAS vs NOP - Q4 05:37.00</v>
      </c>
      <c r="M3713">
        <v>13</v>
      </c>
      <c r="N3713">
        <v>68</v>
      </c>
      <c r="O3713">
        <v>105</v>
      </c>
      <c r="P3713">
        <v>68</v>
      </c>
      <c r="Q3713">
        <v>105</v>
      </c>
      <c r="R3713" t="s">
        <v>21</v>
      </c>
      <c r="S3713" t="s">
        <v>21</v>
      </c>
    </row>
    <row r="3714" spans="1:19" hidden="1" x14ac:dyDescent="0.25">
      <c r="A3714">
        <v>41800211</v>
      </c>
      <c r="B3714" t="s">
        <v>18</v>
      </c>
      <c r="C3714" t="s">
        <v>19</v>
      </c>
      <c r="D3714">
        <v>20</v>
      </c>
      <c r="E3714">
        <v>13</v>
      </c>
      <c r="F3714">
        <v>7</v>
      </c>
      <c r="G3714">
        <v>1</v>
      </c>
      <c r="H3714" s="1">
        <v>3.9120370370370368E-3</v>
      </c>
      <c r="I3714" t="s">
        <v>60</v>
      </c>
      <c r="J3714" t="s">
        <v>48</v>
      </c>
      <c r="K3714" s="2" t="str">
        <f>HYPERLINK("https://www.nba.com/stats/events?CFID=&amp;CFPARAMS=&amp;GameEventID=72&amp;GameID=0041800211&amp;Season=2018-19&amp;flag=1&amp;title=Leonard%2013'%20Jump%20Shot%20(11%20PTS)", "Leonard 13' Jump Shot (11 PTS)")</f>
        <v>Leonard 13' Jump Shot (11 PTS)</v>
      </c>
      <c r="L3714" s="2" t="str">
        <f>HYPERLINK("https://www.nba.com/game/...-vs-...-0041800211/play-by-play?watchFullGame=true", "TOR vs PHI - Q1 05:38.00")</f>
        <v>TOR vs PHI - Q1 05:38.00</v>
      </c>
      <c r="M3714">
        <v>13</v>
      </c>
      <c r="N3714">
        <v>-128</v>
      </c>
      <c r="O3714">
        <v>17</v>
      </c>
      <c r="P3714">
        <v>-128</v>
      </c>
      <c r="Q3714">
        <v>17</v>
      </c>
      <c r="R3714" t="s">
        <v>21</v>
      </c>
      <c r="S3714" t="s">
        <v>21</v>
      </c>
    </row>
    <row r="3715" spans="1:19" hidden="1" x14ac:dyDescent="0.25">
      <c r="A3715">
        <v>41200312</v>
      </c>
      <c r="B3715" t="s">
        <v>18</v>
      </c>
      <c r="C3715" t="s">
        <v>36</v>
      </c>
      <c r="D3715">
        <v>63</v>
      </c>
      <c r="E3715">
        <v>48</v>
      </c>
      <c r="F3715">
        <v>15</v>
      </c>
      <c r="G3715">
        <v>3</v>
      </c>
      <c r="H3715" s="1">
        <v>3.9351851851851848E-3</v>
      </c>
      <c r="I3715" t="s">
        <v>53</v>
      </c>
      <c r="J3715" t="s">
        <v>20</v>
      </c>
      <c r="K3715" s="2" t="str">
        <f>HYPERLINK("https://www.nba.com/stats/events?CFID=&amp;CFPARAMS=&amp;GameEventID=324&amp;GameID=0041200312&amp;Season=2012-13&amp;flag=1&amp;title=Leonard%2013'%20Pullup%20Jump%20Shot%20(12%20PTS)%20(Parker%2014%20AST)", "Leonard 13' Pullup Jump Shot (12 PTS) (Parker 14 AST)")</f>
        <v>Leonard 13' Pullup Jump Shot (12 PTS) (Parker 14 AST)</v>
      </c>
      <c r="L3715" s="2" t="str">
        <f>HYPERLINK("https://www.nba.com/game/...-vs-...-0041200312/play-by-play?watchFullGame=true", "SAS vs MEM - Q3 05:40.00")</f>
        <v>SAS vs MEM - Q3 05:40.00</v>
      </c>
      <c r="M3715">
        <v>13</v>
      </c>
      <c r="N3715">
        <v>-123</v>
      </c>
      <c r="O3715">
        <v>37</v>
      </c>
      <c r="P3715">
        <v>-123</v>
      </c>
      <c r="Q3715">
        <v>37</v>
      </c>
      <c r="R3715" t="s">
        <v>21</v>
      </c>
      <c r="S3715" t="s">
        <v>21</v>
      </c>
    </row>
    <row r="3716" spans="1:19" hidden="1" x14ac:dyDescent="0.25">
      <c r="A3716">
        <v>21301186</v>
      </c>
      <c r="B3716" t="s">
        <v>18</v>
      </c>
      <c r="C3716" t="s">
        <v>19</v>
      </c>
      <c r="D3716">
        <v>72</v>
      </c>
      <c r="E3716">
        <v>76</v>
      </c>
      <c r="F3716">
        <v>4</v>
      </c>
      <c r="G3716">
        <v>3</v>
      </c>
      <c r="H3716" s="1">
        <v>3.9467592592592592E-3</v>
      </c>
      <c r="I3716">
        <v>2013</v>
      </c>
      <c r="J3716" t="s">
        <v>20</v>
      </c>
      <c r="K3716" s="2" t="str">
        <f>HYPERLINK("https://www.nba.com/stats/events?CFID=&amp;CFPARAMS=&amp;GameEventID=317&amp;GameID=0021301186&amp;Season=2013-14&amp;flag=1&amp;title=Leonard%2013'%20Jump%20Shot%20(8%20PTS)", "Leonard 13' Jump Shot (8 PTS)")</f>
        <v>Leonard 13' Jump Shot (8 PTS)</v>
      </c>
      <c r="L3716" s="2" t="str">
        <f>HYPERLINK("https://www.nba.com/game/...-vs-...-0021301186/play-by-play?watchFullGame=true", "SAS vs PHX - Q3 05:41.00")</f>
        <v>SAS vs PHX - Q3 05:41.00</v>
      </c>
      <c r="M3716">
        <v>13</v>
      </c>
      <c r="N3716">
        <v>127</v>
      </c>
      <c r="O3716">
        <v>12</v>
      </c>
      <c r="P3716">
        <v>127</v>
      </c>
      <c r="Q3716">
        <v>12</v>
      </c>
      <c r="R3716" t="s">
        <v>21</v>
      </c>
      <c r="S3716" t="s">
        <v>21</v>
      </c>
    </row>
    <row r="3717" spans="1:19" hidden="1" x14ac:dyDescent="0.25">
      <c r="A3717">
        <v>21300898</v>
      </c>
      <c r="B3717" t="s">
        <v>18</v>
      </c>
      <c r="C3717" t="s">
        <v>19</v>
      </c>
      <c r="D3717">
        <v>36</v>
      </c>
      <c r="E3717">
        <v>36</v>
      </c>
      <c r="F3717">
        <v>0</v>
      </c>
      <c r="G3717">
        <v>2</v>
      </c>
      <c r="H3717" s="1">
        <v>4.0277777777777777E-3</v>
      </c>
      <c r="I3717">
        <v>2013</v>
      </c>
      <c r="J3717" t="s">
        <v>20</v>
      </c>
      <c r="K3717" s="2" t="str">
        <f>HYPERLINK("https://www.nba.com/stats/events?CFID=&amp;CFPARAMS=&amp;GameEventID=213&amp;GameID=0021300898&amp;Season=2013-14&amp;flag=1&amp;title=Leonard%2013'%20Jump%20Shot%20(7%20PTS)%20(Duncan%201%20AST)", "Leonard 13' Jump Shot (7 PTS) (Duncan 1 AST)")</f>
        <v>Leonard 13' Jump Shot (7 PTS) (Duncan 1 AST)</v>
      </c>
      <c r="L3717" s="2" t="str">
        <f>HYPERLINK("https://www.nba.com/game/...-vs-...-0021300898/play-by-play?watchFullGame=true", "SAS vs CLE - Q2 05:48.00")</f>
        <v>SAS vs CLE - Q2 05:48.00</v>
      </c>
      <c r="M3717">
        <v>13</v>
      </c>
      <c r="N3717">
        <v>127</v>
      </c>
      <c r="O3717">
        <v>9</v>
      </c>
      <c r="P3717">
        <v>127</v>
      </c>
      <c r="Q3717">
        <v>9</v>
      </c>
      <c r="R3717" t="s">
        <v>21</v>
      </c>
      <c r="S3717" t="s">
        <v>21</v>
      </c>
    </row>
    <row r="3718" spans="1:19" hidden="1" x14ac:dyDescent="0.25">
      <c r="A3718">
        <v>21800658</v>
      </c>
      <c r="B3718" t="s">
        <v>18</v>
      </c>
      <c r="C3718" t="s">
        <v>37</v>
      </c>
      <c r="D3718">
        <v>94</v>
      </c>
      <c r="E3718">
        <v>92</v>
      </c>
      <c r="F3718">
        <v>2</v>
      </c>
      <c r="G3718">
        <v>4</v>
      </c>
      <c r="H3718" s="1">
        <v>4.3750000000000004E-3</v>
      </c>
      <c r="I3718">
        <v>2018</v>
      </c>
      <c r="J3718" t="s">
        <v>48</v>
      </c>
      <c r="K3718" s="2" t="str">
        <f>HYPERLINK("https://www.nba.com/stats/events?CFID=&amp;CFPARAMS=&amp;GameEventID=553&amp;GameID=0021800658&amp;Season=2018-19&amp;flag=1&amp;title=Leonard%2013'%20Fadeaway%20Jumper%20(25%20PTS)", "Leonard 13' Fadeaway Jumper (25 PTS)")</f>
        <v>Leonard 13' Fadeaway Jumper (25 PTS)</v>
      </c>
      <c r="L3718" s="2" t="str">
        <f>HYPERLINK("https://www.nba.com/game/...-vs-...-0021800658/play-by-play?watchFullGame=true", "TOR vs BOS - Q4 06:18.00")</f>
        <v>TOR vs BOS - Q4 06:18.00</v>
      </c>
      <c r="M3718">
        <v>13</v>
      </c>
      <c r="N3718">
        <v>-123</v>
      </c>
      <c r="O3718">
        <v>45</v>
      </c>
      <c r="P3718">
        <v>-123</v>
      </c>
      <c r="Q3718">
        <v>45</v>
      </c>
      <c r="R3718" t="s">
        <v>21</v>
      </c>
      <c r="S3718" t="s">
        <v>21</v>
      </c>
    </row>
    <row r="3719" spans="1:19" hidden="1" x14ac:dyDescent="0.25">
      <c r="A3719">
        <v>21500790</v>
      </c>
      <c r="B3719" t="s">
        <v>18</v>
      </c>
      <c r="C3719" t="s">
        <v>39</v>
      </c>
      <c r="D3719">
        <v>8</v>
      </c>
      <c r="E3719">
        <v>9</v>
      </c>
      <c r="F3719">
        <v>1</v>
      </c>
      <c r="G3719">
        <v>1</v>
      </c>
      <c r="H3719" s="1">
        <v>4.386574074074074E-3</v>
      </c>
      <c r="I3719">
        <v>2015</v>
      </c>
      <c r="J3719" t="s">
        <v>20</v>
      </c>
      <c r="K3719" s="2" t="str">
        <f>HYPERLINK("https://www.nba.com/stats/events?CFID=&amp;CFPARAMS=&amp;GameEventID=54&amp;GameID=0021500790&amp;Season=2015-16&amp;flag=1&amp;title=Leonard%2013'%20Step%20Back%20Jump%20Shot%20(4%20PTS)", "Leonard 13' Step Back Jump Shot (4 PTS)")</f>
        <v>Leonard 13' Step Back Jump Shot (4 PTS)</v>
      </c>
      <c r="L3719" s="2" t="str">
        <f>HYPERLINK("https://www.nba.com/game/...-vs-...-0021500790/play-by-play?watchFullGame=true", "SAS vs ORL - Q1 06:19.00")</f>
        <v>SAS vs ORL - Q1 06:19.00</v>
      </c>
      <c r="M3719">
        <v>13</v>
      </c>
      <c r="N3719">
        <v>-132</v>
      </c>
      <c r="O3719">
        <v>26</v>
      </c>
      <c r="P3719">
        <v>-132</v>
      </c>
      <c r="Q3719">
        <v>26</v>
      </c>
      <c r="R3719" t="s">
        <v>21</v>
      </c>
      <c r="S3719" t="s">
        <v>21</v>
      </c>
    </row>
    <row r="3720" spans="1:19" hidden="1" x14ac:dyDescent="0.25">
      <c r="A3720">
        <v>21600213</v>
      </c>
      <c r="B3720" t="s">
        <v>18</v>
      </c>
      <c r="C3720" t="s">
        <v>29</v>
      </c>
      <c r="D3720">
        <v>70</v>
      </c>
      <c r="E3720">
        <v>69</v>
      </c>
      <c r="F3720">
        <v>1</v>
      </c>
      <c r="G3720">
        <v>3</v>
      </c>
      <c r="H3720" s="1">
        <v>4.43287037037037E-3</v>
      </c>
      <c r="I3720">
        <v>2016</v>
      </c>
      <c r="J3720" t="s">
        <v>20</v>
      </c>
      <c r="K3720" s="2" t="str">
        <f>HYPERLINK("https://www.nba.com/stats/events?CFID=&amp;CFPARAMS=&amp;GameEventID=286&amp;GameID=0021600213&amp;Season=2016-17&amp;flag=1&amp;title=Leonard%2013'%20Jump%20Bank%20Shot%20(22%20PTS)", "Leonard 13' Jump Bank Shot (22 PTS)")</f>
        <v>Leonard 13' Jump Bank Shot (22 PTS)</v>
      </c>
      <c r="L3720" s="2" t="str">
        <f>HYPERLINK("https://www.nba.com/game/...-vs-...-0021600213/play-by-play?watchFullGame=true", "SAS vs CHA - Q3 06:23.00")</f>
        <v>SAS vs CHA - Q3 06:23.00</v>
      </c>
      <c r="M3720">
        <v>13</v>
      </c>
      <c r="N3720">
        <v>102</v>
      </c>
      <c r="O3720">
        <v>77</v>
      </c>
      <c r="P3720">
        <v>102</v>
      </c>
      <c r="Q3720">
        <v>77</v>
      </c>
      <c r="R3720" t="s">
        <v>21</v>
      </c>
      <c r="S3720" t="s">
        <v>21</v>
      </c>
    </row>
    <row r="3721" spans="1:19" hidden="1" x14ac:dyDescent="0.25">
      <c r="A3721">
        <v>21800624</v>
      </c>
      <c r="B3721" t="s">
        <v>18</v>
      </c>
      <c r="C3721" t="s">
        <v>36</v>
      </c>
      <c r="D3721">
        <v>15</v>
      </c>
      <c r="E3721">
        <v>14</v>
      </c>
      <c r="F3721">
        <v>1</v>
      </c>
      <c r="G3721">
        <v>1</v>
      </c>
      <c r="H3721" s="1">
        <v>4.4560185185185189E-3</v>
      </c>
      <c r="I3721">
        <v>2018</v>
      </c>
      <c r="J3721" t="s">
        <v>48</v>
      </c>
      <c r="K3721" s="2" t="str">
        <f>HYPERLINK("https://www.nba.com/stats/events?CFID=&amp;CFPARAMS=&amp;GameEventID=61&amp;GameID=0021800624&amp;Season=2018-19&amp;flag=1&amp;title=Leonard%2013'%20Pullup%20Jump%20Shot%20(8%20PTS)", "Leonard 13' Pullup Jump Shot (8 PTS)")</f>
        <v>Leonard 13' Pullup Jump Shot (8 PTS)</v>
      </c>
      <c r="L3721" s="2" t="str">
        <f>HYPERLINK("https://www.nba.com/game/...-vs-...-0021800624/play-by-play?watchFullGame=true", "TOR vs BKN - Q1 06:25.00")</f>
        <v>TOR vs BKN - Q1 06:25.00</v>
      </c>
      <c r="M3721">
        <v>13</v>
      </c>
      <c r="N3721">
        <v>-55</v>
      </c>
      <c r="O3721">
        <v>119</v>
      </c>
      <c r="P3721">
        <v>-55</v>
      </c>
      <c r="Q3721">
        <v>119</v>
      </c>
      <c r="R3721" t="s">
        <v>21</v>
      </c>
      <c r="S3721" t="s">
        <v>21</v>
      </c>
    </row>
    <row r="3722" spans="1:19" hidden="1" x14ac:dyDescent="0.25">
      <c r="A3722">
        <v>21400875</v>
      </c>
      <c r="B3722" t="s">
        <v>18</v>
      </c>
      <c r="C3722" t="s">
        <v>19</v>
      </c>
      <c r="D3722">
        <v>12</v>
      </c>
      <c r="E3722">
        <v>7</v>
      </c>
      <c r="F3722">
        <v>5</v>
      </c>
      <c r="G3722">
        <v>1</v>
      </c>
      <c r="H3722" s="1">
        <v>4.4560185185185189E-3</v>
      </c>
      <c r="I3722">
        <v>2014</v>
      </c>
      <c r="J3722" t="s">
        <v>20</v>
      </c>
      <c r="K3722" s="2" t="str">
        <f>HYPERLINK("https://www.nba.com/stats/events?CFID=&amp;CFPARAMS=&amp;GameEventID=52&amp;GameID=0021400875&amp;Season=2014-15&amp;flag=1&amp;title=Leonard%2013'%20Jump%20Shot%20(2%20PTS)", "Leonard 13' Jump Shot (2 PTS)")</f>
        <v>Leonard 13' Jump Shot (2 PTS)</v>
      </c>
      <c r="L3722" s="2" t="str">
        <f>HYPERLINK("https://www.nba.com/game/...-vs-...-0021400875/play-by-play?watchFullGame=true", "SAS vs PHX - Q1 06:25.00")</f>
        <v>SAS vs PHX - Q1 06:25.00</v>
      </c>
      <c r="M3722">
        <v>13</v>
      </c>
      <c r="N3722">
        <v>102</v>
      </c>
      <c r="O3722">
        <v>83</v>
      </c>
      <c r="P3722">
        <v>102</v>
      </c>
      <c r="Q3722">
        <v>83</v>
      </c>
      <c r="R3722" t="s">
        <v>21</v>
      </c>
      <c r="S3722" t="s">
        <v>21</v>
      </c>
    </row>
    <row r="3723" spans="1:19" hidden="1" x14ac:dyDescent="0.25">
      <c r="A3723">
        <v>21600383</v>
      </c>
      <c r="B3723" t="s">
        <v>18</v>
      </c>
      <c r="C3723" t="s">
        <v>36</v>
      </c>
      <c r="D3723">
        <v>40</v>
      </c>
      <c r="E3723">
        <v>33</v>
      </c>
      <c r="F3723">
        <v>7</v>
      </c>
      <c r="G3723">
        <v>2</v>
      </c>
      <c r="H3723" s="1">
        <v>4.5601851851851853E-3</v>
      </c>
      <c r="I3723">
        <v>2016</v>
      </c>
      <c r="J3723" t="s">
        <v>20</v>
      </c>
      <c r="K3723" s="2" t="str">
        <f>HYPERLINK("https://www.nba.com/stats/events?CFID=&amp;CFPARAMS=&amp;GameEventID=167&amp;GameID=0021600383&amp;Season=2016-17&amp;flag=1&amp;title=Leonard%2013'%20Pullup%20Jump%20Shot%20(11%20PTS)", "Leonard 13' Pullup Jump Shot (11 PTS)")</f>
        <v>Leonard 13' Pullup Jump Shot (11 PTS)</v>
      </c>
      <c r="L3723" s="2" t="str">
        <f>HYPERLINK("https://www.nba.com/game/...-vs-...-0021600383/play-by-play?watchFullGame=true", "SAS vs BOS - Q2 06:34.00")</f>
        <v>SAS vs BOS - Q2 06:34.00</v>
      </c>
      <c r="M3723">
        <v>13</v>
      </c>
      <c r="N3723">
        <v>133</v>
      </c>
      <c r="O3723">
        <v>-19</v>
      </c>
      <c r="P3723">
        <v>133</v>
      </c>
      <c r="Q3723">
        <v>-19</v>
      </c>
      <c r="R3723" t="s">
        <v>21</v>
      </c>
      <c r="S3723" t="s">
        <v>21</v>
      </c>
    </row>
    <row r="3724" spans="1:19" hidden="1" x14ac:dyDescent="0.25">
      <c r="A3724">
        <v>21500013</v>
      </c>
      <c r="B3724" t="s">
        <v>18</v>
      </c>
      <c r="C3724" t="s">
        <v>37</v>
      </c>
      <c r="D3724">
        <v>97</v>
      </c>
      <c r="E3724">
        <v>90</v>
      </c>
      <c r="F3724">
        <v>7</v>
      </c>
      <c r="G3724">
        <v>4</v>
      </c>
      <c r="H3724" s="1">
        <v>4.5717592592592589E-3</v>
      </c>
      <c r="I3724">
        <v>2015</v>
      </c>
      <c r="J3724" t="s">
        <v>20</v>
      </c>
      <c r="K3724" s="2" t="str">
        <f>HYPERLINK("https://www.nba.com/stats/events?CFID=&amp;CFPARAMS=&amp;GameEventID=460&amp;GameID=0021500013&amp;Season=2015-16&amp;flag=1&amp;title=Leonard%2013'%20Fadeaway%20Jumper%20(27%20PTS)", "Leonard 13' Fadeaway Jumper (27 PTS)")</f>
        <v>Leonard 13' Fadeaway Jumper (27 PTS)</v>
      </c>
      <c r="L3724" s="2" t="str">
        <f>HYPERLINK("https://www.nba.com/game/...-vs-...-0021500013/play-by-play?watchFullGame=true", "SAS vs OKC - Q4 06:35.00")</f>
        <v>SAS vs OKC - Q4 06:35.00</v>
      </c>
      <c r="M3724">
        <v>13</v>
      </c>
      <c r="N3724">
        <v>132</v>
      </c>
      <c r="O3724">
        <v>26</v>
      </c>
      <c r="P3724">
        <v>132</v>
      </c>
      <c r="Q3724">
        <v>26</v>
      </c>
      <c r="R3724" t="s">
        <v>21</v>
      </c>
      <c r="S3724" t="s">
        <v>21</v>
      </c>
    </row>
    <row r="3725" spans="1:19" hidden="1" x14ac:dyDescent="0.25">
      <c r="A3725">
        <v>21601209</v>
      </c>
      <c r="B3725" t="s">
        <v>18</v>
      </c>
      <c r="C3725" t="s">
        <v>36</v>
      </c>
      <c r="D3725">
        <v>61</v>
      </c>
      <c r="E3725">
        <v>60</v>
      </c>
      <c r="F3725">
        <v>1</v>
      </c>
      <c r="G3725">
        <v>3</v>
      </c>
      <c r="H3725" s="1">
        <v>4.6527777777777774E-3</v>
      </c>
      <c r="I3725">
        <v>2016</v>
      </c>
      <c r="J3725" t="s">
        <v>20</v>
      </c>
      <c r="K3725" s="2" t="str">
        <f>HYPERLINK("https://www.nba.com/stats/events?CFID=&amp;CFPARAMS=&amp;GameEventID=297&amp;GameID=0021601209&amp;Season=2016-17&amp;flag=1&amp;title=Leonard%2013'%20Pullup%20Jump%20Shot%20(16%20PTS)", "Leonard 13' Pullup Jump Shot (16 PTS)")</f>
        <v>Leonard 13' Pullup Jump Shot (16 PTS)</v>
      </c>
      <c r="L3725" s="2" t="str">
        <f>HYPERLINK("https://www.nba.com/game/...-vs-...-0021601209/play-by-play?watchFullGame=true", "SAS vs POR - Q3 06:42.00")</f>
        <v>SAS vs POR - Q3 06:42.00</v>
      </c>
      <c r="M3725">
        <v>13</v>
      </c>
      <c r="N3725">
        <v>-17</v>
      </c>
      <c r="O3725">
        <v>131</v>
      </c>
      <c r="P3725">
        <v>-17</v>
      </c>
      <c r="Q3725">
        <v>131</v>
      </c>
      <c r="R3725" t="s">
        <v>21</v>
      </c>
      <c r="S3725" t="s">
        <v>21</v>
      </c>
    </row>
    <row r="3726" spans="1:19" hidden="1" x14ac:dyDescent="0.25">
      <c r="A3726">
        <v>21600942</v>
      </c>
      <c r="B3726" t="s">
        <v>18</v>
      </c>
      <c r="C3726" t="s">
        <v>39</v>
      </c>
      <c r="D3726">
        <v>91</v>
      </c>
      <c r="E3726">
        <v>96</v>
      </c>
      <c r="F3726">
        <v>5</v>
      </c>
      <c r="G3726">
        <v>4</v>
      </c>
      <c r="H3726" s="1">
        <v>4.7337962962962967E-3</v>
      </c>
      <c r="I3726">
        <v>2016</v>
      </c>
      <c r="J3726" t="s">
        <v>20</v>
      </c>
      <c r="K3726" s="2" t="str">
        <f>HYPERLINK("https://www.nba.com/stats/events?CFID=&amp;CFPARAMS=&amp;GameEventID=409&amp;GameID=0021600942&amp;Season=2016-17&amp;flag=1&amp;title=Leonard%2013'%20Step%20Back%20Jump%20Shot%20(24%20PTS)", "Leonard 13' Step Back Jump Shot (24 PTS)")</f>
        <v>Leonard 13' Step Back Jump Shot (24 PTS)</v>
      </c>
      <c r="L3726" s="2" t="str">
        <f>HYPERLINK("https://www.nba.com/game/...-vs-...-0021600942/play-by-play?watchFullGame=true", "SAS vs HOU - Q4 06:49.00")</f>
        <v>SAS vs HOU - Q4 06:49.00</v>
      </c>
      <c r="M3726">
        <v>13</v>
      </c>
      <c r="N3726">
        <v>-127</v>
      </c>
      <c r="O3726">
        <v>8</v>
      </c>
      <c r="P3726">
        <v>-127</v>
      </c>
      <c r="Q3726">
        <v>8</v>
      </c>
      <c r="R3726" t="s">
        <v>21</v>
      </c>
      <c r="S3726" t="s">
        <v>21</v>
      </c>
    </row>
    <row r="3727" spans="1:19" hidden="1" x14ac:dyDescent="0.25">
      <c r="A3727">
        <v>41600156</v>
      </c>
      <c r="B3727" t="s">
        <v>18</v>
      </c>
      <c r="C3727" t="s">
        <v>39</v>
      </c>
      <c r="D3727">
        <v>81</v>
      </c>
      <c r="E3727">
        <v>85</v>
      </c>
      <c r="F3727">
        <v>4</v>
      </c>
      <c r="G3727">
        <v>4</v>
      </c>
      <c r="H3727" s="1">
        <v>4.7337962962962967E-3</v>
      </c>
      <c r="I3727" t="s">
        <v>58</v>
      </c>
      <c r="J3727" t="s">
        <v>20</v>
      </c>
      <c r="K3727" s="2" t="str">
        <f>HYPERLINK("https://www.nba.com/stats/events?CFID=&amp;CFPARAMS=&amp;GameEventID=402&amp;GameID=0041600156&amp;Season=2016-17&amp;flag=1&amp;title=Leonard%2013'%20Step%20Back%20Jump%20Shot%20(21%20PTS)", "Leonard 13' Step Back Jump Shot (21 PTS)")</f>
        <v>Leonard 13' Step Back Jump Shot (21 PTS)</v>
      </c>
      <c r="L3727" s="2" t="str">
        <f>HYPERLINK("https://www.nba.com/game/...-vs-...-0041600156/play-by-play?watchFullGame=true", "SAS vs MEM - Q4 06:49.00")</f>
        <v>SAS vs MEM - Q4 06:49.00</v>
      </c>
      <c r="M3727">
        <v>13</v>
      </c>
      <c r="N3727">
        <v>-7</v>
      </c>
      <c r="O3727">
        <v>129</v>
      </c>
      <c r="P3727">
        <v>-7</v>
      </c>
      <c r="Q3727">
        <v>129</v>
      </c>
      <c r="R3727" t="s">
        <v>21</v>
      </c>
      <c r="S3727" t="s">
        <v>21</v>
      </c>
    </row>
    <row r="3728" spans="1:19" hidden="1" x14ac:dyDescent="0.25">
      <c r="A3728">
        <v>21500224</v>
      </c>
      <c r="B3728" t="s">
        <v>18</v>
      </c>
      <c r="C3728" t="s">
        <v>19</v>
      </c>
      <c r="D3728">
        <v>55</v>
      </c>
      <c r="E3728">
        <v>45</v>
      </c>
      <c r="F3728">
        <v>10</v>
      </c>
      <c r="G3728">
        <v>3</v>
      </c>
      <c r="H3728" s="1">
        <v>4.8611111111111112E-3</v>
      </c>
      <c r="I3728">
        <v>2015</v>
      </c>
      <c r="J3728" t="s">
        <v>20</v>
      </c>
      <c r="K3728" s="2" t="str">
        <f>HYPERLINK("https://www.nba.com/stats/events?CFID=&amp;CFPARAMS=&amp;GameEventID=303&amp;GameID=0021500224&amp;Season=2015-16&amp;flag=1&amp;title=Leonard%2013'%20Jump%20Shot%20(13%20PTS)%20(Parker%205%20AST)", "Leonard 13' Jump Shot (13 PTS) (Parker 5 AST)")</f>
        <v>Leonard 13' Jump Shot (13 PTS) (Parker 5 AST)</v>
      </c>
      <c r="L3728" s="2" t="str">
        <f>HYPERLINK("https://www.nba.com/game/...-vs-...-0021500224/play-by-play?watchFullGame=true", "SAS vs DAL - Q3 07:00.00")</f>
        <v>SAS vs DAL - Q3 07:00.00</v>
      </c>
      <c r="M3728">
        <v>13</v>
      </c>
      <c r="N3728">
        <v>130</v>
      </c>
      <c r="O3728">
        <v>7</v>
      </c>
      <c r="P3728">
        <v>130</v>
      </c>
      <c r="Q3728">
        <v>7</v>
      </c>
      <c r="R3728" t="s">
        <v>21</v>
      </c>
      <c r="S3728" t="s">
        <v>21</v>
      </c>
    </row>
    <row r="3729" spans="1:19" hidden="1" x14ac:dyDescent="0.25">
      <c r="A3729">
        <v>41600152</v>
      </c>
      <c r="B3729" t="s">
        <v>18</v>
      </c>
      <c r="C3729" t="s">
        <v>36</v>
      </c>
      <c r="D3729">
        <v>15</v>
      </c>
      <c r="E3729">
        <v>10</v>
      </c>
      <c r="F3729">
        <v>5</v>
      </c>
      <c r="G3729">
        <v>1</v>
      </c>
      <c r="H3729" s="1">
        <v>4.9305555555555552E-3</v>
      </c>
      <c r="I3729" t="s">
        <v>58</v>
      </c>
      <c r="J3729" t="s">
        <v>20</v>
      </c>
      <c r="K3729" s="2" t="str">
        <f>HYPERLINK("https://www.nba.com/stats/events?CFID=&amp;CFPARAMS=&amp;GameEventID=51&amp;GameID=0041600152&amp;Season=2016-17&amp;flag=1&amp;title=Leonard%2013'%20Pullup%20Jump%20Shot%20(4%20PTS)", "Leonard 13' Pullup Jump Shot (4 PTS)")</f>
        <v>Leonard 13' Pullup Jump Shot (4 PTS)</v>
      </c>
      <c r="L3729" s="2" t="str">
        <f>HYPERLINK("https://www.nba.com/game/...-vs-...-0041600152/play-by-play?watchFullGame=true", "SAS vs MEM - Q1 07:06.00")</f>
        <v>SAS vs MEM - Q1 07:06.00</v>
      </c>
      <c r="M3729">
        <v>13</v>
      </c>
      <c r="N3729">
        <v>-7</v>
      </c>
      <c r="O3729">
        <v>129</v>
      </c>
      <c r="P3729">
        <v>-7</v>
      </c>
      <c r="Q3729">
        <v>129</v>
      </c>
      <c r="R3729" t="s">
        <v>21</v>
      </c>
      <c r="S3729" t="s">
        <v>21</v>
      </c>
    </row>
    <row r="3730" spans="1:19" hidden="1" x14ac:dyDescent="0.25">
      <c r="A3730">
        <v>21800271</v>
      </c>
      <c r="B3730" t="s">
        <v>18</v>
      </c>
      <c r="C3730" t="s">
        <v>37</v>
      </c>
      <c r="D3730">
        <v>80</v>
      </c>
      <c r="E3730">
        <v>73</v>
      </c>
      <c r="F3730">
        <v>7</v>
      </c>
      <c r="G3730">
        <v>3</v>
      </c>
      <c r="H3730" s="1">
        <v>5.0000000000000001E-3</v>
      </c>
      <c r="I3730">
        <v>2018</v>
      </c>
      <c r="J3730" t="s">
        <v>48</v>
      </c>
      <c r="K3730" s="2" t="str">
        <f>HYPERLINK("https://www.nba.com/stats/events?CFID=&amp;CFPARAMS=&amp;GameEventID=437&amp;GameID=0021800271&amp;Season=2018-19&amp;flag=1&amp;title=Leonard%2013'%20Fadeaway%20Jumper%20(20%20PTS)", "Leonard 13' Fadeaway Jumper (20 PTS)")</f>
        <v>Leonard 13' Fadeaway Jumper (20 PTS)</v>
      </c>
      <c r="L3730" s="2" t="str">
        <f>HYPERLINK("https://www.nba.com/game/...-vs-...-0021800271/play-by-play?watchFullGame=true", "TOR vs WAS - Q3 07:12.00")</f>
        <v>TOR vs WAS - Q3 07:12.00</v>
      </c>
      <c r="M3730">
        <v>13</v>
      </c>
      <c r="N3730">
        <v>-101</v>
      </c>
      <c r="O3730">
        <v>88</v>
      </c>
      <c r="P3730">
        <v>-101</v>
      </c>
      <c r="Q3730">
        <v>88</v>
      </c>
      <c r="R3730" t="s">
        <v>21</v>
      </c>
      <c r="S3730" t="s">
        <v>21</v>
      </c>
    </row>
    <row r="3731" spans="1:19" hidden="1" x14ac:dyDescent="0.25">
      <c r="A3731">
        <v>21501215</v>
      </c>
      <c r="B3731" t="s">
        <v>18</v>
      </c>
      <c r="C3731" t="s">
        <v>19</v>
      </c>
      <c r="D3731">
        <v>56</v>
      </c>
      <c r="E3731">
        <v>62</v>
      </c>
      <c r="F3731">
        <v>6</v>
      </c>
      <c r="G3731">
        <v>3</v>
      </c>
      <c r="H3731" s="1">
        <v>5.0231481481481481E-3</v>
      </c>
      <c r="I3731">
        <v>2015</v>
      </c>
      <c r="J3731" t="s">
        <v>20</v>
      </c>
      <c r="K3731" s="2" t="str">
        <f>HYPERLINK("https://www.nba.com/stats/events?CFID=&amp;CFPARAMS=&amp;GameEventID=283&amp;GameID=0021501215&amp;Season=2015-16&amp;flag=1&amp;title=Leonard%2013'%20Jump%20Shot%20(12%20PTS)", "Leonard 13' Jump Shot (12 PTS)")</f>
        <v>Leonard 13' Jump Shot (12 PTS)</v>
      </c>
      <c r="L3731" s="2" t="str">
        <f>HYPERLINK("https://www.nba.com/game/...-vs-...-0021501215/play-by-play?watchFullGame=true", "SAS vs OKC - Q3 07:14.00")</f>
        <v>SAS vs OKC - Q3 07:14.00</v>
      </c>
      <c r="M3731">
        <v>13</v>
      </c>
      <c r="N3731">
        <v>-127</v>
      </c>
      <c r="O3731">
        <v>31</v>
      </c>
      <c r="P3731">
        <v>-127</v>
      </c>
      <c r="Q3731">
        <v>31</v>
      </c>
      <c r="R3731" t="s">
        <v>21</v>
      </c>
      <c r="S3731" t="s">
        <v>21</v>
      </c>
    </row>
    <row r="3732" spans="1:19" hidden="1" x14ac:dyDescent="0.25">
      <c r="A3732">
        <v>21601161</v>
      </c>
      <c r="B3732" t="s">
        <v>18</v>
      </c>
      <c r="C3732" t="s">
        <v>19</v>
      </c>
      <c r="D3732">
        <v>73</v>
      </c>
      <c r="E3732">
        <v>62</v>
      </c>
      <c r="F3732">
        <v>11</v>
      </c>
      <c r="G3732">
        <v>4</v>
      </c>
      <c r="H3732" s="1">
        <v>5.0810185185185186E-3</v>
      </c>
      <c r="I3732">
        <v>2016</v>
      </c>
      <c r="J3732" t="s">
        <v>20</v>
      </c>
      <c r="K3732" s="2" t="str">
        <f>HYPERLINK("https://www.nba.com/stats/events?CFID=&amp;CFPARAMS=&amp;GameEventID=390&amp;GameID=0021601161&amp;Season=2016-17&amp;flag=1&amp;title=Leonard%2013'%20Jump%20Shot%20(22%20PTS)%20(Parker%207%20AST)", "Leonard 13' Jump Shot (22 PTS) (Parker 7 AST)")</f>
        <v>Leonard 13' Jump Shot (22 PTS) (Parker 7 AST)</v>
      </c>
      <c r="L3732" s="2" t="str">
        <f>HYPERLINK("https://www.nba.com/game/...-vs-...-0021601161/play-by-play?watchFullGame=true", "SAS vs MEM - Q4 07:19.00")</f>
        <v>SAS vs MEM - Q4 07:19.00</v>
      </c>
      <c r="M3732">
        <v>13</v>
      </c>
      <c r="N3732">
        <v>125</v>
      </c>
      <c r="O3732">
        <v>21</v>
      </c>
      <c r="P3732">
        <v>125</v>
      </c>
      <c r="Q3732">
        <v>21</v>
      </c>
      <c r="R3732" t="s">
        <v>21</v>
      </c>
      <c r="S3732" t="s">
        <v>21</v>
      </c>
    </row>
    <row r="3733" spans="1:19" hidden="1" x14ac:dyDescent="0.25">
      <c r="A3733">
        <v>21400814</v>
      </c>
      <c r="B3733" t="s">
        <v>18</v>
      </c>
      <c r="C3733" t="s">
        <v>36</v>
      </c>
      <c r="D3733">
        <v>8</v>
      </c>
      <c r="E3733">
        <v>10</v>
      </c>
      <c r="F3733">
        <v>2</v>
      </c>
      <c r="G3733">
        <v>1</v>
      </c>
      <c r="H3733" s="1">
        <v>5.1967592592592595E-3</v>
      </c>
      <c r="I3733">
        <v>2014</v>
      </c>
      <c r="J3733" t="s">
        <v>20</v>
      </c>
      <c r="K3733" s="2" t="str">
        <f>HYPERLINK("https://www.nba.com/stats/events?CFID=&amp;CFPARAMS=&amp;GameEventID=33&amp;GameID=0021400814&amp;Season=2014-15&amp;flag=1&amp;title=Leonard%2013'%20Pullup%20Jump%20Shot%20(4%20PTS)%20(Parker%202%20AST)", "Leonard 13' Pullup Jump Shot (4 PTS) (Parker 2 AST)")</f>
        <v>Leonard 13' Pullup Jump Shot (4 PTS) (Parker 2 AST)</v>
      </c>
      <c r="L3733" s="2" t="str">
        <f>HYPERLINK("https://www.nba.com/game/...-vs-...-0021400814/play-by-play?watchFullGame=true", "SAS vs GSW - Q1 07:29.00")</f>
        <v>SAS vs GSW - Q1 07:29.00</v>
      </c>
      <c r="M3733">
        <v>13</v>
      </c>
      <c r="N3733">
        <v>-130</v>
      </c>
      <c r="O3733">
        <v>36</v>
      </c>
      <c r="P3733">
        <v>-130</v>
      </c>
      <c r="Q3733">
        <v>36</v>
      </c>
      <c r="R3733" t="s">
        <v>21</v>
      </c>
      <c r="S3733" t="s">
        <v>21</v>
      </c>
    </row>
    <row r="3734" spans="1:19" hidden="1" x14ac:dyDescent="0.25">
      <c r="A3734">
        <v>21300952</v>
      </c>
      <c r="B3734" t="s">
        <v>18</v>
      </c>
      <c r="C3734" t="s">
        <v>19</v>
      </c>
      <c r="D3734">
        <v>68</v>
      </c>
      <c r="E3734">
        <v>43</v>
      </c>
      <c r="F3734">
        <v>25</v>
      </c>
      <c r="G3734">
        <v>3</v>
      </c>
      <c r="H3734" s="1">
        <v>5.208333333333333E-3</v>
      </c>
      <c r="I3734">
        <v>2013</v>
      </c>
      <c r="J3734" t="s">
        <v>20</v>
      </c>
      <c r="K3734" s="2" t="str">
        <f>HYPERLINK("https://www.nba.com/stats/events?CFID=&amp;CFPARAMS=&amp;GameEventID=264&amp;GameID=0021300952&amp;Season=2013-14&amp;flag=1&amp;title=Leonard%2013'%20Jump%20Shot%20(14%20PTS)%20(Parker%207%20AST)", "Leonard 13' Jump Shot (14 PTS) (Parker 7 AST)")</f>
        <v>Leonard 13' Jump Shot (14 PTS) (Parker 7 AST)</v>
      </c>
      <c r="L3734" s="2" t="str">
        <f>HYPERLINK("https://www.nba.com/game/...-vs-...-0021300952/play-by-play?watchFullGame=true", "SAS vs CHI - Q3 07:30.00")</f>
        <v>SAS vs CHI - Q3 07:30.00</v>
      </c>
      <c r="M3734">
        <v>13</v>
      </c>
      <c r="N3734">
        <v>100</v>
      </c>
      <c r="O3734">
        <v>85</v>
      </c>
      <c r="P3734">
        <v>100</v>
      </c>
      <c r="Q3734">
        <v>85</v>
      </c>
      <c r="R3734" t="s">
        <v>21</v>
      </c>
      <c r="S3734" t="s">
        <v>21</v>
      </c>
    </row>
    <row r="3735" spans="1:19" hidden="1" x14ac:dyDescent="0.25">
      <c r="A3735">
        <v>21600701</v>
      </c>
      <c r="B3735" t="s">
        <v>18</v>
      </c>
      <c r="C3735" t="s">
        <v>37</v>
      </c>
      <c r="D3735">
        <v>35</v>
      </c>
      <c r="E3735">
        <v>36</v>
      </c>
      <c r="F3735">
        <v>1</v>
      </c>
      <c r="G3735">
        <v>2</v>
      </c>
      <c r="H3735" s="1">
        <v>5.2662037037037035E-3</v>
      </c>
      <c r="I3735">
        <v>2016</v>
      </c>
      <c r="J3735" t="s">
        <v>20</v>
      </c>
      <c r="K3735" s="2" t="str">
        <f>HYPERLINK("https://www.nba.com/stats/events?CFID=&amp;CFPARAMS=&amp;GameEventID=176&amp;GameID=0021600701&amp;Season=2016-17&amp;flag=1&amp;title=Leonard%2013'%20Fadeaway%20Jumper%20(7%20PTS)", "Leonard 13' Fadeaway Jumper (7 PTS)")</f>
        <v>Leonard 13' Fadeaway Jumper (7 PTS)</v>
      </c>
      <c r="L3735" s="2" t="str">
        <f>HYPERLINK("https://www.nba.com/game/...-vs-...-0021600701/play-by-play?watchFullGame=true", "SAS vs NOP - Q2 07:35.00")</f>
        <v>SAS vs NOP - Q2 07:35.00</v>
      </c>
      <c r="M3735">
        <v>13</v>
      </c>
      <c r="N3735">
        <v>125</v>
      </c>
      <c r="O3735">
        <v>36</v>
      </c>
      <c r="P3735">
        <v>125</v>
      </c>
      <c r="Q3735">
        <v>36</v>
      </c>
      <c r="R3735" t="s">
        <v>21</v>
      </c>
      <c r="S3735" t="s">
        <v>21</v>
      </c>
    </row>
    <row r="3736" spans="1:19" hidden="1" x14ac:dyDescent="0.25">
      <c r="A3736">
        <v>21800041</v>
      </c>
      <c r="B3736" t="s">
        <v>18</v>
      </c>
      <c r="C3736" t="s">
        <v>19</v>
      </c>
      <c r="D3736">
        <v>41</v>
      </c>
      <c r="E3736">
        <v>36</v>
      </c>
      <c r="F3736">
        <v>5</v>
      </c>
      <c r="G3736">
        <v>2</v>
      </c>
      <c r="H3736" s="1">
        <v>5.2893518518518515E-3</v>
      </c>
      <c r="I3736">
        <v>2018</v>
      </c>
      <c r="J3736" t="s">
        <v>48</v>
      </c>
      <c r="K3736" s="2" t="str">
        <f>HYPERLINK("https://www.nba.com/stats/events?CFID=&amp;CFPARAMS=&amp;GameEventID=215&amp;GameID=0021800041&amp;Season=2018-19&amp;flag=1&amp;title=Leonard%2013'%20Jump%20Shot%20(9%20PTS)", "Leonard 13' Jump Shot (9 PTS)")</f>
        <v>Leonard 13' Jump Shot (9 PTS)</v>
      </c>
      <c r="L3736" s="2" t="str">
        <f>HYPERLINK("https://www.nba.com/game/...-vs-...-0021800041/play-by-play?watchFullGame=true", "TOR vs CHA - Q2 07:37.00")</f>
        <v>TOR vs CHA - Q2 07:37.00</v>
      </c>
      <c r="M3736">
        <v>13</v>
      </c>
      <c r="N3736">
        <v>-128</v>
      </c>
      <c r="O3736">
        <v>26</v>
      </c>
      <c r="P3736">
        <v>-128</v>
      </c>
      <c r="Q3736">
        <v>26</v>
      </c>
      <c r="R3736" t="s">
        <v>21</v>
      </c>
      <c r="S3736" t="s">
        <v>21</v>
      </c>
    </row>
    <row r="3737" spans="1:19" hidden="1" x14ac:dyDescent="0.25">
      <c r="A3737">
        <v>21300382</v>
      </c>
      <c r="B3737" t="s">
        <v>18</v>
      </c>
      <c r="C3737" t="s">
        <v>36</v>
      </c>
      <c r="D3737">
        <v>10</v>
      </c>
      <c r="E3737">
        <v>13</v>
      </c>
      <c r="F3737">
        <v>3</v>
      </c>
      <c r="G3737">
        <v>1</v>
      </c>
      <c r="H3737" s="1">
        <v>5.3009259259259259E-3</v>
      </c>
      <c r="I3737">
        <v>2013</v>
      </c>
      <c r="J3737" t="s">
        <v>20</v>
      </c>
      <c r="K3737" s="2" t="str">
        <f>HYPERLINK("https://www.nba.com/stats/events?CFID=&amp;CFPARAMS=&amp;GameEventID=34&amp;GameID=0021300382&amp;Season=2013-14&amp;flag=1&amp;title=Leonard%2013'%20Pullup%20Jump%20Shot%20(2%20PTS)%20(Diaw%202%20AST)", "Leonard 13' Pullup Jump Shot (2 PTS) (Diaw 2 AST)")</f>
        <v>Leonard 13' Pullup Jump Shot (2 PTS) (Diaw 2 AST)</v>
      </c>
      <c r="L3737" s="2" t="str">
        <f>HYPERLINK("https://www.nba.com/game/...-vs-...-0021300382/play-by-play?watchFullGame=true", "SAS vs GSW - Q1 07:38.00")</f>
        <v>SAS vs GSW - Q1 07:38.00</v>
      </c>
      <c r="M3737">
        <v>13</v>
      </c>
      <c r="N3737">
        <v>1</v>
      </c>
      <c r="O3737">
        <v>132</v>
      </c>
      <c r="P3737">
        <v>1</v>
      </c>
      <c r="Q3737">
        <v>132</v>
      </c>
      <c r="R3737" t="s">
        <v>21</v>
      </c>
      <c r="S3737" t="s">
        <v>21</v>
      </c>
    </row>
    <row r="3738" spans="1:19" hidden="1" x14ac:dyDescent="0.25">
      <c r="A3738">
        <v>21500048</v>
      </c>
      <c r="B3738" t="s">
        <v>18</v>
      </c>
      <c r="C3738" t="s">
        <v>36</v>
      </c>
      <c r="D3738">
        <v>57</v>
      </c>
      <c r="E3738">
        <v>44</v>
      </c>
      <c r="F3738">
        <v>13</v>
      </c>
      <c r="G3738">
        <v>3</v>
      </c>
      <c r="H3738" s="1">
        <v>5.37037037037037E-3</v>
      </c>
      <c r="I3738">
        <v>2015</v>
      </c>
      <c r="J3738" t="s">
        <v>20</v>
      </c>
      <c r="K3738" s="2" t="str">
        <f>HYPERLINK("https://www.nba.com/stats/events?CFID=&amp;CFPARAMS=&amp;GameEventID=282&amp;GameID=0021500048&amp;Season=2015-16&amp;flag=1&amp;title=Leonard%2013'%20Pullup%20Jump%20Shot%20(16%20PTS)", "Leonard 13' Pullup Jump Shot (16 PTS)")</f>
        <v>Leonard 13' Pullup Jump Shot (16 PTS)</v>
      </c>
      <c r="L3738" s="2" t="str">
        <f>HYPERLINK("https://www.nba.com/game/...-vs-...-0021500048/play-by-play?watchFullGame=true", "SAS vs NYK - Q3 07:44.00")</f>
        <v>SAS vs NYK - Q3 07:44.00</v>
      </c>
      <c r="M3738">
        <v>13</v>
      </c>
      <c r="N3738">
        <v>99</v>
      </c>
      <c r="O3738">
        <v>90</v>
      </c>
      <c r="P3738">
        <v>99</v>
      </c>
      <c r="Q3738">
        <v>90</v>
      </c>
      <c r="R3738" t="s">
        <v>21</v>
      </c>
      <c r="S3738" t="s">
        <v>21</v>
      </c>
    </row>
    <row r="3739" spans="1:19" hidden="1" x14ac:dyDescent="0.25">
      <c r="A3739">
        <v>21600657</v>
      </c>
      <c r="B3739" t="s">
        <v>18</v>
      </c>
      <c r="C3739" t="s">
        <v>19</v>
      </c>
      <c r="D3739">
        <v>98</v>
      </c>
      <c r="E3739">
        <v>92</v>
      </c>
      <c r="F3739">
        <v>6</v>
      </c>
      <c r="G3739">
        <v>4</v>
      </c>
      <c r="H3739" s="1">
        <v>5.3819444444444444E-3</v>
      </c>
      <c r="I3739">
        <v>2016</v>
      </c>
      <c r="J3739" t="s">
        <v>20</v>
      </c>
      <c r="K3739" s="2" t="str">
        <f>HYPERLINK("https://www.nba.com/stats/events?CFID=&amp;CFPARAMS=&amp;GameEventID=417&amp;GameID=0021600657&amp;Season=2016-17&amp;flag=1&amp;title=Leonard%2013'%20Jump%20Shot%20(35%20PTS)", "Leonard 13' Jump Shot (35 PTS)")</f>
        <v>Leonard 13' Jump Shot (35 PTS)</v>
      </c>
      <c r="L3739" s="2" t="str">
        <f>HYPERLINK("https://www.nba.com/game/...-vs-...-0021600657/play-by-play?watchFullGame=true", "SAS vs CLE - Q4 07:45.00")</f>
        <v>SAS vs CLE - Q4 07:45.00</v>
      </c>
      <c r="M3739">
        <v>13</v>
      </c>
      <c r="N3739">
        <v>-132</v>
      </c>
      <c r="O3739">
        <v>16</v>
      </c>
      <c r="P3739">
        <v>-132</v>
      </c>
      <c r="Q3739">
        <v>16</v>
      </c>
      <c r="R3739" t="s">
        <v>21</v>
      </c>
      <c r="S3739" t="s">
        <v>21</v>
      </c>
    </row>
    <row r="3740" spans="1:19" hidden="1" x14ac:dyDescent="0.25">
      <c r="A3740">
        <v>21800192</v>
      </c>
      <c r="B3740" t="s">
        <v>18</v>
      </c>
      <c r="C3740" t="s">
        <v>19</v>
      </c>
      <c r="D3740">
        <v>11</v>
      </c>
      <c r="E3740">
        <v>15</v>
      </c>
      <c r="F3740">
        <v>4</v>
      </c>
      <c r="G3740">
        <v>1</v>
      </c>
      <c r="H3740" s="1">
        <v>5.4861111111111109E-3</v>
      </c>
      <c r="I3740">
        <v>2018</v>
      </c>
      <c r="J3740" t="s">
        <v>48</v>
      </c>
      <c r="K3740" s="2" t="str">
        <f>HYPERLINK("https://www.nba.com/stats/events?CFID=&amp;CFPARAMS=&amp;GameEventID=52&amp;GameID=0021800192&amp;Season=2018-19&amp;flag=1&amp;title=Leonard%2013'%20Jump%20Shot%20(6%20PTS)%20(Lowry%202%20AST)", "Leonard 13' Jump Shot (6 PTS) (Lowry 2 AST)")</f>
        <v>Leonard 13' Jump Shot (6 PTS) (Lowry 2 AST)</v>
      </c>
      <c r="L3740" s="2" t="str">
        <f>HYPERLINK("https://www.nba.com/game/...-vs-...-0021800192/play-by-play?watchFullGame=true", "TOR vs NOP - Q1 07:54.00")</f>
        <v>TOR vs NOP - Q1 07:54.00</v>
      </c>
      <c r="M3740">
        <v>13</v>
      </c>
      <c r="N3740">
        <v>-23</v>
      </c>
      <c r="O3740">
        <v>128</v>
      </c>
      <c r="P3740">
        <v>-23</v>
      </c>
      <c r="Q3740">
        <v>128</v>
      </c>
      <c r="R3740" t="s">
        <v>21</v>
      </c>
      <c r="S3740" t="s">
        <v>21</v>
      </c>
    </row>
    <row r="3741" spans="1:19" hidden="1" x14ac:dyDescent="0.25">
      <c r="A3741">
        <v>21600902</v>
      </c>
      <c r="B3741" t="s">
        <v>18</v>
      </c>
      <c r="C3741" t="s">
        <v>36</v>
      </c>
      <c r="D3741">
        <v>11</v>
      </c>
      <c r="E3741">
        <v>11</v>
      </c>
      <c r="F3741">
        <v>0</v>
      </c>
      <c r="G3741">
        <v>1</v>
      </c>
      <c r="H3741" s="1">
        <v>5.5902777777777773E-3</v>
      </c>
      <c r="I3741">
        <v>2016</v>
      </c>
      <c r="J3741" t="s">
        <v>20</v>
      </c>
      <c r="K3741" s="2" t="str">
        <f>HYPERLINK("https://www.nba.com/stats/events?CFID=&amp;CFPARAMS=&amp;GameEventID=31&amp;GameID=0021600902&amp;Season=2016-17&amp;flag=1&amp;title=Leonard%2013'%20Pullup%20Jump%20Shot%20(2%20PTS)", "Leonard 13' Pullup Jump Shot (2 PTS)")</f>
        <v>Leonard 13' Pullup Jump Shot (2 PTS)</v>
      </c>
      <c r="L3741" s="2" t="str">
        <f>HYPERLINK("https://www.nba.com/game/...-vs-...-0021600902/play-by-play?watchFullGame=true", "SAS vs IND - Q1 08:03.00")</f>
        <v>SAS vs IND - Q1 08:03.00</v>
      </c>
      <c r="M3741">
        <v>13</v>
      </c>
      <c r="N3741">
        <v>73</v>
      </c>
      <c r="O3741">
        <v>105</v>
      </c>
      <c r="P3741">
        <v>73</v>
      </c>
      <c r="Q3741">
        <v>105</v>
      </c>
      <c r="R3741" t="s">
        <v>21</v>
      </c>
      <c r="S3741" t="s">
        <v>21</v>
      </c>
    </row>
    <row r="3742" spans="1:19" hidden="1" x14ac:dyDescent="0.25">
      <c r="A3742">
        <v>41300223</v>
      </c>
      <c r="B3742" t="s">
        <v>18</v>
      </c>
      <c r="C3742" t="s">
        <v>30</v>
      </c>
      <c r="D3742">
        <v>12</v>
      </c>
      <c r="E3742">
        <v>5</v>
      </c>
      <c r="F3742">
        <v>7</v>
      </c>
      <c r="G3742">
        <v>1</v>
      </c>
      <c r="H3742" s="1">
        <v>5.6018518518518518E-3</v>
      </c>
      <c r="I3742" t="s">
        <v>55</v>
      </c>
      <c r="J3742" t="s">
        <v>20</v>
      </c>
      <c r="K3742" s="2" t="str">
        <f>HYPERLINK("https://www.nba.com/stats/events?CFID=&amp;CFPARAMS=&amp;GameEventID=23&amp;GameID=0041300223&amp;Season=2013-14&amp;flag=1&amp;title=Leonard%2013'%20Running%20Jump%20Shot%20(2%20PTS)", "Leonard 13' Running Jump Shot (2 PTS)")</f>
        <v>Leonard 13' Running Jump Shot (2 PTS)</v>
      </c>
      <c r="L3742" s="2" t="str">
        <f>HYPERLINK("https://www.nba.com/game/...-vs-...-0041300223/play-by-play?watchFullGame=true", "SAS vs POR - Q1 08:04.00")</f>
        <v>SAS vs POR - Q1 08:04.00</v>
      </c>
      <c r="M3742">
        <v>13</v>
      </c>
      <c r="N3742">
        <v>-93</v>
      </c>
      <c r="O3742">
        <v>85</v>
      </c>
      <c r="P3742">
        <v>-93</v>
      </c>
      <c r="Q3742">
        <v>85</v>
      </c>
      <c r="R3742" t="s">
        <v>21</v>
      </c>
      <c r="S3742" t="s">
        <v>21</v>
      </c>
    </row>
    <row r="3743" spans="1:19" hidden="1" x14ac:dyDescent="0.25">
      <c r="A3743">
        <v>41600233</v>
      </c>
      <c r="B3743" t="s">
        <v>18</v>
      </c>
      <c r="C3743" t="s">
        <v>19</v>
      </c>
      <c r="D3743">
        <v>9</v>
      </c>
      <c r="E3743">
        <v>5</v>
      </c>
      <c r="F3743">
        <v>4</v>
      </c>
      <c r="G3743">
        <v>1</v>
      </c>
      <c r="H3743" s="1">
        <v>5.6712962962962967E-3</v>
      </c>
      <c r="I3743" t="s">
        <v>58</v>
      </c>
      <c r="J3743" t="s">
        <v>20</v>
      </c>
      <c r="K3743" s="2" t="str">
        <f>HYPERLINK("https://www.nba.com/stats/events?CFID=&amp;CFPARAMS=&amp;GameEventID=41&amp;GameID=0041600233&amp;Season=2016-17&amp;flag=1&amp;title=Leonard%2013'%20Jump%20Shot%20(2%20PTS)", "Leonard 13' Jump Shot (2 PTS)")</f>
        <v>Leonard 13' Jump Shot (2 PTS)</v>
      </c>
      <c r="L3743" s="2" t="str">
        <f>HYPERLINK("https://www.nba.com/game/...-vs-...-0041600233/play-by-play?watchFullGame=true", "SAS vs HOU - Q1 08:10.00")</f>
        <v>SAS vs HOU - Q1 08:10.00</v>
      </c>
      <c r="M3743">
        <v>13</v>
      </c>
      <c r="N3743">
        <v>-1</v>
      </c>
      <c r="O3743">
        <v>129</v>
      </c>
      <c r="P3743">
        <v>-1</v>
      </c>
      <c r="Q3743">
        <v>129</v>
      </c>
      <c r="R3743" t="s">
        <v>21</v>
      </c>
      <c r="S3743" t="s">
        <v>21</v>
      </c>
    </row>
    <row r="3744" spans="1:19" hidden="1" x14ac:dyDescent="0.25">
      <c r="A3744">
        <v>21501140</v>
      </c>
      <c r="B3744" t="s">
        <v>18</v>
      </c>
      <c r="C3744" t="s">
        <v>36</v>
      </c>
      <c r="D3744">
        <v>63</v>
      </c>
      <c r="E3744">
        <v>48</v>
      </c>
      <c r="F3744">
        <v>15</v>
      </c>
      <c r="G3744">
        <v>3</v>
      </c>
      <c r="H3744" s="1">
        <v>5.6712962962962967E-3</v>
      </c>
      <c r="I3744">
        <v>2015</v>
      </c>
      <c r="J3744" t="s">
        <v>20</v>
      </c>
      <c r="K3744" s="2" t="str">
        <f>HYPERLINK("https://www.nba.com/stats/events?CFID=&amp;CFPARAMS=&amp;GameEventID=255&amp;GameID=0021501140&amp;Season=2015-16&amp;flag=1&amp;title=Leonard%2013'%20Pullup%20Jump%20Shot%20(17%20PTS)", "Leonard 13' Pullup Jump Shot (17 PTS)")</f>
        <v>Leonard 13' Pullup Jump Shot (17 PTS)</v>
      </c>
      <c r="L3744" s="2" t="str">
        <f>HYPERLINK("https://www.nba.com/game/...-vs-...-0021501140/play-by-play?watchFullGame=true", "SAS vs TOR - Q3 08:10.00")</f>
        <v>SAS vs TOR - Q3 08:10.00</v>
      </c>
      <c r="M3744">
        <v>13</v>
      </c>
      <c r="N3744">
        <v>2</v>
      </c>
      <c r="O3744">
        <v>129</v>
      </c>
      <c r="P3744">
        <v>2</v>
      </c>
      <c r="Q3744">
        <v>129</v>
      </c>
      <c r="R3744" t="s">
        <v>21</v>
      </c>
      <c r="S3744" t="s">
        <v>21</v>
      </c>
    </row>
    <row r="3745" spans="1:19" hidden="1" x14ac:dyDescent="0.25">
      <c r="A3745">
        <v>41400163</v>
      </c>
      <c r="B3745" t="s">
        <v>18</v>
      </c>
      <c r="C3745" t="s">
        <v>34</v>
      </c>
      <c r="D3745">
        <v>56</v>
      </c>
      <c r="E3745">
        <v>40</v>
      </c>
      <c r="F3745">
        <v>16</v>
      </c>
      <c r="G3745">
        <v>3</v>
      </c>
      <c r="H3745" s="1">
        <v>5.7060185185185183E-3</v>
      </c>
      <c r="I3745" t="s">
        <v>56</v>
      </c>
      <c r="J3745" t="s">
        <v>20</v>
      </c>
      <c r="K3745" s="2" t="str">
        <f>HYPERLINK("https://www.nba.com/stats/events?CFID=&amp;CFPARAMS=&amp;GameEventID=268&amp;GameID=0041400163&amp;Season=2014-15&amp;flag=1&amp;title=Leonard%2013'%20Turnaround%20Jump%20Shot%20(24%20PTS)", "Leonard 13' Turnaround Jump Shot (24 PTS)")</f>
        <v>Leonard 13' Turnaround Jump Shot (24 PTS)</v>
      </c>
      <c r="L3745" s="2" t="str">
        <f>HYPERLINK("https://www.nba.com/game/...-vs-...-0041400163/play-by-play?watchFullGame=true", "SAS vs LAC - Q3 08:13.00")</f>
        <v>SAS vs LAC - Q3 08:13.00</v>
      </c>
      <c r="M3745">
        <v>13</v>
      </c>
      <c r="N3745">
        <v>-133</v>
      </c>
      <c r="O3745">
        <v>0</v>
      </c>
      <c r="P3745">
        <v>-133</v>
      </c>
      <c r="Q3745">
        <v>0</v>
      </c>
      <c r="R3745" t="s">
        <v>21</v>
      </c>
      <c r="S3745" t="s">
        <v>21</v>
      </c>
    </row>
    <row r="3746" spans="1:19" hidden="1" x14ac:dyDescent="0.25">
      <c r="A3746">
        <v>21500224</v>
      </c>
      <c r="B3746" t="s">
        <v>18</v>
      </c>
      <c r="C3746" t="s">
        <v>34</v>
      </c>
      <c r="D3746">
        <v>72</v>
      </c>
      <c r="E3746">
        <v>66</v>
      </c>
      <c r="F3746">
        <v>6</v>
      </c>
      <c r="G3746">
        <v>4</v>
      </c>
      <c r="H3746" s="1">
        <v>5.7175925925925927E-3</v>
      </c>
      <c r="I3746">
        <v>2015</v>
      </c>
      <c r="J3746" t="s">
        <v>20</v>
      </c>
      <c r="K3746" s="2" t="str">
        <f>HYPERLINK("https://www.nba.com/stats/events?CFID=&amp;CFPARAMS=&amp;GameEventID=414&amp;GameID=0021500224&amp;Season=2015-16&amp;flag=1&amp;title=Leonard%2013'%20Turnaround%20Jump%20Shot%20(19%20PTS)", "Leonard 13' Turnaround Jump Shot (19 PTS)")</f>
        <v>Leonard 13' Turnaround Jump Shot (19 PTS)</v>
      </c>
      <c r="L3746" s="2" t="str">
        <f>HYPERLINK("https://www.nba.com/game/...-vs-...-0021500224/play-by-play?watchFullGame=true", "SAS vs DAL - Q4 08:14.00")</f>
        <v>SAS vs DAL - Q4 08:14.00</v>
      </c>
      <c r="M3746">
        <v>13</v>
      </c>
      <c r="N3746">
        <v>132</v>
      </c>
      <c r="O3746">
        <v>16</v>
      </c>
      <c r="P3746">
        <v>132</v>
      </c>
      <c r="Q3746">
        <v>16</v>
      </c>
      <c r="R3746" t="s">
        <v>21</v>
      </c>
      <c r="S3746" t="s">
        <v>21</v>
      </c>
    </row>
    <row r="3747" spans="1:19" hidden="1" x14ac:dyDescent="0.25">
      <c r="A3747">
        <v>21600016</v>
      </c>
      <c r="B3747" t="s">
        <v>18</v>
      </c>
      <c r="C3747" t="s">
        <v>39</v>
      </c>
      <c r="D3747">
        <v>4</v>
      </c>
      <c r="E3747">
        <v>8</v>
      </c>
      <c r="F3747">
        <v>4</v>
      </c>
      <c r="G3747">
        <v>1</v>
      </c>
      <c r="H3747" s="1">
        <v>5.7638888888888887E-3</v>
      </c>
      <c r="I3747">
        <v>2016</v>
      </c>
      <c r="J3747" t="s">
        <v>20</v>
      </c>
      <c r="K3747" s="2" t="str">
        <f>HYPERLINK("https://www.nba.com/stats/events?CFID=&amp;CFPARAMS=&amp;GameEventID=29&amp;GameID=0021600016&amp;Season=2016-17&amp;flag=1&amp;title=Leonard%2013'%20Step%20Back%20Jump%20Shot%20(4%20PTS)", "Leonard 13' Step Back Jump Shot (4 PTS)")</f>
        <v>Leonard 13' Step Back Jump Shot (4 PTS)</v>
      </c>
      <c r="L3747" s="2" t="str">
        <f>HYPERLINK("https://www.nba.com/game/...-vs-...-0021600016/play-by-play?watchFullGame=true", "SAS vs SAC - Q1 08:18.00")</f>
        <v>SAS vs SAC - Q1 08:18.00</v>
      </c>
      <c r="M3747">
        <v>13</v>
      </c>
      <c r="N3747">
        <v>114</v>
      </c>
      <c r="O3747">
        <v>61</v>
      </c>
      <c r="P3747">
        <v>114</v>
      </c>
      <c r="Q3747">
        <v>61</v>
      </c>
      <c r="R3747" t="s">
        <v>21</v>
      </c>
      <c r="S3747" t="s">
        <v>21</v>
      </c>
    </row>
    <row r="3748" spans="1:19" hidden="1" x14ac:dyDescent="0.25">
      <c r="A3748">
        <v>21300559</v>
      </c>
      <c r="B3748" t="s">
        <v>18</v>
      </c>
      <c r="C3748" t="s">
        <v>36</v>
      </c>
      <c r="D3748">
        <v>28</v>
      </c>
      <c r="E3748">
        <v>36</v>
      </c>
      <c r="F3748">
        <v>8</v>
      </c>
      <c r="G3748">
        <v>2</v>
      </c>
      <c r="H3748" s="1">
        <v>5.8333333333333336E-3</v>
      </c>
      <c r="I3748">
        <v>2013</v>
      </c>
      <c r="J3748" t="s">
        <v>20</v>
      </c>
      <c r="K3748" s="2" t="str">
        <f>HYPERLINK("https://www.nba.com/stats/events?CFID=&amp;CFPARAMS=&amp;GameEventID=172&amp;GameID=0021300559&amp;Season=2013-14&amp;flag=1&amp;title=Leonard%2013'%20Pullup%20Jump%20Shot%20(2%20PTS)", "Leonard 13' Pullup Jump Shot (2 PTS)")</f>
        <v>Leonard 13' Pullup Jump Shot (2 PTS)</v>
      </c>
      <c r="L3748" s="2" t="str">
        <f>HYPERLINK("https://www.nba.com/game/...-vs-...-0021300559/play-by-play?watchFullGame=true", "SAS vs NOP - Q2 08:24.00")</f>
        <v>SAS vs NOP - Q2 08:24.00</v>
      </c>
      <c r="M3748">
        <v>13</v>
      </c>
      <c r="N3748">
        <v>59</v>
      </c>
      <c r="O3748">
        <v>113</v>
      </c>
      <c r="P3748">
        <v>59</v>
      </c>
      <c r="Q3748">
        <v>113</v>
      </c>
      <c r="R3748" t="s">
        <v>21</v>
      </c>
      <c r="S3748" t="s">
        <v>21</v>
      </c>
    </row>
    <row r="3749" spans="1:19" hidden="1" x14ac:dyDescent="0.25">
      <c r="A3749">
        <v>21400802</v>
      </c>
      <c r="B3749" t="s">
        <v>18</v>
      </c>
      <c r="C3749" t="s">
        <v>19</v>
      </c>
      <c r="D3749">
        <v>32</v>
      </c>
      <c r="E3749">
        <v>31</v>
      </c>
      <c r="F3749">
        <v>1</v>
      </c>
      <c r="G3749">
        <v>2</v>
      </c>
      <c r="H3749" s="1">
        <v>5.8796296296296296E-3</v>
      </c>
      <c r="I3749">
        <v>2014</v>
      </c>
      <c r="J3749" t="s">
        <v>20</v>
      </c>
      <c r="K3749" s="2" t="str">
        <f>HYPERLINK("https://www.nba.com/stats/events?CFID=&amp;CFPARAMS=&amp;GameEventID=140&amp;GameID=0021400802&amp;Season=2014-15&amp;flag=1&amp;title=Leonard%2013'%20Jump%20Shot%20(2%20PTS)", "Leonard 13' Jump Shot (2 PTS)")</f>
        <v>Leonard 13' Jump Shot (2 PTS)</v>
      </c>
      <c r="L3749" s="2" t="str">
        <f>HYPERLINK("https://www.nba.com/game/...-vs-...-0021400802/play-by-play?watchFullGame=true", "SAS vs LAC - Q2 08:28.00")</f>
        <v>SAS vs LAC - Q2 08:28.00</v>
      </c>
      <c r="M3749">
        <v>13</v>
      </c>
      <c r="N3749">
        <v>-127</v>
      </c>
      <c r="O3749">
        <v>-24</v>
      </c>
      <c r="P3749">
        <v>-127</v>
      </c>
      <c r="Q3749">
        <v>-24</v>
      </c>
      <c r="R3749" t="s">
        <v>21</v>
      </c>
      <c r="S3749" t="s">
        <v>21</v>
      </c>
    </row>
    <row r="3750" spans="1:19" hidden="1" x14ac:dyDescent="0.25">
      <c r="A3750">
        <v>21700573</v>
      </c>
      <c r="B3750" t="s">
        <v>18</v>
      </c>
      <c r="C3750" t="s">
        <v>19</v>
      </c>
      <c r="D3750">
        <v>58</v>
      </c>
      <c r="E3750">
        <v>50</v>
      </c>
      <c r="F3750">
        <v>8</v>
      </c>
      <c r="G3750">
        <v>3</v>
      </c>
      <c r="H3750" s="1">
        <v>5.9027777777777776E-3</v>
      </c>
      <c r="I3750">
        <v>2017</v>
      </c>
      <c r="J3750" t="s">
        <v>20</v>
      </c>
      <c r="K3750" s="2" t="str">
        <f>HYPERLINK("https://www.nba.com/stats/events?CFID=&amp;CFPARAMS=&amp;GameEventID=372&amp;GameID=0021700573&amp;Season=2017-18&amp;flag=1&amp;title=Leonard%2013'%20Jump%20Shot%20(18%20PTS)%20(Parker%204%20AST)", "Leonard 13' Jump Shot (18 PTS) (Parker 4 AST)")</f>
        <v>Leonard 13' Jump Shot (18 PTS) (Parker 4 AST)</v>
      </c>
      <c r="L3750" s="2" t="str">
        <f>HYPERLINK("https://www.nba.com/game/...-vs-...-0021700573/play-by-play?watchFullGame=true", "SAS vs PHX - Q3 08:30.00")</f>
        <v>SAS vs PHX - Q3 08:30.00</v>
      </c>
      <c r="M3750">
        <v>13</v>
      </c>
      <c r="N3750">
        <v>-130</v>
      </c>
      <c r="O3750">
        <v>28</v>
      </c>
      <c r="P3750">
        <v>-130</v>
      </c>
      <c r="Q3750">
        <v>28</v>
      </c>
      <c r="R3750" t="s">
        <v>21</v>
      </c>
      <c r="S3750" t="s">
        <v>21</v>
      </c>
    </row>
    <row r="3751" spans="1:19" hidden="1" x14ac:dyDescent="0.25">
      <c r="A3751">
        <v>21400108</v>
      </c>
      <c r="B3751" t="s">
        <v>18</v>
      </c>
      <c r="C3751" t="s">
        <v>38</v>
      </c>
      <c r="D3751">
        <v>8</v>
      </c>
      <c r="E3751">
        <v>8</v>
      </c>
      <c r="F3751">
        <v>0</v>
      </c>
      <c r="G3751">
        <v>1</v>
      </c>
      <c r="H3751" s="1">
        <v>5.9259259259259256E-3</v>
      </c>
      <c r="I3751">
        <v>2014</v>
      </c>
      <c r="J3751" t="s">
        <v>20</v>
      </c>
      <c r="K3751" s="2" t="str">
        <f>HYPERLINK("https://www.nba.com/stats/events?CFID=&amp;CFPARAMS=&amp;GameEventID=30&amp;GameID=0021400108&amp;Season=2014-15&amp;flag=1&amp;title=Leonard%2013'%20Turnaround%20Fadeaway%20(4%20PTS)", "Leonard 13' Turnaround Fadeaway (4 PTS)")</f>
        <v>Leonard 13' Turnaround Fadeaway (4 PTS)</v>
      </c>
      <c r="L3751" s="2" t="str">
        <f>HYPERLINK("https://www.nba.com/game/...-vs-...-0021400108/play-by-play?watchFullGame=true", "SAS vs GSW - Q1 08:32.00")</f>
        <v>SAS vs GSW - Q1 08:32.00</v>
      </c>
      <c r="M3751">
        <v>13</v>
      </c>
      <c r="N3751">
        <v>58</v>
      </c>
      <c r="O3751">
        <v>118</v>
      </c>
      <c r="P3751">
        <v>58</v>
      </c>
      <c r="Q3751">
        <v>118</v>
      </c>
      <c r="R3751" t="s">
        <v>21</v>
      </c>
      <c r="S3751" t="s">
        <v>21</v>
      </c>
    </row>
    <row r="3752" spans="1:19" hidden="1" x14ac:dyDescent="0.25">
      <c r="A3752">
        <v>41800211</v>
      </c>
      <c r="B3752" t="s">
        <v>18</v>
      </c>
      <c r="C3752" t="s">
        <v>37</v>
      </c>
      <c r="D3752">
        <v>6</v>
      </c>
      <c r="E3752">
        <v>7</v>
      </c>
      <c r="F3752">
        <v>1</v>
      </c>
      <c r="G3752">
        <v>1</v>
      </c>
      <c r="H3752" s="1">
        <v>6.2615740740740739E-3</v>
      </c>
      <c r="I3752" t="s">
        <v>60</v>
      </c>
      <c r="J3752" t="s">
        <v>48</v>
      </c>
      <c r="K3752" s="2" t="str">
        <f>HYPERLINK("https://www.nba.com/stats/events?CFID=&amp;CFPARAMS=&amp;GameEventID=28&amp;GameID=0041800211&amp;Season=2018-19&amp;flag=1&amp;title=Leonard%2013'%20Fadeaway%20Jumper%20(4%20PTS)", "Leonard 13' Fadeaway Jumper (4 PTS)")</f>
        <v>Leonard 13' Fadeaway Jumper (4 PTS)</v>
      </c>
      <c r="L3752" s="2" t="str">
        <f>HYPERLINK("https://www.nba.com/game/...-vs-...-0041800211/play-by-play?watchFullGame=true", "TOR vs PHI - Q1 09:01.00")</f>
        <v>TOR vs PHI - Q1 09:01.00</v>
      </c>
      <c r="M3752">
        <v>13</v>
      </c>
      <c r="N3752">
        <v>130</v>
      </c>
      <c r="O3752">
        <v>15</v>
      </c>
      <c r="P3752">
        <v>130</v>
      </c>
      <c r="Q3752">
        <v>15</v>
      </c>
      <c r="R3752" t="s">
        <v>21</v>
      </c>
      <c r="S3752" t="s">
        <v>21</v>
      </c>
    </row>
    <row r="3753" spans="1:19" hidden="1" x14ac:dyDescent="0.25">
      <c r="A3753">
        <v>41200407</v>
      </c>
      <c r="B3753" t="s">
        <v>18</v>
      </c>
      <c r="C3753" t="s">
        <v>19</v>
      </c>
      <c r="D3753">
        <v>52</v>
      </c>
      <c r="E3753">
        <v>52</v>
      </c>
      <c r="F3753">
        <v>0</v>
      </c>
      <c r="G3753">
        <v>3</v>
      </c>
      <c r="H3753" s="1">
        <v>6.3425925925925924E-3</v>
      </c>
      <c r="I3753" t="s">
        <v>53</v>
      </c>
      <c r="J3753" t="s">
        <v>20</v>
      </c>
      <c r="K3753" s="2" t="str">
        <f>HYPERLINK("https://www.nba.com/stats/events?CFID=&amp;CFPARAMS=&amp;GameEventID=297&amp;GameID=0041200407&amp;Season=2012-13&amp;flag=1&amp;title=Leonard%2013'%20Jump%20Shot%20(11%20PTS)%20(Ginobili%202%20AST)", "Leonard 13' Jump Shot (11 PTS) (Ginobili 2 AST)")</f>
        <v>Leonard 13' Jump Shot (11 PTS) (Ginobili 2 AST)</v>
      </c>
      <c r="L3753" s="2" t="str">
        <f>HYPERLINK("https://www.nba.com/game/...-vs-...-0041200407/play-by-play?watchFullGame=true", "SAS vs MIA - Q3 09:08.00")</f>
        <v>SAS vs MIA - Q3 09:08.00</v>
      </c>
      <c r="M3753">
        <v>13</v>
      </c>
      <c r="N3753">
        <v>111</v>
      </c>
      <c r="O3753">
        <v>61</v>
      </c>
      <c r="P3753">
        <v>111</v>
      </c>
      <c r="Q3753">
        <v>61</v>
      </c>
      <c r="R3753" t="s">
        <v>21</v>
      </c>
      <c r="S3753" t="s">
        <v>21</v>
      </c>
    </row>
    <row r="3754" spans="1:19" hidden="1" x14ac:dyDescent="0.25">
      <c r="A3754">
        <v>21700470</v>
      </c>
      <c r="B3754" t="s">
        <v>18</v>
      </c>
      <c r="C3754" t="s">
        <v>36</v>
      </c>
      <c r="D3754">
        <v>47</v>
      </c>
      <c r="E3754">
        <v>51</v>
      </c>
      <c r="F3754">
        <v>4</v>
      </c>
      <c r="G3754">
        <v>3</v>
      </c>
      <c r="H3754" s="1">
        <v>6.7476851851851856E-3</v>
      </c>
      <c r="I3754">
        <v>2017</v>
      </c>
      <c r="J3754" t="s">
        <v>20</v>
      </c>
      <c r="K3754" s="2" t="str">
        <f>HYPERLINK("https://www.nba.com/stats/events?CFID=&amp;CFPARAMS=&amp;GameEventID=335&amp;GameID=0021700470&amp;Season=2017-18&amp;flag=1&amp;title=Leonard%2013'%20Pullup%20Jump%20Shot%20(10%20PTS)", "Leonard 13' Pullup Jump Shot (10 PTS)")</f>
        <v>Leonard 13' Pullup Jump Shot (10 PTS)</v>
      </c>
      <c r="L3754" s="2" t="str">
        <f>HYPERLINK("https://www.nba.com/game/...-vs-...-0021700470/play-by-play?watchFullGame=true", "SAS vs UTA - Q3 09:43.00")</f>
        <v>SAS vs UTA - Q3 09:43.00</v>
      </c>
      <c r="M3754">
        <v>13</v>
      </c>
      <c r="N3754">
        <v>51</v>
      </c>
      <c r="O3754">
        <v>121</v>
      </c>
      <c r="P3754">
        <v>51</v>
      </c>
      <c r="Q3754">
        <v>121</v>
      </c>
      <c r="R3754" t="s">
        <v>21</v>
      </c>
      <c r="S3754" t="s">
        <v>21</v>
      </c>
    </row>
    <row r="3755" spans="1:19" hidden="1" x14ac:dyDescent="0.25">
      <c r="A3755">
        <v>21400949</v>
      </c>
      <c r="B3755" t="s">
        <v>18</v>
      </c>
      <c r="C3755" t="s">
        <v>19</v>
      </c>
      <c r="D3755">
        <v>67</v>
      </c>
      <c r="E3755">
        <v>43</v>
      </c>
      <c r="F3755">
        <v>24</v>
      </c>
      <c r="G3755">
        <v>3</v>
      </c>
      <c r="H3755" s="1">
        <v>6.7592592592592591E-3</v>
      </c>
      <c r="I3755">
        <v>2014</v>
      </c>
      <c r="J3755" t="s">
        <v>20</v>
      </c>
      <c r="K3755" s="2" t="str">
        <f>HYPERLINK("https://www.nba.com/stats/events?CFID=&amp;CFPARAMS=&amp;GameEventID=274&amp;GameID=0021400949&amp;Season=2014-15&amp;flag=1&amp;title=Leonard%2013'%20Jump%20Shot%20(12%20PTS)", "Leonard 13' Jump Shot (12 PTS)")</f>
        <v>Leonard 13' Jump Shot (12 PTS)</v>
      </c>
      <c r="L3755" s="2" t="str">
        <f>HYPERLINK("https://www.nba.com/game/...-vs-...-0021400949/play-by-play?watchFullGame=true", "SAS vs TOR - Q3 09:44.00")</f>
        <v>SAS vs TOR - Q3 09:44.00</v>
      </c>
      <c r="M3755">
        <v>13</v>
      </c>
      <c r="N3755">
        <v>-7</v>
      </c>
      <c r="O3755">
        <v>134</v>
      </c>
      <c r="P3755">
        <v>-7</v>
      </c>
      <c r="Q3755">
        <v>134</v>
      </c>
      <c r="R3755" t="s">
        <v>21</v>
      </c>
      <c r="S3755" t="s">
        <v>21</v>
      </c>
    </row>
    <row r="3756" spans="1:19" hidden="1" x14ac:dyDescent="0.25">
      <c r="A3756">
        <v>21500431</v>
      </c>
      <c r="B3756" t="s">
        <v>18</v>
      </c>
      <c r="C3756" t="s">
        <v>30</v>
      </c>
      <c r="D3756">
        <v>6</v>
      </c>
      <c r="E3756">
        <v>2</v>
      </c>
      <c r="F3756">
        <v>4</v>
      </c>
      <c r="G3756">
        <v>1</v>
      </c>
      <c r="H3756" s="1">
        <v>6.7824074074074071E-3</v>
      </c>
      <c r="I3756">
        <v>2015</v>
      </c>
      <c r="J3756" t="s">
        <v>20</v>
      </c>
      <c r="K3756" s="2" t="str">
        <f>HYPERLINK("https://www.nba.com/stats/events?CFID=&amp;CFPARAMS=&amp;GameEventID=14&amp;GameID=0021500431&amp;Season=2015-16&amp;flag=1&amp;title=Leonard%2013'%20Running%20Jump%20Shot%20(2%20PTS)", "Leonard 13' Running Jump Shot (2 PTS)")</f>
        <v>Leonard 13' Running Jump Shot (2 PTS)</v>
      </c>
      <c r="L3756" s="2" t="str">
        <f>HYPERLINK("https://www.nba.com/game/...-vs-...-0021500431/play-by-play?watchFullGame=true", "SAS vs MIN - Q1 09:46.00")</f>
        <v>SAS vs MIN - Q1 09:46.00</v>
      </c>
      <c r="M3756">
        <v>13</v>
      </c>
      <c r="N3756">
        <v>-52</v>
      </c>
      <c r="O3756">
        <v>124</v>
      </c>
      <c r="P3756">
        <v>-52</v>
      </c>
      <c r="Q3756">
        <v>124</v>
      </c>
      <c r="R3756" t="s">
        <v>21</v>
      </c>
      <c r="S3756" t="s">
        <v>21</v>
      </c>
    </row>
    <row r="3757" spans="1:19" hidden="1" x14ac:dyDescent="0.25">
      <c r="A3757">
        <v>21700449</v>
      </c>
      <c r="B3757" t="s">
        <v>18</v>
      </c>
      <c r="C3757" t="s">
        <v>36</v>
      </c>
      <c r="D3757">
        <v>6</v>
      </c>
      <c r="E3757">
        <v>2</v>
      </c>
      <c r="F3757">
        <v>4</v>
      </c>
      <c r="G3757">
        <v>1</v>
      </c>
      <c r="H3757" s="1">
        <v>6.8171296296296296E-3</v>
      </c>
      <c r="I3757">
        <v>2017</v>
      </c>
      <c r="J3757" t="s">
        <v>20</v>
      </c>
      <c r="K3757" s="2" t="str">
        <f>HYPERLINK("https://www.nba.com/stats/events?CFID=&amp;CFPARAMS=&amp;GameEventID=27&amp;GameID=0021700449&amp;Season=2017-18&amp;flag=1&amp;title=Leonard%2013'%20Pullup%20Jump%20Shot%20(2%20PTS)", "Leonard 13' Pullup Jump Shot (2 PTS)")</f>
        <v>Leonard 13' Pullup Jump Shot (2 PTS)</v>
      </c>
      <c r="L3757" s="2" t="str">
        <f>HYPERLINK("https://www.nba.com/game/...-vs-...-0021700449/play-by-play?watchFullGame=true", "SAS vs LAC - Q1 09:49.00")</f>
        <v>SAS vs LAC - Q1 09:49.00</v>
      </c>
      <c r="M3757">
        <v>13</v>
      </c>
      <c r="N3757">
        <v>-9</v>
      </c>
      <c r="O3757">
        <v>127</v>
      </c>
      <c r="P3757">
        <v>-9</v>
      </c>
      <c r="Q3757">
        <v>127</v>
      </c>
      <c r="R3757" t="s">
        <v>21</v>
      </c>
      <c r="S3757" t="s">
        <v>21</v>
      </c>
    </row>
    <row r="3758" spans="1:19" hidden="1" x14ac:dyDescent="0.25">
      <c r="A3758">
        <v>21400595</v>
      </c>
      <c r="B3758" t="s">
        <v>18</v>
      </c>
      <c r="C3758" t="s">
        <v>19</v>
      </c>
      <c r="D3758">
        <v>6</v>
      </c>
      <c r="E3758">
        <v>2</v>
      </c>
      <c r="F3758">
        <v>4</v>
      </c>
      <c r="G3758">
        <v>1</v>
      </c>
      <c r="H3758" s="1">
        <v>7.0023148148148145E-3</v>
      </c>
      <c r="I3758">
        <v>2014</v>
      </c>
      <c r="J3758" t="s">
        <v>20</v>
      </c>
      <c r="K3758" s="2" t="str">
        <f>HYPERLINK("https://www.nba.com/stats/events?CFID=&amp;CFPARAMS=&amp;GameEventID=17&amp;GameID=0021400595&amp;Season=2014-15&amp;flag=1&amp;title=Leonard%2013'%20Jump%20Shot%20(4%20PTS)%20(Splitter%202%20AST)", "Leonard 13' Jump Shot (4 PTS) (Splitter 2 AST)")</f>
        <v>Leonard 13' Jump Shot (4 PTS) (Splitter 2 AST)</v>
      </c>
      <c r="L3758" s="2" t="str">
        <f>HYPERLINK("https://www.nba.com/game/...-vs-...-0021400595/play-by-play?watchFullGame=true", "SAS vs POR - Q1 10:05.00")</f>
        <v>SAS vs POR - Q1 10:05.00</v>
      </c>
      <c r="M3758">
        <v>13</v>
      </c>
      <c r="N3758">
        <v>-131</v>
      </c>
      <c r="O3758">
        <v>4</v>
      </c>
      <c r="P3758">
        <v>-131</v>
      </c>
      <c r="Q3758">
        <v>4</v>
      </c>
      <c r="R3758" t="s">
        <v>21</v>
      </c>
      <c r="S3758" t="s">
        <v>21</v>
      </c>
    </row>
    <row r="3759" spans="1:19" hidden="1" x14ac:dyDescent="0.25">
      <c r="A3759">
        <v>21400814</v>
      </c>
      <c r="B3759" t="s">
        <v>18</v>
      </c>
      <c r="C3759" t="s">
        <v>38</v>
      </c>
      <c r="D3759">
        <v>2</v>
      </c>
      <c r="E3759">
        <v>8</v>
      </c>
      <c r="F3759">
        <v>6</v>
      </c>
      <c r="G3759">
        <v>1</v>
      </c>
      <c r="H3759" s="1">
        <v>7.083333333333333E-3</v>
      </c>
      <c r="I3759">
        <v>2014</v>
      </c>
      <c r="J3759" t="s">
        <v>20</v>
      </c>
      <c r="K3759" s="2" t="str">
        <f>HYPERLINK("https://www.nba.com/stats/events?CFID=&amp;CFPARAMS=&amp;GameEventID=13&amp;GameID=0021400814&amp;Season=2014-15&amp;flag=1&amp;title=Leonard%2013'%20Turnaround%20Fadeaway%20(2%20PTS)", "Leonard 13' Turnaround Fadeaway (2 PTS)")</f>
        <v>Leonard 13' Turnaround Fadeaway (2 PTS)</v>
      </c>
      <c r="L3759" s="2" t="str">
        <f>HYPERLINK("https://www.nba.com/game/...-vs-...-0021400814/play-by-play?watchFullGame=true", "SAS vs GSW - Q1 10:12.00")</f>
        <v>SAS vs GSW - Q1 10:12.00</v>
      </c>
      <c r="M3759">
        <v>13</v>
      </c>
      <c r="N3759">
        <v>-117</v>
      </c>
      <c r="O3759">
        <v>66</v>
      </c>
      <c r="P3759">
        <v>-117</v>
      </c>
      <c r="Q3759">
        <v>66</v>
      </c>
      <c r="R3759" t="s">
        <v>21</v>
      </c>
      <c r="S3759" t="s">
        <v>21</v>
      </c>
    </row>
    <row r="3760" spans="1:19" hidden="1" x14ac:dyDescent="0.25">
      <c r="A3760">
        <v>21600309</v>
      </c>
      <c r="B3760" t="s">
        <v>18</v>
      </c>
      <c r="C3760" t="s">
        <v>19</v>
      </c>
      <c r="D3760">
        <v>2</v>
      </c>
      <c r="E3760">
        <v>2</v>
      </c>
      <c r="F3760">
        <v>0</v>
      </c>
      <c r="G3760">
        <v>1</v>
      </c>
      <c r="H3760" s="1">
        <v>7.1296296296296299E-3</v>
      </c>
      <c r="I3760">
        <v>2016</v>
      </c>
      <c r="J3760" t="s">
        <v>20</v>
      </c>
      <c r="K3760" s="2" t="str">
        <f>HYPERLINK("https://www.nba.com/stats/events?CFID=&amp;CFPARAMS=&amp;GameEventID=11&amp;GameID=0021600309&amp;Season=2016-17&amp;flag=1&amp;title=Leonard%2013'%20Jump%20Shot%20(2%20PTS)%20(Parker%201%20AST)", "Leonard 13' Jump Shot (2 PTS) (Parker 1 AST)")</f>
        <v>Leonard 13' Jump Shot (2 PTS) (Parker 1 AST)</v>
      </c>
      <c r="L3760" s="2" t="str">
        <f>HYPERLINK("https://www.nba.com/game/...-vs-...-0021600309/play-by-play?watchFullGame=true", "SAS vs MIL - Q1 10:16.00")</f>
        <v>SAS vs MIL - Q1 10:16.00</v>
      </c>
      <c r="M3760">
        <v>13</v>
      </c>
      <c r="N3760">
        <v>25</v>
      </c>
      <c r="O3760">
        <v>124</v>
      </c>
      <c r="P3760">
        <v>25</v>
      </c>
      <c r="Q3760">
        <v>124</v>
      </c>
      <c r="R3760" t="s">
        <v>21</v>
      </c>
      <c r="S3760" t="s">
        <v>21</v>
      </c>
    </row>
    <row r="3761" spans="1:19" hidden="1" x14ac:dyDescent="0.25">
      <c r="A3761">
        <v>41300403</v>
      </c>
      <c r="B3761" t="s">
        <v>18</v>
      </c>
      <c r="C3761" t="s">
        <v>19</v>
      </c>
      <c r="D3761">
        <v>73</v>
      </c>
      <c r="E3761">
        <v>56</v>
      </c>
      <c r="F3761">
        <v>17</v>
      </c>
      <c r="G3761">
        <v>3</v>
      </c>
      <c r="H3761" s="1">
        <v>7.1412037037037034E-3</v>
      </c>
      <c r="I3761" t="s">
        <v>55</v>
      </c>
      <c r="J3761" t="s">
        <v>20</v>
      </c>
      <c r="K3761" s="2" t="str">
        <f>HYPERLINK("https://www.nba.com/stats/events?CFID=&amp;CFPARAMS=&amp;GameEventID=255&amp;GameID=0041300403&amp;Season=2013-14&amp;flag=1&amp;title=Leonard%2013'%20Jump%20Shot%20(20%20PTS)", "Leonard 13' Jump Shot (20 PTS)")</f>
        <v>Leonard 13' Jump Shot (20 PTS)</v>
      </c>
      <c r="L3761" s="2" t="str">
        <f>HYPERLINK("https://www.nba.com/game/...-vs-...-0041300403/play-by-play?watchFullGame=true", "SAS vs MIA - Q3 10:17.00")</f>
        <v>SAS vs MIA - Q3 10:17.00</v>
      </c>
      <c r="M3761">
        <v>13</v>
      </c>
      <c r="N3761">
        <v>6</v>
      </c>
      <c r="O3761">
        <v>127</v>
      </c>
      <c r="P3761">
        <v>6</v>
      </c>
      <c r="Q3761">
        <v>127</v>
      </c>
      <c r="R3761" t="s">
        <v>21</v>
      </c>
      <c r="S3761" t="s">
        <v>21</v>
      </c>
    </row>
    <row r="3762" spans="1:19" hidden="1" x14ac:dyDescent="0.25">
      <c r="A3762">
        <v>21500450</v>
      </c>
      <c r="B3762" t="s">
        <v>18</v>
      </c>
      <c r="C3762" t="s">
        <v>36</v>
      </c>
      <c r="D3762">
        <v>6</v>
      </c>
      <c r="E3762">
        <v>6</v>
      </c>
      <c r="F3762">
        <v>0</v>
      </c>
      <c r="G3762">
        <v>1</v>
      </c>
      <c r="H3762" s="1">
        <v>7.1643518518518514E-3</v>
      </c>
      <c r="I3762">
        <v>2015</v>
      </c>
      <c r="J3762" t="s">
        <v>20</v>
      </c>
      <c r="K3762" s="2" t="str">
        <f>HYPERLINK("https://www.nba.com/stats/events?CFID=&amp;CFPARAMS=&amp;GameEventID=17&amp;GameID=0021500450&amp;Season=2015-16&amp;flag=1&amp;title=Leonard%2013'%20Pullup%20Jump%20Shot%20(2%20PTS)", "Leonard 13' Pullup Jump Shot (2 PTS)")</f>
        <v>Leonard 13' Pullup Jump Shot (2 PTS)</v>
      </c>
      <c r="L3762" s="2" t="str">
        <f>HYPERLINK("https://www.nba.com/game/...-vs-...-0021500450/play-by-play?watchFullGame=true", "SAS vs DEN - Q1 10:19.00")</f>
        <v>SAS vs DEN - Q1 10:19.00</v>
      </c>
      <c r="M3762">
        <v>13</v>
      </c>
      <c r="N3762">
        <v>130</v>
      </c>
      <c r="O3762">
        <v>0</v>
      </c>
      <c r="P3762">
        <v>130</v>
      </c>
      <c r="Q3762">
        <v>0</v>
      </c>
      <c r="R3762" t="s">
        <v>21</v>
      </c>
      <c r="S3762" t="s">
        <v>21</v>
      </c>
    </row>
    <row r="3763" spans="1:19" hidden="1" x14ac:dyDescent="0.25">
      <c r="A3763">
        <v>21401010</v>
      </c>
      <c r="B3763" t="s">
        <v>18</v>
      </c>
      <c r="C3763" t="s">
        <v>19</v>
      </c>
      <c r="D3763">
        <v>70</v>
      </c>
      <c r="E3763">
        <v>57</v>
      </c>
      <c r="F3763">
        <v>13</v>
      </c>
      <c r="G3763">
        <v>3</v>
      </c>
      <c r="H3763" s="1">
        <v>7.3032407407407404E-3</v>
      </c>
      <c r="I3763">
        <v>2014</v>
      </c>
      <c r="J3763" t="s">
        <v>20</v>
      </c>
      <c r="K3763" s="2" t="str">
        <f>HYPERLINK("https://www.nba.com/stats/events?CFID=&amp;CFPARAMS=&amp;GameEventID=281&amp;GameID=0021401010&amp;Season=2014-15&amp;flag=1&amp;title=Leonard%2013'%20Jump%20Shot%20(10%20PTS)", "Leonard 13' Jump Shot (10 PTS)")</f>
        <v>Leonard 13' Jump Shot (10 PTS)</v>
      </c>
      <c r="L3763" s="2" t="str">
        <f>HYPERLINK("https://www.nba.com/game/...-vs-...-0021401010/play-by-play?watchFullGame=true", "SAS vs MIL - Q3 10:31.00")</f>
        <v>SAS vs MIL - Q3 10:31.00</v>
      </c>
      <c r="M3763">
        <v>13</v>
      </c>
      <c r="N3763">
        <v>6</v>
      </c>
      <c r="O3763">
        <v>132</v>
      </c>
      <c r="P3763">
        <v>6</v>
      </c>
      <c r="Q3763">
        <v>132</v>
      </c>
      <c r="R3763" t="s">
        <v>21</v>
      </c>
      <c r="S3763" t="s">
        <v>21</v>
      </c>
    </row>
    <row r="3764" spans="1:19" hidden="1" x14ac:dyDescent="0.25">
      <c r="A3764">
        <v>21401071</v>
      </c>
      <c r="B3764" t="s">
        <v>18</v>
      </c>
      <c r="C3764" t="s">
        <v>19</v>
      </c>
      <c r="D3764">
        <v>4</v>
      </c>
      <c r="E3764">
        <v>2</v>
      </c>
      <c r="F3764">
        <v>2</v>
      </c>
      <c r="G3764">
        <v>1</v>
      </c>
      <c r="H3764" s="1">
        <v>7.3611111111111108E-3</v>
      </c>
      <c r="I3764">
        <v>2014</v>
      </c>
      <c r="J3764" t="s">
        <v>20</v>
      </c>
      <c r="K3764" s="2" t="str">
        <f>HYPERLINK("https://www.nba.com/stats/events?CFID=&amp;CFPARAMS=&amp;GameEventID=7&amp;GameID=0021401071&amp;Season=2014-15&amp;flag=1&amp;title=Leonard%2013'%20Jump%20Shot%20(2%20PTS)", "Leonard 13' Jump Shot (2 PTS)")</f>
        <v>Leonard 13' Jump Shot (2 PTS)</v>
      </c>
      <c r="L3764" s="2" t="str">
        <f>HYPERLINK("https://www.nba.com/game/...-vs-...-0021401071/play-by-play?watchFullGame=true", "SAS vs OKC - Q1 10:36.00")</f>
        <v>SAS vs OKC - Q1 10:36.00</v>
      </c>
      <c r="M3764">
        <v>13</v>
      </c>
      <c r="N3764">
        <v>73</v>
      </c>
      <c r="O3764">
        <v>112</v>
      </c>
      <c r="P3764">
        <v>73</v>
      </c>
      <c r="Q3764">
        <v>112</v>
      </c>
      <c r="R3764" t="s">
        <v>21</v>
      </c>
      <c r="S3764" t="s">
        <v>21</v>
      </c>
    </row>
    <row r="3765" spans="1:19" hidden="1" x14ac:dyDescent="0.25">
      <c r="A3765">
        <v>21800055</v>
      </c>
      <c r="B3765" t="s">
        <v>18</v>
      </c>
      <c r="C3765" t="s">
        <v>37</v>
      </c>
      <c r="D3765">
        <v>59</v>
      </c>
      <c r="E3765">
        <v>51</v>
      </c>
      <c r="F3765">
        <v>8</v>
      </c>
      <c r="G3765">
        <v>3</v>
      </c>
      <c r="H3765" s="1">
        <v>7.4537037037037037E-3</v>
      </c>
      <c r="I3765">
        <v>2018</v>
      </c>
      <c r="J3765" t="s">
        <v>48</v>
      </c>
      <c r="K3765" s="2" t="str">
        <f>HYPERLINK("https://www.nba.com/stats/events?CFID=&amp;CFPARAMS=&amp;GameEventID=354&amp;GameID=0021800055&amp;Season=2018-19&amp;flag=1&amp;title=Leonard%2013'%20Fadeaway%20Jumper%20(20%20PTS)%20(Lowry%207%20AST)", "Leonard 13' Fadeaway Jumper (20 PTS) (Lowry 7 AST)")</f>
        <v>Leonard 13' Fadeaway Jumper (20 PTS) (Lowry 7 AST)</v>
      </c>
      <c r="L3765" s="2" t="str">
        <f>HYPERLINK("https://www.nba.com/game/...-vs-...-0021800055/play-by-play?watchFullGame=true", "TOR vs MIN - Q3 10:44.00")</f>
        <v>TOR vs MIN - Q3 10:44.00</v>
      </c>
      <c r="M3765">
        <v>13</v>
      </c>
      <c r="N3765">
        <v>130</v>
      </c>
      <c r="O3765">
        <v>9</v>
      </c>
      <c r="P3765">
        <v>130</v>
      </c>
      <c r="Q3765">
        <v>9</v>
      </c>
      <c r="R3765" t="s">
        <v>21</v>
      </c>
      <c r="S3765" t="s">
        <v>21</v>
      </c>
    </row>
    <row r="3766" spans="1:19" hidden="1" x14ac:dyDescent="0.25">
      <c r="A3766">
        <v>21600588</v>
      </c>
      <c r="B3766" t="s">
        <v>18</v>
      </c>
      <c r="C3766" t="s">
        <v>36</v>
      </c>
      <c r="D3766">
        <v>6</v>
      </c>
      <c r="E3766">
        <v>2</v>
      </c>
      <c r="F3766">
        <v>4</v>
      </c>
      <c r="G3766">
        <v>1</v>
      </c>
      <c r="H3766" s="1">
        <v>7.5347222222222222E-3</v>
      </c>
      <c r="I3766">
        <v>2016</v>
      </c>
      <c r="J3766" t="s">
        <v>20</v>
      </c>
      <c r="K3766" s="2" t="str">
        <f>HYPERLINK("https://www.nba.com/stats/events?CFID=&amp;CFPARAMS=&amp;GameEventID=11&amp;GameID=0021600588&amp;Season=2016-17&amp;flag=1&amp;title=Leonard%2013'%20Pullup%20Jump%20Shot%20(2%20PTS)", "Leonard 13' Pullup Jump Shot (2 PTS)")</f>
        <v>Leonard 13' Pullup Jump Shot (2 PTS)</v>
      </c>
      <c r="L3766" s="2" t="str">
        <f>HYPERLINK("https://www.nba.com/game/...-vs-...-0021600588/play-by-play?watchFullGame=true", "SAS vs LAL - Q1 10:51.00")</f>
        <v>SAS vs LAL - Q1 10:51.00</v>
      </c>
      <c r="M3766">
        <v>13</v>
      </c>
      <c r="N3766">
        <v>-112</v>
      </c>
      <c r="O3766">
        <v>65</v>
      </c>
      <c r="P3766">
        <v>-112</v>
      </c>
      <c r="Q3766">
        <v>65</v>
      </c>
      <c r="R3766" t="s">
        <v>21</v>
      </c>
      <c r="S3766" t="s">
        <v>21</v>
      </c>
    </row>
    <row r="3767" spans="1:19" hidden="1" x14ac:dyDescent="0.25">
      <c r="A3767">
        <v>21600825</v>
      </c>
      <c r="B3767" t="s">
        <v>18</v>
      </c>
      <c r="C3767" t="s">
        <v>37</v>
      </c>
      <c r="D3767">
        <v>53</v>
      </c>
      <c r="E3767">
        <v>54</v>
      </c>
      <c r="F3767">
        <v>1</v>
      </c>
      <c r="G3767">
        <v>3</v>
      </c>
      <c r="H3767" s="1">
        <v>7.5347222222222222E-3</v>
      </c>
      <c r="I3767">
        <v>2016</v>
      </c>
      <c r="J3767" t="s">
        <v>20</v>
      </c>
      <c r="K3767" s="2" t="str">
        <f>HYPERLINK("https://www.nba.com/stats/events?CFID=&amp;CFPARAMS=&amp;GameEventID=251&amp;GameID=0021600825&amp;Season=2016-17&amp;flag=1&amp;title=Leonard%2013'%20Fadeaway%20Jumper%20(17%20PTS)", "Leonard 13' Fadeaway Jumper (17 PTS)")</f>
        <v>Leonard 13' Fadeaway Jumper (17 PTS)</v>
      </c>
      <c r="L3767" s="2" t="str">
        <f>HYPERLINK("https://www.nba.com/game/...-vs-...-0021600825/play-by-play?watchFullGame=true", "SAS vs IND - Q3 10:51.00")</f>
        <v>SAS vs IND - Q3 10:51.00</v>
      </c>
      <c r="M3767">
        <v>13</v>
      </c>
      <c r="N3767">
        <v>56</v>
      </c>
      <c r="O3767">
        <v>120</v>
      </c>
      <c r="P3767">
        <v>56</v>
      </c>
      <c r="Q3767">
        <v>120</v>
      </c>
      <c r="R3767" t="s">
        <v>21</v>
      </c>
      <c r="S3767" t="s">
        <v>21</v>
      </c>
    </row>
    <row r="3768" spans="1:19" hidden="1" x14ac:dyDescent="0.25">
      <c r="A3768">
        <v>41300316</v>
      </c>
      <c r="B3768" t="s">
        <v>18</v>
      </c>
      <c r="C3768" t="s">
        <v>19</v>
      </c>
      <c r="D3768">
        <v>44</v>
      </c>
      <c r="E3768">
        <v>49</v>
      </c>
      <c r="F3768">
        <v>5</v>
      </c>
      <c r="G3768">
        <v>3</v>
      </c>
      <c r="H3768" s="1">
        <v>7.5578703703703702E-3</v>
      </c>
      <c r="I3768" t="s">
        <v>55</v>
      </c>
      <c r="J3768" t="s">
        <v>20</v>
      </c>
      <c r="K3768" s="2" t="str">
        <f>HYPERLINK("https://www.nba.com/stats/events?CFID=&amp;CFPARAMS=&amp;GameEventID=256&amp;GameID=0041300316&amp;Season=2013-14&amp;flag=1&amp;title=Leonard%2013'%20Jump%20Shot%20(11%20PTS)", "Leonard 13' Jump Shot (11 PTS)")</f>
        <v>Leonard 13' Jump Shot (11 PTS)</v>
      </c>
      <c r="L3768" s="2" t="str">
        <f>HYPERLINK("https://www.nba.com/game/...-vs-...-0041300316/play-by-play?watchFullGame=true", "SAS vs OKC - Q3 10:53.00")</f>
        <v>SAS vs OKC - Q3 10:53.00</v>
      </c>
      <c r="M3768">
        <v>13</v>
      </c>
      <c r="N3768">
        <v>-5</v>
      </c>
      <c r="O3768">
        <v>134</v>
      </c>
      <c r="P3768">
        <v>-5</v>
      </c>
      <c r="Q3768">
        <v>134</v>
      </c>
      <c r="R3768" t="s">
        <v>21</v>
      </c>
      <c r="S3768" t="s">
        <v>21</v>
      </c>
    </row>
    <row r="3769" spans="1:19" hidden="1" x14ac:dyDescent="0.25">
      <c r="A3769">
        <v>21800961</v>
      </c>
      <c r="B3769" t="s">
        <v>18</v>
      </c>
      <c r="C3769" t="s">
        <v>36</v>
      </c>
      <c r="D3769">
        <v>42</v>
      </c>
      <c r="E3769">
        <v>55</v>
      </c>
      <c r="F3769">
        <v>13</v>
      </c>
      <c r="G3769">
        <v>3</v>
      </c>
      <c r="H3769" s="1">
        <v>7.7083333333333335E-3</v>
      </c>
      <c r="I3769">
        <v>2018</v>
      </c>
      <c r="J3769" t="s">
        <v>48</v>
      </c>
      <c r="K3769" s="2" t="str">
        <f>HYPERLINK("https://www.nba.com/stats/events?CFID=&amp;CFPARAMS=&amp;GameEventID=319&amp;GameID=0021800961&amp;Season=2018-19&amp;flag=1&amp;title=Leonard%2013'%20Pullup%20Jump%20Shot%20(12%20PTS)", "Leonard 13' Pullup Jump Shot (12 PTS)")</f>
        <v>Leonard 13' Pullup Jump Shot (12 PTS)</v>
      </c>
      <c r="L3769" s="2" t="str">
        <f>HYPERLINK("https://www.nba.com/game/...-vs-...-0021800961/play-by-play?watchFullGame=true", "TOR vs HOU - Q3 11:06.00")</f>
        <v>TOR vs HOU - Q3 11:06.00</v>
      </c>
      <c r="M3769">
        <v>13</v>
      </c>
      <c r="N3769">
        <v>-3</v>
      </c>
      <c r="O3769">
        <v>129</v>
      </c>
      <c r="P3769">
        <v>-3</v>
      </c>
      <c r="Q3769">
        <v>129</v>
      </c>
      <c r="R3769" t="s">
        <v>21</v>
      </c>
      <c r="S3769" t="s">
        <v>21</v>
      </c>
    </row>
    <row r="3770" spans="1:19" hidden="1" x14ac:dyDescent="0.25">
      <c r="A3770">
        <v>41200401</v>
      </c>
      <c r="B3770" t="s">
        <v>18</v>
      </c>
      <c r="C3770" t="s">
        <v>34</v>
      </c>
      <c r="D3770">
        <v>25</v>
      </c>
      <c r="E3770">
        <v>28</v>
      </c>
      <c r="F3770">
        <v>3</v>
      </c>
      <c r="G3770">
        <v>2</v>
      </c>
      <c r="H3770" s="1">
        <v>7.743055555555556E-3</v>
      </c>
      <c r="I3770" t="s">
        <v>53</v>
      </c>
      <c r="J3770" t="s">
        <v>20</v>
      </c>
      <c r="K3770" s="2" t="str">
        <f>HYPERLINK("https://www.nba.com/stats/events?CFID=&amp;CFPARAMS=&amp;GameEventID=125&amp;GameID=0041200401&amp;Season=2012-13&amp;flag=1&amp;title=Leonard%2013'%20Turnaround%20Jump%20Shot%20(4%20PTS)", "Leonard 13' Turnaround Jump Shot (4 PTS)")</f>
        <v>Leonard 13' Turnaround Jump Shot (4 PTS)</v>
      </c>
      <c r="L3770" s="2" t="str">
        <f>HYPERLINK("https://www.nba.com/game/...-vs-...-0041200401/play-by-play?watchFullGame=true", "SAS vs MIA - Q2 11:09.00")</f>
        <v>SAS vs MIA - Q2 11:09.00</v>
      </c>
      <c r="M3770">
        <v>13</v>
      </c>
      <c r="N3770">
        <v>72</v>
      </c>
      <c r="O3770">
        <v>112</v>
      </c>
      <c r="P3770">
        <v>72</v>
      </c>
      <c r="Q3770">
        <v>112</v>
      </c>
      <c r="R3770" t="s">
        <v>21</v>
      </c>
      <c r="S3770" t="s">
        <v>21</v>
      </c>
    </row>
    <row r="3771" spans="1:19" hidden="1" x14ac:dyDescent="0.25">
      <c r="A3771">
        <v>21400836</v>
      </c>
      <c r="B3771" t="s">
        <v>18</v>
      </c>
      <c r="C3771" t="s">
        <v>38</v>
      </c>
      <c r="D3771">
        <v>2</v>
      </c>
      <c r="E3771">
        <v>0</v>
      </c>
      <c r="F3771">
        <v>2</v>
      </c>
      <c r="G3771">
        <v>1</v>
      </c>
      <c r="H3771" s="1">
        <v>7.7546296296296295E-3</v>
      </c>
      <c r="I3771">
        <v>2014</v>
      </c>
      <c r="J3771" t="s">
        <v>20</v>
      </c>
      <c r="K3771" s="2" t="str">
        <f>HYPERLINK("https://www.nba.com/stats/events?CFID=&amp;CFPARAMS=&amp;GameEventID=6&amp;GameID=0021400836&amp;Season=2014-15&amp;flag=1&amp;title=Leonard%2013'%20Turnaround%20Fadeaway%20(2%20PTS)", "Leonard 13' Turnaround Fadeaway (2 PTS)")</f>
        <v>Leonard 13' Turnaround Fadeaway (2 PTS)</v>
      </c>
      <c r="L3771" s="2" t="str">
        <f>HYPERLINK("https://www.nba.com/game/...-vs-...-0021400836/play-by-play?watchFullGame=true", "SAS vs UTA - Q1 11:10.00")</f>
        <v>SAS vs UTA - Q1 11:10.00</v>
      </c>
      <c r="M3771">
        <v>13</v>
      </c>
      <c r="N3771">
        <v>-130</v>
      </c>
      <c r="O3771">
        <v>11</v>
      </c>
      <c r="P3771">
        <v>-130</v>
      </c>
      <c r="Q3771">
        <v>11</v>
      </c>
      <c r="R3771" t="s">
        <v>21</v>
      </c>
      <c r="S3771" t="s">
        <v>21</v>
      </c>
    </row>
    <row r="3772" spans="1:19" hidden="1" x14ac:dyDescent="0.25">
      <c r="A3772">
        <v>21800290</v>
      </c>
      <c r="B3772" t="s">
        <v>18</v>
      </c>
      <c r="C3772" t="s">
        <v>19</v>
      </c>
      <c r="D3772">
        <v>2</v>
      </c>
      <c r="E3772">
        <v>2</v>
      </c>
      <c r="F3772">
        <v>0</v>
      </c>
      <c r="G3772">
        <v>1</v>
      </c>
      <c r="H3772" s="1">
        <v>7.8240740740740736E-3</v>
      </c>
      <c r="I3772">
        <v>2018</v>
      </c>
      <c r="J3772" t="s">
        <v>48</v>
      </c>
      <c r="K3772" s="2" t="str">
        <f>HYPERLINK("https://www.nba.com/stats/events?CFID=&amp;CFPARAMS=&amp;GameEventID=8&amp;GameID=0021800290&amp;Season=2018-19&amp;flag=1&amp;title=Leonard%2013'%20Jump%20Shot%20(2%20PTS)", "Leonard 13' Jump Shot (2 PTS)")</f>
        <v>Leonard 13' Jump Shot (2 PTS)</v>
      </c>
      <c r="L3772" s="2" t="str">
        <f>HYPERLINK("https://www.nba.com/game/...-vs-...-0021800290/play-by-play?watchFullGame=true", "TOR vs MIA - Q1 11:16.00")</f>
        <v>TOR vs MIA - Q1 11:16.00</v>
      </c>
      <c r="M3772">
        <v>13</v>
      </c>
      <c r="N3772">
        <v>133</v>
      </c>
      <c r="O3772">
        <v>12</v>
      </c>
      <c r="P3772">
        <v>133</v>
      </c>
      <c r="Q3772">
        <v>12</v>
      </c>
      <c r="R3772" t="s">
        <v>21</v>
      </c>
      <c r="S3772" t="s">
        <v>21</v>
      </c>
    </row>
    <row r="3773" spans="1:19" hidden="1" x14ac:dyDescent="0.25">
      <c r="A3773">
        <v>21800332</v>
      </c>
      <c r="B3773" t="s">
        <v>18</v>
      </c>
      <c r="C3773" t="s">
        <v>19</v>
      </c>
      <c r="D3773">
        <v>2</v>
      </c>
      <c r="E3773">
        <v>2</v>
      </c>
      <c r="F3773">
        <v>0</v>
      </c>
      <c r="G3773">
        <v>1</v>
      </c>
      <c r="H3773" s="1">
        <v>7.9166666666666673E-3</v>
      </c>
      <c r="I3773">
        <v>2018</v>
      </c>
      <c r="J3773" t="s">
        <v>48</v>
      </c>
      <c r="K3773" s="2" t="str">
        <f>HYPERLINK("https://www.nba.com/stats/events?CFID=&amp;CFPARAMS=&amp;GameEventID=9&amp;GameID=0021800332&amp;Season=2018-19&amp;flag=1&amp;title=Leonard%2013'%20Jump%20Shot%20(2%20PTS)%20(Siakam%201%20AST)", "Leonard 13' Jump Shot (2 PTS) (Siakam 1 AST)")</f>
        <v>Leonard 13' Jump Shot (2 PTS) (Siakam 1 AST)</v>
      </c>
      <c r="L3773" s="2" t="str">
        <f>HYPERLINK("https://www.nba.com/game/...-vs-...-0021800332/play-by-play?watchFullGame=true", "TOR vs CLE - Q1 11:24.00")</f>
        <v>TOR vs CLE - Q1 11:24.00</v>
      </c>
      <c r="M3773">
        <v>13</v>
      </c>
      <c r="N3773">
        <v>100</v>
      </c>
      <c r="O3773">
        <v>80</v>
      </c>
      <c r="P3773">
        <v>100</v>
      </c>
      <c r="Q3773">
        <v>80</v>
      </c>
      <c r="R3773" t="s">
        <v>21</v>
      </c>
      <c r="S3773" t="s">
        <v>21</v>
      </c>
    </row>
    <row r="3774" spans="1:19" hidden="1" x14ac:dyDescent="0.25">
      <c r="A3774">
        <v>21400931</v>
      </c>
      <c r="B3774" t="s">
        <v>18</v>
      </c>
      <c r="C3774" t="s">
        <v>36</v>
      </c>
      <c r="D3774">
        <v>89</v>
      </c>
      <c r="E3774">
        <v>77</v>
      </c>
      <c r="F3774">
        <v>12</v>
      </c>
      <c r="G3774">
        <v>4</v>
      </c>
      <c r="H3774" s="1">
        <v>8.0208333333333329E-3</v>
      </c>
      <c r="I3774">
        <v>2014</v>
      </c>
      <c r="J3774" t="s">
        <v>20</v>
      </c>
      <c r="K3774" s="2" t="str">
        <f>HYPERLINK("https://www.nba.com/stats/events?CFID=&amp;CFPARAMS=&amp;GameEventID=399&amp;GameID=0021400931&amp;Season=2014-15&amp;flag=1&amp;title=Leonard%2013'%20Pullup%20Jump%20Shot%20(16%20PTS)", "Leonard 13' Pullup Jump Shot (16 PTS)")</f>
        <v>Leonard 13' Pullup Jump Shot (16 PTS)</v>
      </c>
      <c r="L3774" s="2" t="str">
        <f>HYPERLINK("https://www.nba.com/game/...-vs-...-0021400931/play-by-play?watchFullGame=true", "SAS vs CHI - Q4 11:33.00")</f>
        <v>SAS vs CHI - Q4 11:33.00</v>
      </c>
      <c r="M3774">
        <v>13</v>
      </c>
      <c r="N3774">
        <v>24</v>
      </c>
      <c r="O3774">
        <v>132</v>
      </c>
      <c r="P3774">
        <v>24</v>
      </c>
      <c r="Q3774">
        <v>132</v>
      </c>
      <c r="R3774" t="s">
        <v>21</v>
      </c>
      <c r="S3774" t="s">
        <v>21</v>
      </c>
    </row>
    <row r="3775" spans="1:19" hidden="1" x14ac:dyDescent="0.25">
      <c r="A3775">
        <v>21401134</v>
      </c>
      <c r="B3775" t="s">
        <v>18</v>
      </c>
      <c r="C3775" t="s">
        <v>19</v>
      </c>
      <c r="D3775">
        <v>2</v>
      </c>
      <c r="E3775">
        <v>0</v>
      </c>
      <c r="F3775">
        <v>2</v>
      </c>
      <c r="G3775">
        <v>1</v>
      </c>
      <c r="H3775" s="1">
        <v>8.1134259259259267E-3</v>
      </c>
      <c r="I3775">
        <v>2014</v>
      </c>
      <c r="J3775" t="s">
        <v>20</v>
      </c>
      <c r="K3775" s="2" t="str">
        <f>HYPERLINK("https://www.nba.com/stats/events?CFID=&amp;CFPARAMS=&amp;GameEventID=2&amp;GameID=0021401134&amp;Season=2014-15&amp;flag=1&amp;title=Leonard%2013'%20Jump%20Shot%20(2%20PTS)%20(Parker%201%20AST)", "Leonard 13' Jump Shot (2 PTS) (Parker 1 AST)")</f>
        <v>Leonard 13' Jump Shot (2 PTS) (Parker 1 AST)</v>
      </c>
      <c r="L3775" s="2" t="str">
        <f>HYPERLINK("https://www.nba.com/game/...-vs-...-0021401134/play-by-play?watchFullGame=true", "SAS vs DEN - Q1 11:41.00")</f>
        <v>SAS vs DEN - Q1 11:41.00</v>
      </c>
      <c r="M3775">
        <v>13</v>
      </c>
      <c r="N3775">
        <v>-125</v>
      </c>
      <c r="O3775">
        <v>-11</v>
      </c>
      <c r="P3775">
        <v>-125</v>
      </c>
      <c r="Q3775">
        <v>-11</v>
      </c>
      <c r="R3775" t="s">
        <v>21</v>
      </c>
      <c r="S3775" t="s">
        <v>21</v>
      </c>
    </row>
    <row r="3776" spans="1:19" hidden="1" x14ac:dyDescent="0.25">
      <c r="A3776">
        <v>21600543</v>
      </c>
      <c r="B3776" t="s">
        <v>18</v>
      </c>
      <c r="C3776" t="s">
        <v>38</v>
      </c>
      <c r="D3776">
        <v>29</v>
      </c>
      <c r="E3776">
        <v>33</v>
      </c>
      <c r="F3776">
        <v>4</v>
      </c>
      <c r="G3776">
        <v>1</v>
      </c>
      <c r="H3776" s="1">
        <v>6.9444444444444439E-6</v>
      </c>
      <c r="I3776">
        <v>2016</v>
      </c>
      <c r="J3776" t="s">
        <v>20</v>
      </c>
      <c r="K3776" s="2" t="str">
        <f>HYPERLINK("https://www.nba.com/stats/events?CFID=&amp;CFPARAMS=&amp;GameEventID=100&amp;GameID=0021600543&amp;Season=2016-17&amp;flag=1&amp;title=Leonard%2012'%20Turnaround%20Fadeaway%20(5%20PTS)", "Leonard 12' Turnaround Fadeaway (5 PTS)")</f>
        <v>Leonard 12' Turnaround Fadeaway (5 PTS)</v>
      </c>
      <c r="L3776" s="2" t="str">
        <f>HYPERLINK("https://www.nba.com/game/...-vs-...-0021600543/play-by-play?watchFullGame=true", "SAS vs DEN - Q1 00:00.60")</f>
        <v>SAS vs DEN - Q1 00:00.60</v>
      </c>
      <c r="M3776">
        <v>12</v>
      </c>
      <c r="N3776">
        <v>-115</v>
      </c>
      <c r="O3776">
        <v>41</v>
      </c>
      <c r="P3776">
        <v>-115</v>
      </c>
      <c r="Q3776">
        <v>41</v>
      </c>
      <c r="R3776" t="s">
        <v>21</v>
      </c>
      <c r="S3776" t="s">
        <v>21</v>
      </c>
    </row>
    <row r="3777" spans="1:19" hidden="1" x14ac:dyDescent="0.25">
      <c r="A3777">
        <v>21800930</v>
      </c>
      <c r="B3777" t="s">
        <v>18</v>
      </c>
      <c r="C3777" t="s">
        <v>36</v>
      </c>
      <c r="D3777">
        <v>119</v>
      </c>
      <c r="E3777">
        <v>117</v>
      </c>
      <c r="F3777">
        <v>2</v>
      </c>
      <c r="G3777">
        <v>4</v>
      </c>
      <c r="H3777" s="1">
        <v>3.4722222222222222E-5</v>
      </c>
      <c r="I3777">
        <v>2018</v>
      </c>
      <c r="J3777" t="s">
        <v>48</v>
      </c>
      <c r="K3777" s="2" t="str">
        <f>HYPERLINK("https://www.nba.com/stats/events?CFID=&amp;CFPARAMS=&amp;GameEventID=641&amp;GameID=0021800930&amp;Season=2018-19&amp;flag=1&amp;title=Leonard%2012'%20Pullup%20Jump%20Shot%20(38%20PTS)", "Leonard 12' Pullup Jump Shot (38 PTS)")</f>
        <v>Leonard 12' Pullup Jump Shot (38 PTS)</v>
      </c>
      <c r="L3777" s="2" t="str">
        <f>HYPERLINK("https://www.nba.com/game/...-vs-...-0021800930/play-by-play?watchFullGame=true", "TOR vs POR - Q4 00:03.00")</f>
        <v>TOR vs POR - Q4 00:03.00</v>
      </c>
      <c r="M3777">
        <v>12</v>
      </c>
      <c r="N3777">
        <v>120</v>
      </c>
      <c r="O3777">
        <v>22</v>
      </c>
      <c r="P3777">
        <v>120</v>
      </c>
      <c r="Q3777">
        <v>22</v>
      </c>
      <c r="R3777" t="s">
        <v>21</v>
      </c>
      <c r="S3777" t="s">
        <v>21</v>
      </c>
    </row>
    <row r="3778" spans="1:19" hidden="1" x14ac:dyDescent="0.25">
      <c r="A3778">
        <v>21600801</v>
      </c>
      <c r="B3778" t="s">
        <v>18</v>
      </c>
      <c r="C3778" t="s">
        <v>36</v>
      </c>
      <c r="D3778">
        <v>60</v>
      </c>
      <c r="E3778">
        <v>41</v>
      </c>
      <c r="F3778">
        <v>19</v>
      </c>
      <c r="G3778">
        <v>2</v>
      </c>
      <c r="H3778" s="1">
        <v>1.550925925925926E-4</v>
      </c>
      <c r="I3778">
        <v>2016</v>
      </c>
      <c r="J3778" t="s">
        <v>20</v>
      </c>
      <c r="K3778" s="2" t="str">
        <f>HYPERLINK("https://www.nba.com/stats/events?CFID=&amp;CFPARAMS=&amp;GameEventID=211&amp;GameID=0021600801&amp;Season=2016-17&amp;flag=1&amp;title=Leonard%2012'%20Pullup%20Jump%20Shot%20(15%20PTS)", "Leonard 12' Pullup Jump Shot (15 PTS)")</f>
        <v>Leonard 12' Pullup Jump Shot (15 PTS)</v>
      </c>
      <c r="L3778" s="2" t="str">
        <f>HYPERLINK("https://www.nba.com/game/...-vs-...-0021600801/play-by-play?watchFullGame=true", "SAS vs DET - Q2 00:13.40")</f>
        <v>SAS vs DET - Q2 00:13.40</v>
      </c>
      <c r="M3778">
        <v>12</v>
      </c>
      <c r="N3778">
        <v>-84</v>
      </c>
      <c r="O3778">
        <v>80</v>
      </c>
      <c r="P3778">
        <v>-84</v>
      </c>
      <c r="Q3778">
        <v>80</v>
      </c>
      <c r="R3778" t="s">
        <v>21</v>
      </c>
      <c r="S3778" t="s">
        <v>21</v>
      </c>
    </row>
    <row r="3779" spans="1:19" hidden="1" x14ac:dyDescent="0.25">
      <c r="A3779">
        <v>21801083</v>
      </c>
      <c r="B3779" t="s">
        <v>18</v>
      </c>
      <c r="C3779" t="s">
        <v>38</v>
      </c>
      <c r="D3779">
        <v>58</v>
      </c>
      <c r="E3779">
        <v>48</v>
      </c>
      <c r="F3779">
        <v>10</v>
      </c>
      <c r="G3779">
        <v>2</v>
      </c>
      <c r="H3779" s="1">
        <v>2.5925925925925926E-4</v>
      </c>
      <c r="I3779">
        <v>2018</v>
      </c>
      <c r="J3779" t="s">
        <v>48</v>
      </c>
      <c r="K3779" s="2" t="str">
        <f>HYPERLINK("https://www.nba.com/stats/events?CFID=&amp;CFPARAMS=&amp;GameEventID=288&amp;GameID=0021801083&amp;Season=2018-19&amp;flag=1&amp;title=Leonard%2012'%20Turnaround%20Fadeaway%20(13%20PTS)", "Leonard 12' Turnaround Fadeaway (13 PTS)")</f>
        <v>Leonard 12' Turnaround Fadeaway (13 PTS)</v>
      </c>
      <c r="L3779" s="2" t="str">
        <f>HYPERLINK("https://www.nba.com/game/...-vs-...-0021801083/play-by-play?watchFullGame=true", "TOR vs OKC - Q2 00:22.40")</f>
        <v>TOR vs OKC - Q2 00:22.40</v>
      </c>
      <c r="M3779">
        <v>12</v>
      </c>
      <c r="N3779">
        <v>-43</v>
      </c>
      <c r="O3779">
        <v>107</v>
      </c>
      <c r="P3779">
        <v>-43</v>
      </c>
      <c r="Q3779">
        <v>107</v>
      </c>
      <c r="R3779" t="s">
        <v>21</v>
      </c>
      <c r="S3779" t="s">
        <v>21</v>
      </c>
    </row>
    <row r="3780" spans="1:19" hidden="1" x14ac:dyDescent="0.25">
      <c r="A3780">
        <v>21500224</v>
      </c>
      <c r="B3780" t="s">
        <v>18</v>
      </c>
      <c r="C3780" t="s">
        <v>19</v>
      </c>
      <c r="D3780">
        <v>84</v>
      </c>
      <c r="E3780">
        <v>80</v>
      </c>
      <c r="F3780">
        <v>4</v>
      </c>
      <c r="G3780">
        <v>4</v>
      </c>
      <c r="H3780" s="1">
        <v>6.0069444444444439E-4</v>
      </c>
      <c r="I3780">
        <v>2015</v>
      </c>
      <c r="J3780" t="s">
        <v>20</v>
      </c>
      <c r="K3780" s="2" t="str">
        <f>HYPERLINK("https://www.nba.com/stats/events?CFID=&amp;CFPARAMS=&amp;GameEventID=477&amp;GameID=0021500224&amp;Season=2015-16&amp;flag=1&amp;title=Leonard%2012'%20Jump%20Shot%20(23%20PTS)%20(Duncan%204%20AST)", "Leonard 12' Jump Shot (23 PTS) (Duncan 4 AST)")</f>
        <v>Leonard 12' Jump Shot (23 PTS) (Duncan 4 AST)</v>
      </c>
      <c r="L3780" s="2" t="str">
        <f>HYPERLINK("https://www.nba.com/game/...-vs-...-0021500224/play-by-play?watchFullGame=true", "SAS vs DAL - Q4 00:51.90")</f>
        <v>SAS vs DAL - Q4 00:51.90</v>
      </c>
      <c r="M3780">
        <v>12</v>
      </c>
      <c r="N3780">
        <v>14</v>
      </c>
      <c r="O3780">
        <v>115</v>
      </c>
      <c r="P3780">
        <v>14</v>
      </c>
      <c r="Q3780">
        <v>115</v>
      </c>
      <c r="R3780" t="s">
        <v>21</v>
      </c>
      <c r="S3780" t="s">
        <v>21</v>
      </c>
    </row>
    <row r="3781" spans="1:19" hidden="1" x14ac:dyDescent="0.25">
      <c r="A3781">
        <v>21500393</v>
      </c>
      <c r="B3781" t="s">
        <v>18</v>
      </c>
      <c r="C3781" t="s">
        <v>37</v>
      </c>
      <c r="D3781">
        <v>23</v>
      </c>
      <c r="E3781">
        <v>23</v>
      </c>
      <c r="F3781">
        <v>0</v>
      </c>
      <c r="G3781">
        <v>1</v>
      </c>
      <c r="H3781" s="1">
        <v>1.238425925925926E-3</v>
      </c>
      <c r="I3781">
        <v>2015</v>
      </c>
      <c r="J3781" t="s">
        <v>20</v>
      </c>
      <c r="K3781" s="2" t="str">
        <f>HYPERLINK("https://www.nba.com/stats/events?CFID=&amp;CFPARAMS=&amp;GameEventID=92&amp;GameID=0021500393&amp;Season=2015-16&amp;flag=1&amp;title=Leonard%2012'%20Fadeaway%20Jumper%20(6%20PTS)%20(Diaw%201%20AST)", "Leonard 12' Fadeaway Jumper (6 PTS) (Diaw 1 AST)")</f>
        <v>Leonard 12' Fadeaway Jumper (6 PTS) (Diaw 1 AST)</v>
      </c>
      <c r="L3781" s="2" t="str">
        <f>HYPERLINK("https://www.nba.com/game/...-vs-...-0021500393/play-by-play?watchFullGame=true", "SAS vs LAC - Q1 01:47.00")</f>
        <v>SAS vs LAC - Q1 01:47.00</v>
      </c>
      <c r="M3781">
        <v>12</v>
      </c>
      <c r="N3781">
        <v>123</v>
      </c>
      <c r="O3781">
        <v>2</v>
      </c>
      <c r="P3781">
        <v>123</v>
      </c>
      <c r="Q3781">
        <v>2</v>
      </c>
      <c r="R3781" t="s">
        <v>21</v>
      </c>
      <c r="S3781" t="s">
        <v>21</v>
      </c>
    </row>
    <row r="3782" spans="1:19" hidden="1" x14ac:dyDescent="0.25">
      <c r="A3782">
        <v>21500784</v>
      </c>
      <c r="B3782" t="s">
        <v>18</v>
      </c>
      <c r="C3782" t="s">
        <v>34</v>
      </c>
      <c r="D3782">
        <v>80</v>
      </c>
      <c r="E3782">
        <v>65</v>
      </c>
      <c r="F3782">
        <v>15</v>
      </c>
      <c r="G3782">
        <v>3</v>
      </c>
      <c r="H3782" s="1">
        <v>1.261574074074074E-3</v>
      </c>
      <c r="I3782">
        <v>2015</v>
      </c>
      <c r="J3782" t="s">
        <v>20</v>
      </c>
      <c r="K3782" s="2" t="str">
        <f>HYPERLINK("https://www.nba.com/stats/events?CFID=&amp;CFPARAMS=&amp;GameEventID=343&amp;GameID=0021500784&amp;Season=2015-16&amp;flag=1&amp;title=Leonard%2012'%20Turnaround%20Jump%20Shot%20(17%20PTS)", "Leonard 12' Turnaround Jump Shot (17 PTS)")</f>
        <v>Leonard 12' Turnaround Jump Shot (17 PTS)</v>
      </c>
      <c r="L3782" s="2" t="str">
        <f>HYPERLINK("https://www.nba.com/game/...-vs-...-0021500784/play-by-play?watchFullGame=true", "SAS vs MIA - Q3 01:49.00")</f>
        <v>SAS vs MIA - Q3 01:49.00</v>
      </c>
      <c r="M3782">
        <v>12</v>
      </c>
      <c r="N3782">
        <v>60</v>
      </c>
      <c r="O3782">
        <v>101</v>
      </c>
      <c r="P3782">
        <v>60</v>
      </c>
      <c r="Q3782">
        <v>101</v>
      </c>
      <c r="R3782" t="s">
        <v>21</v>
      </c>
      <c r="S3782" t="s">
        <v>21</v>
      </c>
    </row>
    <row r="3783" spans="1:19" hidden="1" x14ac:dyDescent="0.25">
      <c r="A3783">
        <v>21500224</v>
      </c>
      <c r="B3783" t="s">
        <v>18</v>
      </c>
      <c r="C3783" t="s">
        <v>34</v>
      </c>
      <c r="D3783">
        <v>57</v>
      </c>
      <c r="E3783">
        <v>54</v>
      </c>
      <c r="F3783">
        <v>3</v>
      </c>
      <c r="G3783">
        <v>3</v>
      </c>
      <c r="H3783" s="1">
        <v>1.4004629629629629E-3</v>
      </c>
      <c r="I3783">
        <v>2015</v>
      </c>
      <c r="J3783" t="s">
        <v>20</v>
      </c>
      <c r="K3783" s="2" t="str">
        <f>HYPERLINK("https://www.nba.com/stats/events?CFID=&amp;CFPARAMS=&amp;GameEventID=337&amp;GameID=0021500224&amp;Season=2015-16&amp;flag=1&amp;title=Leonard%2012'%20Turnaround%20Jump%20Shot%20(15%20PTS)", "Leonard 12' Turnaround Jump Shot (15 PTS)")</f>
        <v>Leonard 12' Turnaround Jump Shot (15 PTS)</v>
      </c>
      <c r="L3783" s="2" t="str">
        <f>HYPERLINK("https://www.nba.com/game/...-vs-...-0021500224/play-by-play?watchFullGame=true", "SAS vs DAL - Q3 02:01.00")</f>
        <v>SAS vs DAL - Q3 02:01.00</v>
      </c>
      <c r="M3783">
        <v>12</v>
      </c>
      <c r="N3783">
        <v>120</v>
      </c>
      <c r="O3783">
        <v>0</v>
      </c>
      <c r="P3783">
        <v>120</v>
      </c>
      <c r="Q3783">
        <v>0</v>
      </c>
      <c r="R3783" t="s">
        <v>21</v>
      </c>
      <c r="S3783" t="s">
        <v>21</v>
      </c>
    </row>
    <row r="3784" spans="1:19" hidden="1" x14ac:dyDescent="0.25">
      <c r="A3784">
        <v>21800271</v>
      </c>
      <c r="B3784" t="s">
        <v>18</v>
      </c>
      <c r="C3784" t="s">
        <v>36</v>
      </c>
      <c r="D3784">
        <v>97</v>
      </c>
      <c r="E3784">
        <v>87</v>
      </c>
      <c r="F3784">
        <v>10</v>
      </c>
      <c r="G3784">
        <v>3</v>
      </c>
      <c r="H3784" s="1">
        <v>1.4236111111111112E-3</v>
      </c>
      <c r="I3784">
        <v>2018</v>
      </c>
      <c r="J3784" t="s">
        <v>48</v>
      </c>
      <c r="K3784" s="2" t="str">
        <f>HYPERLINK("https://www.nba.com/stats/events?CFID=&amp;CFPARAMS=&amp;GameEventID=511&amp;GameID=0021800271&amp;Season=2018-19&amp;flag=1&amp;title=Leonard%2012'%20Pullup%20Jump%20Shot%20(25%20PTS)", "Leonard 12' Pullup Jump Shot (25 PTS)")</f>
        <v>Leonard 12' Pullup Jump Shot (25 PTS)</v>
      </c>
      <c r="L3784" s="2" t="str">
        <f>HYPERLINK("https://www.nba.com/game/...-vs-...-0021800271/play-by-play?watchFullGame=true", "TOR vs WAS - Q3 02:03.00")</f>
        <v>TOR vs WAS - Q3 02:03.00</v>
      </c>
      <c r="M3784">
        <v>12</v>
      </c>
      <c r="N3784">
        <v>-124</v>
      </c>
      <c r="O3784">
        <v>5</v>
      </c>
      <c r="P3784">
        <v>-124</v>
      </c>
      <c r="Q3784">
        <v>5</v>
      </c>
      <c r="R3784" t="s">
        <v>21</v>
      </c>
      <c r="S3784" t="s">
        <v>21</v>
      </c>
    </row>
    <row r="3785" spans="1:19" hidden="1" x14ac:dyDescent="0.25">
      <c r="A3785">
        <v>21600319</v>
      </c>
      <c r="B3785" t="s">
        <v>18</v>
      </c>
      <c r="C3785" t="s">
        <v>34</v>
      </c>
      <c r="D3785">
        <v>65</v>
      </c>
      <c r="E3785">
        <v>58</v>
      </c>
      <c r="F3785">
        <v>7</v>
      </c>
      <c r="G3785">
        <v>3</v>
      </c>
      <c r="H3785" s="1">
        <v>1.5972222222222223E-3</v>
      </c>
      <c r="I3785">
        <v>2016</v>
      </c>
      <c r="J3785" t="s">
        <v>20</v>
      </c>
      <c r="K3785" s="2" t="str">
        <f>HYPERLINK("https://www.nba.com/stats/events?CFID=&amp;CFPARAMS=&amp;GameEventID=311&amp;GameID=0021600319&amp;Season=2016-17&amp;flag=1&amp;title=Leonard%2012'%20Turnaround%20Jump%20Shot%20(22%20PTS)", "Leonard 12' Turnaround Jump Shot (22 PTS)")</f>
        <v>Leonard 12' Turnaround Jump Shot (22 PTS)</v>
      </c>
      <c r="L3785" s="2" t="str">
        <f>HYPERLINK("https://www.nba.com/game/...-vs-...-0021600319/play-by-play?watchFullGame=true", "SAS vs MIN - Q3 02:18.00")</f>
        <v>SAS vs MIN - Q3 02:18.00</v>
      </c>
      <c r="M3785">
        <v>12</v>
      </c>
      <c r="N3785">
        <v>66</v>
      </c>
      <c r="O3785">
        <v>95</v>
      </c>
      <c r="P3785">
        <v>66</v>
      </c>
      <c r="Q3785">
        <v>95</v>
      </c>
      <c r="R3785" t="s">
        <v>21</v>
      </c>
      <c r="S3785" t="s">
        <v>21</v>
      </c>
    </row>
    <row r="3786" spans="1:19" hidden="1" x14ac:dyDescent="0.25">
      <c r="A3786">
        <v>41300222</v>
      </c>
      <c r="B3786" t="s">
        <v>18</v>
      </c>
      <c r="C3786" t="s">
        <v>19</v>
      </c>
      <c r="D3786">
        <v>22</v>
      </c>
      <c r="E3786">
        <v>18</v>
      </c>
      <c r="F3786">
        <v>4</v>
      </c>
      <c r="G3786">
        <v>1</v>
      </c>
      <c r="H3786" s="1">
        <v>1.7476851851851852E-3</v>
      </c>
      <c r="I3786" t="s">
        <v>55</v>
      </c>
      <c r="J3786" t="s">
        <v>20</v>
      </c>
      <c r="K3786" s="2" t="str">
        <f>HYPERLINK("https://www.nba.com/stats/events?CFID=&amp;CFPARAMS=&amp;GameEventID=93&amp;GameID=0041300222&amp;Season=2013-14&amp;flag=1&amp;title=Leonard%2012'%20Jump%20Shot%20(10%20PTS)", "Leonard 12' Jump Shot (10 PTS)")</f>
        <v>Leonard 12' Jump Shot (10 PTS)</v>
      </c>
      <c r="L3786" s="2" t="str">
        <f>HYPERLINK("https://www.nba.com/game/...-vs-...-0041300222/play-by-play?watchFullGame=true", "SAS vs POR - Q1 02:31.00")</f>
        <v>SAS vs POR - Q1 02:31.00</v>
      </c>
      <c r="M3786">
        <v>12</v>
      </c>
      <c r="N3786">
        <v>124</v>
      </c>
      <c r="O3786">
        <v>-3</v>
      </c>
      <c r="P3786">
        <v>124</v>
      </c>
      <c r="Q3786">
        <v>-3</v>
      </c>
      <c r="R3786" t="s">
        <v>21</v>
      </c>
      <c r="S3786" t="s">
        <v>21</v>
      </c>
    </row>
    <row r="3787" spans="1:19" hidden="1" x14ac:dyDescent="0.25">
      <c r="A3787">
        <v>21400949</v>
      </c>
      <c r="B3787" t="s">
        <v>18</v>
      </c>
      <c r="C3787" t="s">
        <v>19</v>
      </c>
      <c r="D3787">
        <v>19</v>
      </c>
      <c r="E3787">
        <v>13</v>
      </c>
      <c r="F3787">
        <v>6</v>
      </c>
      <c r="G3787">
        <v>1</v>
      </c>
      <c r="H3787" s="1">
        <v>1.8749999999999999E-3</v>
      </c>
      <c r="I3787">
        <v>2014</v>
      </c>
      <c r="J3787" t="s">
        <v>20</v>
      </c>
      <c r="K3787" s="2" t="str">
        <f>HYPERLINK("https://www.nba.com/stats/events?CFID=&amp;CFPARAMS=&amp;GameEventID=91&amp;GameID=0021400949&amp;Season=2014-15&amp;flag=1&amp;title=Leonard%2012'%20Jump%20Shot%20(4%20PTS)%20(Diaw%202%20AST)", "Leonard 12' Jump Shot (4 PTS) (Diaw 2 AST)")</f>
        <v>Leonard 12' Jump Shot (4 PTS) (Diaw 2 AST)</v>
      </c>
      <c r="L3787" s="2" t="str">
        <f>HYPERLINK("https://www.nba.com/game/...-vs-...-0021400949/play-by-play?watchFullGame=true", "SAS vs TOR - Q1 02:42.00")</f>
        <v>SAS vs TOR - Q1 02:42.00</v>
      </c>
      <c r="M3787">
        <v>12</v>
      </c>
      <c r="N3787">
        <v>-111</v>
      </c>
      <c r="O3787">
        <v>33</v>
      </c>
      <c r="P3787">
        <v>-111</v>
      </c>
      <c r="Q3787">
        <v>33</v>
      </c>
      <c r="R3787" t="s">
        <v>21</v>
      </c>
      <c r="S3787" t="s">
        <v>21</v>
      </c>
    </row>
    <row r="3788" spans="1:19" hidden="1" x14ac:dyDescent="0.25">
      <c r="A3788">
        <v>21401157</v>
      </c>
      <c r="B3788" t="s">
        <v>18</v>
      </c>
      <c r="C3788" t="s">
        <v>34</v>
      </c>
      <c r="D3788">
        <v>54</v>
      </c>
      <c r="E3788">
        <v>33</v>
      </c>
      <c r="F3788">
        <v>21</v>
      </c>
      <c r="G3788">
        <v>2</v>
      </c>
      <c r="H3788" s="1">
        <v>2.3263888888888887E-3</v>
      </c>
      <c r="I3788">
        <v>2014</v>
      </c>
      <c r="J3788" t="s">
        <v>20</v>
      </c>
      <c r="K3788" s="2" t="str">
        <f>HYPERLINK("https://www.nba.com/stats/events?CFID=&amp;CFPARAMS=&amp;GameEventID=229&amp;GameID=0021401157&amp;Season=2014-15&amp;flag=1&amp;title=Leonard%2012'%20Turnaround%20Jump%20Shot%20(21%20PTS)", "Leonard 12' Turnaround Jump Shot (21 PTS)")</f>
        <v>Leonard 12' Turnaround Jump Shot (21 PTS)</v>
      </c>
      <c r="L3788" s="2" t="str">
        <f>HYPERLINK("https://www.nba.com/game/...-vs-...-0021401157/play-by-play?watchFullGame=true", "SAS vs OKC - Q2 03:21.00")</f>
        <v>SAS vs OKC - Q2 03:21.00</v>
      </c>
      <c r="M3788">
        <v>12</v>
      </c>
      <c r="N3788">
        <v>-111</v>
      </c>
      <c r="O3788">
        <v>45</v>
      </c>
      <c r="P3788">
        <v>-111</v>
      </c>
      <c r="Q3788">
        <v>45</v>
      </c>
      <c r="R3788" t="s">
        <v>21</v>
      </c>
      <c r="S3788" t="s">
        <v>21</v>
      </c>
    </row>
    <row r="3789" spans="1:19" hidden="1" x14ac:dyDescent="0.25">
      <c r="A3789">
        <v>41800212</v>
      </c>
      <c r="B3789" t="s">
        <v>18</v>
      </c>
      <c r="C3789" t="s">
        <v>36</v>
      </c>
      <c r="D3789">
        <v>28</v>
      </c>
      <c r="E3789">
        <v>45</v>
      </c>
      <c r="F3789">
        <v>17</v>
      </c>
      <c r="G3789">
        <v>2</v>
      </c>
      <c r="H3789" s="1">
        <v>2.3495370370370371E-3</v>
      </c>
      <c r="I3789" t="s">
        <v>60</v>
      </c>
      <c r="J3789" t="s">
        <v>48</v>
      </c>
      <c r="K3789" s="2" t="str">
        <f>HYPERLINK("https://www.nba.com/stats/events?CFID=&amp;CFPARAMS=&amp;GameEventID=270&amp;GameID=0041800212&amp;Season=2018-19&amp;flag=1&amp;title=Leonard%2012'%20Pullup%20Jump%20Shot%20(13%20PTS)", "Leonard 12' Pullup Jump Shot (13 PTS)")</f>
        <v>Leonard 12' Pullup Jump Shot (13 PTS)</v>
      </c>
      <c r="L3789" s="2" t="str">
        <f>HYPERLINK("https://www.nba.com/game/...-vs-...-0041800212/play-by-play?watchFullGame=true", "TOR vs PHI - Q2 03:23.00")</f>
        <v>TOR vs PHI - Q2 03:23.00</v>
      </c>
      <c r="M3789">
        <v>12</v>
      </c>
      <c r="N3789">
        <v>-14</v>
      </c>
      <c r="O3789">
        <v>116</v>
      </c>
      <c r="P3789">
        <v>-14</v>
      </c>
      <c r="Q3789">
        <v>116</v>
      </c>
      <c r="R3789" t="s">
        <v>21</v>
      </c>
      <c r="S3789" t="s">
        <v>21</v>
      </c>
    </row>
    <row r="3790" spans="1:19" hidden="1" x14ac:dyDescent="0.25">
      <c r="A3790">
        <v>21401098</v>
      </c>
      <c r="B3790" t="s">
        <v>18</v>
      </c>
      <c r="C3790" t="s">
        <v>19</v>
      </c>
      <c r="D3790">
        <v>43</v>
      </c>
      <c r="E3790">
        <v>39</v>
      </c>
      <c r="F3790">
        <v>4</v>
      </c>
      <c r="G3790">
        <v>2</v>
      </c>
      <c r="H3790" s="1">
        <v>2.4537037037037036E-3</v>
      </c>
      <c r="I3790">
        <v>2014</v>
      </c>
      <c r="J3790" t="s">
        <v>20</v>
      </c>
      <c r="K3790" s="2" t="str">
        <f>HYPERLINK("https://www.nba.com/stats/events?CFID=&amp;CFPARAMS=&amp;GameEventID=200&amp;GameID=0021401098&amp;Season=2014-15&amp;flag=1&amp;title=Leonard%2012'%20Jump%20Shot%20(8%20PTS)", "Leonard 12' Jump Shot (8 PTS)")</f>
        <v>Leonard 12' Jump Shot (8 PTS)</v>
      </c>
      <c r="L3790" s="2" t="str">
        <f>HYPERLINK("https://www.nba.com/game/...-vs-...-0021401098/play-by-play?watchFullGame=true", "SAS vs MEM - Q2 03:32.00")</f>
        <v>SAS vs MEM - Q2 03:32.00</v>
      </c>
      <c r="M3790">
        <v>12</v>
      </c>
      <c r="N3790">
        <v>-123</v>
      </c>
      <c r="O3790">
        <v>6</v>
      </c>
      <c r="P3790">
        <v>-123</v>
      </c>
      <c r="Q3790">
        <v>6</v>
      </c>
      <c r="R3790" t="s">
        <v>21</v>
      </c>
      <c r="S3790" t="s">
        <v>21</v>
      </c>
    </row>
    <row r="3791" spans="1:19" hidden="1" x14ac:dyDescent="0.25">
      <c r="A3791">
        <v>41600311</v>
      </c>
      <c r="B3791" t="s">
        <v>18</v>
      </c>
      <c r="C3791" t="s">
        <v>37</v>
      </c>
      <c r="D3791">
        <v>50</v>
      </c>
      <c r="E3791">
        <v>32</v>
      </c>
      <c r="F3791">
        <v>18</v>
      </c>
      <c r="G3791">
        <v>2</v>
      </c>
      <c r="H3791" s="1">
        <v>2.4537037037037036E-3</v>
      </c>
      <c r="I3791" t="s">
        <v>58</v>
      </c>
      <c r="J3791" t="s">
        <v>20</v>
      </c>
      <c r="K3791" s="2" t="str">
        <f>HYPERLINK("https://www.nba.com/stats/events?CFID=&amp;CFPARAMS=&amp;GameEventID=237&amp;GameID=0041600311&amp;Season=2016-17&amp;flag=1&amp;title=Leonard%2012'%20Fadeaway%20Jumper%20(15%20PTS)", "Leonard 12' Fadeaway Jumper (15 PTS)")</f>
        <v>Leonard 12' Fadeaway Jumper (15 PTS)</v>
      </c>
      <c r="L3791" s="2" t="str">
        <f>HYPERLINK("https://www.nba.com/game/...-vs-...-0041600311/play-by-play?watchFullGame=true", "SAS vs GSW - Q2 03:32.00")</f>
        <v>SAS vs GSW - Q2 03:32.00</v>
      </c>
      <c r="M3791">
        <v>12</v>
      </c>
      <c r="N3791">
        <v>-12</v>
      </c>
      <c r="O3791">
        <v>120</v>
      </c>
      <c r="P3791">
        <v>-12</v>
      </c>
      <c r="Q3791">
        <v>120</v>
      </c>
      <c r="R3791" t="s">
        <v>21</v>
      </c>
      <c r="S3791" t="s">
        <v>21</v>
      </c>
    </row>
    <row r="3792" spans="1:19" hidden="1" x14ac:dyDescent="0.25">
      <c r="A3792">
        <v>21400249</v>
      </c>
      <c r="B3792" t="s">
        <v>18</v>
      </c>
      <c r="C3792" t="s">
        <v>39</v>
      </c>
      <c r="D3792">
        <v>53</v>
      </c>
      <c r="E3792">
        <v>33</v>
      </c>
      <c r="F3792">
        <v>20</v>
      </c>
      <c r="G3792">
        <v>2</v>
      </c>
      <c r="H3792" s="1">
        <v>2.5694444444444445E-3</v>
      </c>
      <c r="I3792">
        <v>2014</v>
      </c>
      <c r="J3792" t="s">
        <v>20</v>
      </c>
      <c r="K3792" s="2" t="str">
        <f>HYPERLINK("https://www.nba.com/stats/events?CFID=&amp;CFPARAMS=&amp;GameEventID=224&amp;GameID=0021400249&amp;Season=2014-15&amp;flag=1&amp;title=Leonard%2012'%20Step%20Back%20Jump%20Shot%20(15%20PTS)", "Leonard 12' Step Back Jump Shot (15 PTS)")</f>
        <v>Leonard 12' Step Back Jump Shot (15 PTS)</v>
      </c>
      <c r="L3792" s="2" t="str">
        <f>HYPERLINK("https://www.nba.com/game/...-vs-...-0021400249/play-by-play?watchFullGame=true", "SAS vs PHI - Q2 03:42.00")</f>
        <v>SAS vs PHI - Q2 03:42.00</v>
      </c>
      <c r="M3792">
        <v>12</v>
      </c>
      <c r="N3792">
        <v>-120</v>
      </c>
      <c r="O3792">
        <v>-13</v>
      </c>
      <c r="P3792">
        <v>-120</v>
      </c>
      <c r="Q3792">
        <v>-13</v>
      </c>
      <c r="R3792" t="s">
        <v>21</v>
      </c>
      <c r="S3792" t="s">
        <v>21</v>
      </c>
    </row>
    <row r="3793" spans="1:21" hidden="1" x14ac:dyDescent="0.25">
      <c r="A3793">
        <v>21800271</v>
      </c>
      <c r="B3793" t="s">
        <v>18</v>
      </c>
      <c r="C3793" t="s">
        <v>59</v>
      </c>
      <c r="D3793">
        <v>116</v>
      </c>
      <c r="E3793">
        <v>99</v>
      </c>
      <c r="F3793">
        <v>17</v>
      </c>
      <c r="G3793">
        <v>4</v>
      </c>
      <c r="H3793" s="1">
        <v>2.7199074074074074E-3</v>
      </c>
      <c r="I3793">
        <v>2018</v>
      </c>
      <c r="J3793" t="s">
        <v>48</v>
      </c>
      <c r="K3793" s="2" t="str">
        <f>HYPERLINK("https://www.nba.com/stats/events?CFID=&amp;CFPARAMS=&amp;GameEventID=638&amp;GameID=0021800271&amp;Season=2018-19&amp;flag=1&amp;title=Leonard%2012'%20Floating%20Jump%20Shot%20(27%20PTS)", "Leonard 12' Floating Jump Shot (27 PTS)")</f>
        <v>Leonard 12' Floating Jump Shot (27 PTS)</v>
      </c>
      <c r="L3793" s="2" t="str">
        <f>HYPERLINK("https://www.nba.com/game/...-vs-...-0021800271/play-by-play?watchFullGame=true", "TOR vs WAS - Q4 03:55.00")</f>
        <v>TOR vs WAS - Q4 03:55.00</v>
      </c>
      <c r="M3793">
        <v>12</v>
      </c>
      <c r="N3793">
        <v>-114</v>
      </c>
      <c r="O3793">
        <v>46</v>
      </c>
      <c r="P3793">
        <v>-114</v>
      </c>
      <c r="Q3793">
        <v>46</v>
      </c>
      <c r="R3793" t="s">
        <v>21</v>
      </c>
      <c r="S3793" t="s">
        <v>21</v>
      </c>
    </row>
    <row r="3794" spans="1:21" hidden="1" x14ac:dyDescent="0.25">
      <c r="A3794">
        <v>21801180</v>
      </c>
      <c r="B3794" t="s">
        <v>18</v>
      </c>
      <c r="C3794" t="s">
        <v>36</v>
      </c>
      <c r="D3794">
        <v>102</v>
      </c>
      <c r="E3794">
        <v>106</v>
      </c>
      <c r="F3794">
        <v>4</v>
      </c>
      <c r="G3794">
        <v>4</v>
      </c>
      <c r="H3794" s="1">
        <v>2.7893518518518519E-3</v>
      </c>
      <c r="I3794">
        <v>2018</v>
      </c>
      <c r="J3794" t="s">
        <v>48</v>
      </c>
      <c r="K3794" s="2" t="str">
        <f>HYPERLINK("https://www.nba.com/stats/events?CFID=&amp;CFPARAMS=&amp;GameEventID=558&amp;GameID=0021801180&amp;Season=2018-19&amp;flag=1&amp;title=Leonard%2012'%20Pullup%20Jump%20Shot%20(25%20PTS)", "Leonard 12' Pullup Jump Shot (25 PTS)")</f>
        <v>Leonard 12' Pullup Jump Shot (25 PTS)</v>
      </c>
      <c r="L3794" s="2" t="str">
        <f>HYPERLINK("https://www.nba.com/game/...-vs-...-0021801180/play-by-play?watchFullGame=true", "TOR vs CHA - Q4 04:01.00")</f>
        <v>TOR vs CHA - Q4 04:01.00</v>
      </c>
      <c r="M3794">
        <v>12</v>
      </c>
      <c r="N3794">
        <v>32</v>
      </c>
      <c r="O3794">
        <v>113</v>
      </c>
      <c r="P3794">
        <v>32</v>
      </c>
      <c r="Q3794">
        <v>113</v>
      </c>
      <c r="R3794" t="s">
        <v>21</v>
      </c>
      <c r="S3794" t="s">
        <v>21</v>
      </c>
    </row>
    <row r="3795" spans="1:21" hidden="1" x14ac:dyDescent="0.25">
      <c r="A3795">
        <v>21800069</v>
      </c>
      <c r="B3795" t="s">
        <v>18</v>
      </c>
      <c r="C3795" t="s">
        <v>38</v>
      </c>
      <c r="D3795">
        <v>89</v>
      </c>
      <c r="E3795">
        <v>84</v>
      </c>
      <c r="F3795">
        <v>5</v>
      </c>
      <c r="G3795">
        <v>3</v>
      </c>
      <c r="H3795" s="1">
        <v>2.8009259259259259E-3</v>
      </c>
      <c r="I3795">
        <v>2018</v>
      </c>
      <c r="J3795" t="s">
        <v>48</v>
      </c>
      <c r="K3795" s="2" t="str">
        <f>HYPERLINK("https://www.nba.com/stats/events?CFID=&amp;CFPARAMS=&amp;GameEventID=429&amp;GameID=0021800069&amp;Season=2018-19&amp;flag=1&amp;title=Leonard%2012'%20Turnaround%20Fadeaway%20(19%20PTS)%20(Lowry%2010%20AST)", "Leonard 12' Turnaround Fadeaway (19 PTS) (Lowry 10 AST)")</f>
        <v>Leonard 12' Turnaround Fadeaway (19 PTS) (Lowry 10 AST)</v>
      </c>
      <c r="L3795" s="2" t="str">
        <f>HYPERLINK("https://www.nba.com/game/...-vs-...-0021800069/play-by-play?watchFullGame=true", "TOR vs DAL - Q3 04:02.00")</f>
        <v>TOR vs DAL - Q3 04:02.00</v>
      </c>
      <c r="M3795">
        <v>12</v>
      </c>
      <c r="N3795">
        <v>-117</v>
      </c>
      <c r="O3795">
        <v>38</v>
      </c>
      <c r="P3795">
        <v>-117</v>
      </c>
      <c r="Q3795">
        <v>38</v>
      </c>
      <c r="R3795" t="s">
        <v>21</v>
      </c>
      <c r="S3795" t="s">
        <v>21</v>
      </c>
    </row>
    <row r="3796" spans="1:21" hidden="1" x14ac:dyDescent="0.25">
      <c r="A3796">
        <v>41300143</v>
      </c>
      <c r="B3796" t="s">
        <v>18</v>
      </c>
      <c r="C3796" t="s">
        <v>30</v>
      </c>
      <c r="D3796">
        <v>23</v>
      </c>
      <c r="E3796">
        <v>18</v>
      </c>
      <c r="F3796">
        <v>5</v>
      </c>
      <c r="G3796">
        <v>1</v>
      </c>
      <c r="H3796" s="1">
        <v>2.9166666666666668E-3</v>
      </c>
      <c r="I3796" t="s">
        <v>55</v>
      </c>
      <c r="J3796" t="s">
        <v>20</v>
      </c>
      <c r="K3796" s="2" t="str">
        <f>HYPERLINK("https://www.nba.com/stats/events?CFID=&amp;CFPARAMS=&amp;GameEventID=69&amp;GameID=0041300143&amp;Season=2013-14&amp;flag=1&amp;title=Leonard%2012'%20Running%20Jump%20Shot%20(2%20PTS)", "Leonard 12' Running Jump Shot (2 PTS)")</f>
        <v>Leonard 12' Running Jump Shot (2 PTS)</v>
      </c>
      <c r="L3796" s="2" t="str">
        <f>HYPERLINK("https://www.nba.com/game/...-vs-...-0041300143/play-by-play?watchFullGame=true", "SAS vs DAL - Q1 04:12.00")</f>
        <v>SAS vs DAL - Q1 04:12.00</v>
      </c>
      <c r="M3796">
        <v>12</v>
      </c>
      <c r="N3796">
        <v>4</v>
      </c>
      <c r="O3796">
        <v>115</v>
      </c>
      <c r="P3796">
        <v>4</v>
      </c>
      <c r="Q3796">
        <v>115</v>
      </c>
      <c r="R3796" t="s">
        <v>21</v>
      </c>
      <c r="S3796" t="s">
        <v>21</v>
      </c>
    </row>
    <row r="3797" spans="1:21" hidden="1" x14ac:dyDescent="0.25">
      <c r="A3797">
        <v>21401181</v>
      </c>
      <c r="B3797" t="s">
        <v>18</v>
      </c>
      <c r="C3797" t="s">
        <v>34</v>
      </c>
      <c r="D3797">
        <v>12</v>
      </c>
      <c r="E3797">
        <v>21</v>
      </c>
      <c r="F3797">
        <v>9</v>
      </c>
      <c r="G3797">
        <v>1</v>
      </c>
      <c r="H3797" s="1">
        <v>2.9513888888888888E-3</v>
      </c>
      <c r="I3797">
        <v>2014</v>
      </c>
      <c r="J3797" t="s">
        <v>20</v>
      </c>
      <c r="K3797" s="2" t="str">
        <f>HYPERLINK("https://www.nba.com/stats/events?CFID=&amp;CFPARAMS=&amp;GameEventID=92&amp;GameID=0021401181&amp;Season=2014-15&amp;flag=1&amp;title=Leonard%2012'%20Turnaround%20Jump%20Shot%20(2%20PTS)", "Leonard 12' Turnaround Jump Shot (2 PTS)")</f>
        <v>Leonard 12' Turnaround Jump Shot (2 PTS)</v>
      </c>
      <c r="L3797" s="2" t="str">
        <f>HYPERLINK("https://www.nba.com/game/...-vs-...-0021401181/play-by-play?watchFullGame=true", "SAS vs HOU - Q1 04:15.00")</f>
        <v>SAS vs HOU - Q1 04:15.00</v>
      </c>
      <c r="M3797">
        <v>12</v>
      </c>
      <c r="N3797">
        <v>-120</v>
      </c>
      <c r="O3797">
        <v>30</v>
      </c>
      <c r="P3797">
        <v>-120</v>
      </c>
      <c r="Q3797">
        <v>30</v>
      </c>
      <c r="R3797" t="s">
        <v>21</v>
      </c>
      <c r="S3797" t="s">
        <v>21</v>
      </c>
    </row>
    <row r="3798" spans="1:21" hidden="1" x14ac:dyDescent="0.25">
      <c r="A3798">
        <v>21500872</v>
      </c>
      <c r="B3798" t="s">
        <v>18</v>
      </c>
      <c r="C3798" t="s">
        <v>45</v>
      </c>
      <c r="D3798">
        <v>14</v>
      </c>
      <c r="E3798">
        <v>7</v>
      </c>
      <c r="F3798">
        <v>7</v>
      </c>
      <c r="G3798">
        <v>1</v>
      </c>
      <c r="H3798" s="1">
        <v>3.0208333333333333E-3</v>
      </c>
      <c r="I3798">
        <v>2015</v>
      </c>
      <c r="J3798" t="s">
        <v>20</v>
      </c>
      <c r="K3798" s="2" t="str">
        <f>HYPERLINK("https://www.nba.com/stats/events?CFID=&amp;CFPARAMS=&amp;GameEventID=66&amp;GameID=0021500872&amp;Season=2015-16&amp;flag=1&amp;title=Leonard%2012'%20Pullup%20Bank%20Shot%20(4%20PTS)", "Leonard 12' Pullup Bank Shot (4 PTS)")</f>
        <v>Leonard 12' Pullup Bank Shot (4 PTS)</v>
      </c>
      <c r="L3798" s="2" t="str">
        <f>HYPERLINK("https://www.nba.com/game/...-vs-...-0021500872/play-by-play?watchFullGame=true", "SAS vs HOU - Q1 04:21.00")</f>
        <v>SAS vs HOU - Q1 04:21.00</v>
      </c>
      <c r="M3798">
        <v>12</v>
      </c>
      <c r="N3798">
        <v>-117</v>
      </c>
      <c r="O3798">
        <v>36</v>
      </c>
      <c r="P3798">
        <v>-117</v>
      </c>
      <c r="Q3798">
        <v>36</v>
      </c>
      <c r="R3798" t="s">
        <v>21</v>
      </c>
      <c r="S3798" t="s">
        <v>21</v>
      </c>
    </row>
    <row r="3799" spans="1:21" hidden="1" x14ac:dyDescent="0.25">
      <c r="A3799">
        <v>41600151</v>
      </c>
      <c r="B3799" t="s">
        <v>18</v>
      </c>
      <c r="C3799" t="s">
        <v>36</v>
      </c>
      <c r="D3799">
        <v>11</v>
      </c>
      <c r="E3799">
        <v>22</v>
      </c>
      <c r="F3799">
        <v>11</v>
      </c>
      <c r="G3799">
        <v>1</v>
      </c>
      <c r="H3799" s="1">
        <v>3.0902777777777777E-3</v>
      </c>
      <c r="I3799" t="s">
        <v>58</v>
      </c>
      <c r="J3799" t="s">
        <v>20</v>
      </c>
      <c r="K3799" s="2" t="str">
        <f>HYPERLINK("https://www.nba.com/stats/events?CFID=&amp;CFPARAMS=&amp;GameEventID=56&amp;GameID=0041600151&amp;Season=2016-17&amp;flag=1&amp;title=Leonard%2012'%20Pullup%20Jump%20Shot%20(7%20PTS)", "Leonard 12' Pullup Jump Shot (7 PTS)")</f>
        <v>Leonard 12' Pullup Jump Shot (7 PTS)</v>
      </c>
      <c r="L3799" s="2" t="str">
        <f>HYPERLINK("https://www.nba.com/game/...-vs-...-0041600151/play-by-play?watchFullGame=true", "SAS vs MEM - Q1 04:27.00")</f>
        <v>SAS vs MEM - Q1 04:27.00</v>
      </c>
      <c r="M3799">
        <v>12</v>
      </c>
      <c r="N3799">
        <v>109</v>
      </c>
      <c r="O3799">
        <v>61</v>
      </c>
      <c r="P3799">
        <v>109</v>
      </c>
      <c r="Q3799">
        <v>61</v>
      </c>
      <c r="R3799" t="s">
        <v>21</v>
      </c>
      <c r="S3799" t="s">
        <v>21</v>
      </c>
    </row>
    <row r="3800" spans="1:21" hidden="1" x14ac:dyDescent="0.25">
      <c r="A3800">
        <v>21601135</v>
      </c>
      <c r="B3800" t="s">
        <v>18</v>
      </c>
      <c r="C3800" t="s">
        <v>34</v>
      </c>
      <c r="D3800">
        <v>55</v>
      </c>
      <c r="E3800">
        <v>70</v>
      </c>
      <c r="F3800">
        <v>15</v>
      </c>
      <c r="G3800">
        <v>3</v>
      </c>
      <c r="H3800" s="1">
        <v>3.1481481481481482E-3</v>
      </c>
      <c r="I3800">
        <v>2016</v>
      </c>
      <c r="J3800" t="s">
        <v>20</v>
      </c>
      <c r="K3800" s="2" t="str">
        <f>HYPERLINK("https://www.nba.com/stats/events?CFID=&amp;CFPARAMS=&amp;GameEventID=365&amp;GameID=0021601135&amp;Season=2016-17&amp;flag=1&amp;title=Leonard%2012'%20Turnaround%20Jump%20Shot%20(12%20PTS)", "Leonard 12' Turnaround Jump Shot (12 PTS)")</f>
        <v>Leonard 12' Turnaround Jump Shot (12 PTS)</v>
      </c>
      <c r="L3800" s="2" t="str">
        <f>HYPERLINK("https://www.nba.com/game/...-vs-...-0021601135/play-by-play?watchFullGame=true", "SAS vs OKC - Q3 04:32.00")</f>
        <v>SAS vs OKC - Q3 04:32.00</v>
      </c>
      <c r="M3800">
        <v>12</v>
      </c>
      <c r="N3800">
        <v>99</v>
      </c>
      <c r="O3800">
        <v>61</v>
      </c>
      <c r="P3800">
        <v>99</v>
      </c>
      <c r="Q3800">
        <v>61</v>
      </c>
      <c r="R3800" t="s">
        <v>21</v>
      </c>
      <c r="S3800" t="s">
        <v>21</v>
      </c>
    </row>
    <row r="3801" spans="1:21" hidden="1" x14ac:dyDescent="0.25">
      <c r="A3801">
        <v>41600156</v>
      </c>
      <c r="B3801" t="s">
        <v>18</v>
      </c>
      <c r="C3801" t="s">
        <v>42</v>
      </c>
      <c r="D3801">
        <v>37</v>
      </c>
      <c r="E3801">
        <v>37</v>
      </c>
      <c r="F3801">
        <v>0</v>
      </c>
      <c r="G3801">
        <v>2</v>
      </c>
      <c r="H3801" s="1">
        <v>3.2060185185185186E-3</v>
      </c>
      <c r="I3801" t="s">
        <v>58</v>
      </c>
      <c r="J3801" t="s">
        <v>20</v>
      </c>
      <c r="K3801" s="2" t="str">
        <f>HYPERLINK("https://www.nba.com/stats/events?CFID=&amp;CFPARAMS=&amp;GameEventID=164&amp;GameID=0041600156&amp;Season=2016-17&amp;flag=1&amp;title=Leonard%2012'%20Driving%20Floating%20Jump%20Shot%20(10%20PTS)", "Leonard 12' Driving Floating Jump Shot (10 PTS)")</f>
        <v>Leonard 12' Driving Floating Jump Shot (10 PTS)</v>
      </c>
      <c r="L3801" s="2" t="str">
        <f>HYPERLINK("https://www.nba.com/game/...-vs-...-0041600156/play-by-play?watchFullGame=true", "SAS vs MEM - Q2 04:37.00")</f>
        <v>SAS vs MEM - Q2 04:37.00</v>
      </c>
      <c r="M3801">
        <v>12</v>
      </c>
      <c r="N3801">
        <v>89</v>
      </c>
      <c r="O3801">
        <v>77</v>
      </c>
      <c r="P3801">
        <v>89</v>
      </c>
      <c r="Q3801">
        <v>77</v>
      </c>
      <c r="R3801" t="s">
        <v>21</v>
      </c>
      <c r="S3801" t="s">
        <v>21</v>
      </c>
    </row>
    <row r="3802" spans="1:21" hidden="1" x14ac:dyDescent="0.25">
      <c r="A3802">
        <v>21600801</v>
      </c>
      <c r="B3802" t="s">
        <v>18</v>
      </c>
      <c r="C3802" t="s">
        <v>19</v>
      </c>
      <c r="D3802">
        <v>72</v>
      </c>
      <c r="E3802">
        <v>55</v>
      </c>
      <c r="F3802">
        <v>17</v>
      </c>
      <c r="G3802">
        <v>3</v>
      </c>
      <c r="H3802" s="1">
        <v>3.2523148148148147E-3</v>
      </c>
      <c r="I3802">
        <v>2016</v>
      </c>
      <c r="J3802" t="s">
        <v>20</v>
      </c>
      <c r="K3802" s="2" t="str">
        <f>HYPERLINK("https://www.nba.com/stats/events?CFID=&amp;CFPARAMS=&amp;GameEventID=297&amp;GameID=0021600801&amp;Season=2016-17&amp;flag=1&amp;title=Leonard%2012'%20Jump%20Shot%20(23%20PTS)%20(Lee%202%20AST)", "Leonard 12' Jump Shot (23 PTS) (Lee 2 AST)")</f>
        <v>Leonard 12' Jump Shot (23 PTS) (Lee 2 AST)</v>
      </c>
      <c r="L3802" s="2" t="str">
        <f>HYPERLINK("https://www.nba.com/game/...-vs-...-0021600801/play-by-play?watchFullGame=true", "SAS vs DET - Q3 04:41.00")</f>
        <v>SAS vs DET - Q3 04:41.00</v>
      </c>
      <c r="M3802">
        <v>12</v>
      </c>
      <c r="N3802">
        <v>0</v>
      </c>
      <c r="O3802">
        <v>121</v>
      </c>
      <c r="P3802">
        <v>0</v>
      </c>
      <c r="Q3802">
        <v>121</v>
      </c>
      <c r="R3802" t="s">
        <v>21</v>
      </c>
      <c r="S3802" t="s">
        <v>21</v>
      </c>
    </row>
    <row r="3803" spans="1:21" hidden="1" x14ac:dyDescent="0.25">
      <c r="A3803">
        <v>21300888</v>
      </c>
      <c r="B3803" t="s">
        <v>18</v>
      </c>
      <c r="C3803" t="s">
        <v>19</v>
      </c>
      <c r="D3803">
        <v>14</v>
      </c>
      <c r="E3803">
        <v>8</v>
      </c>
      <c r="F3803">
        <v>6</v>
      </c>
      <c r="G3803">
        <v>1</v>
      </c>
      <c r="H3803" s="1">
        <v>3.460648148148148E-3</v>
      </c>
      <c r="I3803">
        <v>2013</v>
      </c>
      <c r="J3803" t="s">
        <v>20</v>
      </c>
      <c r="K3803" s="2" t="str">
        <f>HYPERLINK("https://www.nba.com/stats/events?CFID=&amp;CFPARAMS=&amp;GameEventID=65&amp;GameID=0021300888&amp;Season=2013-14&amp;flag=1&amp;title=Leonard%2012'%20Jump%20Shot%20(5%20PTS)%20(Ginobili%201%20AST)", "Leonard 12' Jump Shot (5 PTS) (Ginobili 1 AST)")</f>
        <v>Leonard 12' Jump Shot (5 PTS) (Ginobili 1 AST)</v>
      </c>
      <c r="L3803" s="2" t="str">
        <f>HYPERLINK("https://www.nba.com/game/...-vs-...-0021300888/play-by-play?watchFullGame=true", "SAS vs DAL - Q1 04:59.00")</f>
        <v>SAS vs DAL - Q1 04:59.00</v>
      </c>
      <c r="M3803">
        <v>12</v>
      </c>
      <c r="N3803">
        <v>118</v>
      </c>
      <c r="O3803">
        <v>-3</v>
      </c>
      <c r="P3803">
        <v>118</v>
      </c>
      <c r="Q3803">
        <v>-3</v>
      </c>
      <c r="R3803" t="s">
        <v>21</v>
      </c>
      <c r="S3803" t="s">
        <v>21</v>
      </c>
    </row>
    <row r="3804" spans="1:21" hidden="1" x14ac:dyDescent="0.25">
      <c r="A3804">
        <v>21400964</v>
      </c>
      <c r="B3804" t="s">
        <v>18</v>
      </c>
      <c r="C3804" t="s">
        <v>36</v>
      </c>
      <c r="D3804">
        <v>77</v>
      </c>
      <c r="E3804">
        <v>71</v>
      </c>
      <c r="F3804">
        <v>6</v>
      </c>
      <c r="G3804">
        <v>3</v>
      </c>
      <c r="H3804" s="1">
        <v>3.4837962962962965E-3</v>
      </c>
      <c r="I3804">
        <v>2014</v>
      </c>
      <c r="J3804" t="s">
        <v>20</v>
      </c>
      <c r="K3804" s="2" t="str">
        <f>HYPERLINK("https://www.nba.com/stats/events?CFID=&amp;CFPARAMS=&amp;GameEventID=323&amp;GameID=0021400964&amp;Season=2014-15&amp;flag=1&amp;title=Leonard%2012'%20Pullup%20Jump%20Shot%20(18%20PTS)%20(Ginobili%202%20AST)", "Leonard 12' Pullup Jump Shot (18 PTS) (Ginobili 2 AST)")</f>
        <v>Leonard 12' Pullup Jump Shot (18 PTS) (Ginobili 2 AST)</v>
      </c>
      <c r="L3804" s="2" t="str">
        <f>HYPERLINK("https://www.nba.com/game/...-vs-...-0021400964/play-by-play?watchFullGame=true", "SAS vs CLE - Q3 05:01.00")</f>
        <v>SAS vs CLE - Q3 05:01.00</v>
      </c>
      <c r="M3804">
        <v>12</v>
      </c>
      <c r="N3804">
        <v>-95</v>
      </c>
      <c r="O3804">
        <v>69</v>
      </c>
      <c r="P3804">
        <v>-95</v>
      </c>
      <c r="Q3804">
        <v>69</v>
      </c>
      <c r="R3804" t="s">
        <v>21</v>
      </c>
      <c r="S3804" t="s">
        <v>21</v>
      </c>
    </row>
    <row r="3805" spans="1:21" hidden="1" x14ac:dyDescent="0.25">
      <c r="A3805">
        <v>21500784</v>
      </c>
      <c r="B3805" t="s">
        <v>18</v>
      </c>
      <c r="C3805" t="s">
        <v>39</v>
      </c>
      <c r="D3805">
        <v>108</v>
      </c>
      <c r="E3805">
        <v>90</v>
      </c>
      <c r="F3805">
        <v>18</v>
      </c>
      <c r="G3805">
        <v>4</v>
      </c>
      <c r="H3805" s="1">
        <v>3.5532407407407409E-3</v>
      </c>
      <c r="I3805">
        <v>2015</v>
      </c>
      <c r="J3805" t="s">
        <v>20</v>
      </c>
      <c r="K3805" s="2" t="str">
        <f>HYPERLINK("https://www.nba.com/stats/events?CFID=&amp;CFPARAMS=&amp;GameEventID=476&amp;GameID=0021500784&amp;Season=2015-16&amp;flag=1&amp;title=Leonard%2012'%20Step%20Back%20Jump%20Shot%20(23%20PTS)", "Leonard 12' Step Back Jump Shot (23 PTS)")</f>
        <v>Leonard 12' Step Back Jump Shot (23 PTS)</v>
      </c>
      <c r="L3805" s="2" t="str">
        <f>HYPERLINK("https://www.nba.com/game/...-vs-...-0021500784/play-by-play?watchFullGame=true", "SAS vs MIA - Q4 05:07.00")</f>
        <v>SAS vs MIA - Q4 05:07.00</v>
      </c>
      <c r="M3805">
        <v>12</v>
      </c>
      <c r="N3805">
        <v>-115</v>
      </c>
      <c r="O3805">
        <v>7</v>
      </c>
      <c r="P3805">
        <v>-115</v>
      </c>
      <c r="Q3805">
        <v>7</v>
      </c>
      <c r="R3805" t="s">
        <v>21</v>
      </c>
      <c r="S3805" t="s">
        <v>21</v>
      </c>
    </row>
    <row r="3806" spans="1:21" hidden="1" x14ac:dyDescent="0.25">
      <c r="A3806">
        <v>21800961</v>
      </c>
      <c r="B3806" t="s">
        <v>18</v>
      </c>
      <c r="C3806" t="s">
        <v>36</v>
      </c>
      <c r="D3806">
        <v>82</v>
      </c>
      <c r="E3806">
        <v>94</v>
      </c>
      <c r="F3806">
        <v>12</v>
      </c>
      <c r="G3806">
        <v>4</v>
      </c>
      <c r="H3806" s="1">
        <v>3.7731481481481483E-3</v>
      </c>
      <c r="I3806">
        <v>2018</v>
      </c>
      <c r="J3806" t="s">
        <v>48</v>
      </c>
      <c r="K3806" s="2" t="str">
        <f>HYPERLINK("https://www.nba.com/stats/events?CFID=&amp;CFPARAMS=&amp;GameEventID=552&amp;GameID=0021800961&amp;Season=2018-19&amp;flag=1&amp;title=Leonard%2012'%20Pullup%20Jump%20Shot%20(18%20PTS)", "Leonard 12' Pullup Jump Shot (18 PTS)")</f>
        <v>Leonard 12' Pullup Jump Shot (18 PTS)</v>
      </c>
      <c r="L3806" s="2" t="str">
        <f>HYPERLINK("https://www.nba.com/game/...-vs-...-0021800961/play-by-play?watchFullGame=true", "TOR vs HOU - Q4 05:26.00")</f>
        <v>TOR vs HOU - Q4 05:26.00</v>
      </c>
      <c r="M3806">
        <v>12</v>
      </c>
      <c r="N3806">
        <v>-43</v>
      </c>
      <c r="O3806">
        <v>109</v>
      </c>
      <c r="P3806">
        <v>-43</v>
      </c>
      <c r="Q3806">
        <v>109</v>
      </c>
      <c r="R3806" t="s">
        <v>21</v>
      </c>
      <c r="S3806" t="s">
        <v>21</v>
      </c>
    </row>
    <row r="3807" spans="1:21" hidden="1" x14ac:dyDescent="0.25">
      <c r="A3807">
        <v>21600272</v>
      </c>
      <c r="B3807" t="s">
        <v>18</v>
      </c>
      <c r="C3807" t="s">
        <v>37</v>
      </c>
      <c r="D3807">
        <v>76</v>
      </c>
      <c r="E3807">
        <v>79</v>
      </c>
      <c r="F3807">
        <v>3</v>
      </c>
      <c r="G3807">
        <v>4</v>
      </c>
      <c r="H3807" s="1">
        <v>3.8310185185185183E-3</v>
      </c>
      <c r="I3807">
        <v>2016</v>
      </c>
      <c r="J3807" t="s">
        <v>20</v>
      </c>
      <c r="K3807" s="2" t="str">
        <f>HYPERLINK("https://www.nba.com/stats/events?CFID=&amp;CFPARAMS=&amp;GameEventID=441&amp;GameID=0021600272&amp;Season=2016-17&amp;flag=1&amp;title=Leonard%2012'%20Fadeaway%20Jumper%20(16%20PTS)", "Leonard 12' Fadeaway Jumper (16 PTS)")</f>
        <v>Leonard 12' Fadeaway Jumper (16 PTS)</v>
      </c>
      <c r="L3807" s="2" t="str">
        <f>HYPERLINK("https://www.nba.com/game/...-vs-...-0021600272/play-by-play?watchFullGame=true", "SAS vs DAL - Q4 05:31.00")</f>
        <v>SAS vs DAL - Q4 05:31.00</v>
      </c>
      <c r="M3807">
        <v>12</v>
      </c>
      <c r="N3807">
        <v>101</v>
      </c>
      <c r="O3807">
        <v>70</v>
      </c>
      <c r="P3807">
        <v>101</v>
      </c>
      <c r="Q3807">
        <v>70</v>
      </c>
      <c r="R3807" t="s">
        <v>21</v>
      </c>
      <c r="S3807" t="s">
        <v>21</v>
      </c>
    </row>
    <row r="3808" spans="1:21" hidden="1" x14ac:dyDescent="0.25">
      <c r="A3808" s="3">
        <v>21601209</v>
      </c>
      <c r="B3808" s="3" t="s">
        <v>18</v>
      </c>
      <c r="C3808" s="3" t="s">
        <v>38</v>
      </c>
      <c r="D3808" s="3">
        <v>65</v>
      </c>
      <c r="E3808" s="3">
        <v>60</v>
      </c>
      <c r="F3808" s="3">
        <v>5</v>
      </c>
      <c r="G3808" s="3">
        <v>3</v>
      </c>
      <c r="H3808" s="4">
        <v>3.8657407407407408E-3</v>
      </c>
      <c r="I3808" s="3">
        <v>2016</v>
      </c>
      <c r="J3808" s="3" t="s">
        <v>20</v>
      </c>
      <c r="K3808" s="5" t="str">
        <f>HYPERLINK("https://www.nba.com/stats/events?CFID=&amp;CFPARAMS=&amp;GameEventID=304&amp;GameID=0021601209&amp;Season=2016-17&amp;flag=1&amp;title=Leonard%2012'%20Turnaround%20Fadeaway%20(18%20PTS)%20(Parker%204%20AST)", "Leonard 12' Turnaround Fadeaway (18 PTS) (Parker 4 AST)")</f>
        <v>Leonard 12' Turnaround Fadeaway (18 PTS) (Parker 4 AST)</v>
      </c>
      <c r="L3808" s="5" t="str">
        <f>HYPERLINK("https://www.nba.com/game/...-vs-...-0021601209/play-by-play?watchFullGame=true", "SAS vs POR - Q3 05:34.00")</f>
        <v>SAS vs POR - Q3 05:34.00</v>
      </c>
      <c r="M3808" s="3">
        <v>12</v>
      </c>
      <c r="N3808" s="3">
        <v>-115</v>
      </c>
      <c r="O3808" s="3">
        <v>11</v>
      </c>
      <c r="P3808" s="3">
        <v>-115</v>
      </c>
      <c r="Q3808" s="3">
        <v>11</v>
      </c>
      <c r="R3808" s="3" t="s">
        <v>21</v>
      </c>
      <c r="S3808" s="3" t="s">
        <v>21</v>
      </c>
      <c r="T3808" s="3"/>
      <c r="U3808" s="3"/>
    </row>
    <row r="3809" spans="1:21" hidden="1" x14ac:dyDescent="0.25">
      <c r="A3809">
        <v>21600240</v>
      </c>
      <c r="B3809" t="s">
        <v>18</v>
      </c>
      <c r="C3809" t="s">
        <v>19</v>
      </c>
      <c r="D3809">
        <v>71</v>
      </c>
      <c r="E3809">
        <v>62</v>
      </c>
      <c r="F3809">
        <v>9</v>
      </c>
      <c r="G3809">
        <v>3</v>
      </c>
      <c r="H3809" s="1">
        <v>3.8657407407407408E-3</v>
      </c>
      <c r="I3809">
        <v>2016</v>
      </c>
      <c r="J3809" t="s">
        <v>20</v>
      </c>
      <c r="K3809" s="2" t="str">
        <f>HYPERLINK("https://www.nba.com/stats/events?CFID=&amp;CFPARAMS=&amp;GameEventID=334&amp;GameID=0021600240&amp;Season=2016-17&amp;flag=1&amp;title=Leonard%2012'%20Jump%20Shot%20(14%20PTS)", "Leonard 12' Jump Shot (14 PTS)")</f>
        <v>Leonard 12' Jump Shot (14 PTS)</v>
      </c>
      <c r="L3809" s="2" t="str">
        <f>HYPERLINK("https://www.nba.com/game/...-vs-...-0021600240/play-by-play?watchFullGame=true", "SAS vs WAS - Q3 05:34.00")</f>
        <v>SAS vs WAS - Q3 05:34.00</v>
      </c>
      <c r="M3809">
        <v>12</v>
      </c>
      <c r="N3809">
        <v>48</v>
      </c>
      <c r="O3809">
        <v>110</v>
      </c>
      <c r="P3809">
        <v>48</v>
      </c>
      <c r="Q3809">
        <v>110</v>
      </c>
      <c r="R3809" t="s">
        <v>21</v>
      </c>
      <c r="S3809" t="s">
        <v>21</v>
      </c>
    </row>
    <row r="3810" spans="1:21" hidden="1" x14ac:dyDescent="0.25">
      <c r="A3810">
        <v>21400624</v>
      </c>
      <c r="B3810" t="s">
        <v>18</v>
      </c>
      <c r="C3810" t="s">
        <v>59</v>
      </c>
      <c r="D3810">
        <v>66</v>
      </c>
      <c r="E3810">
        <v>62</v>
      </c>
      <c r="F3810">
        <v>4</v>
      </c>
      <c r="G3810">
        <v>3</v>
      </c>
      <c r="H3810" s="1">
        <v>4.0393518518518521E-3</v>
      </c>
      <c r="I3810">
        <v>2014</v>
      </c>
      <c r="J3810" t="s">
        <v>20</v>
      </c>
      <c r="K3810" s="2" t="str">
        <f>HYPERLINK("https://www.nba.com/stats/events?CFID=&amp;CFPARAMS=&amp;GameEventID=322&amp;GameID=0021400624&amp;Season=2014-15&amp;flag=1&amp;title=Leonard%2012'%20Floating%20Jump%20Shot%20(9%20PTS)%20(Ginobili%203%20AST)", "Leonard 12' Floating Jump Shot (9 PTS) (Ginobili 3 AST)")</f>
        <v>Leonard 12' Floating Jump Shot (9 PTS) (Ginobili 3 AST)</v>
      </c>
      <c r="L3810" s="2" t="str">
        <f>HYPERLINK("https://www.nba.com/game/...-vs-...-0021400624/play-by-play?watchFullGame=true", "SAS vs DEN - Q3 05:49.00")</f>
        <v>SAS vs DEN - Q3 05:49.00</v>
      </c>
      <c r="M3810">
        <v>12</v>
      </c>
      <c r="N3810">
        <v>99</v>
      </c>
      <c r="O3810">
        <v>64</v>
      </c>
      <c r="P3810">
        <v>99</v>
      </c>
      <c r="Q3810">
        <v>64</v>
      </c>
      <c r="R3810" t="s">
        <v>21</v>
      </c>
      <c r="S3810" t="s">
        <v>21</v>
      </c>
    </row>
    <row r="3811" spans="1:21" hidden="1" x14ac:dyDescent="0.25">
      <c r="A3811">
        <v>41800112</v>
      </c>
      <c r="B3811" t="s">
        <v>18</v>
      </c>
      <c r="C3811" t="s">
        <v>36</v>
      </c>
      <c r="D3811">
        <v>18</v>
      </c>
      <c r="E3811">
        <v>5</v>
      </c>
      <c r="F3811">
        <v>13</v>
      </c>
      <c r="G3811">
        <v>1</v>
      </c>
      <c r="H3811" s="1">
        <v>4.0625000000000001E-3</v>
      </c>
      <c r="I3811" t="s">
        <v>60</v>
      </c>
      <c r="J3811" t="s">
        <v>48</v>
      </c>
      <c r="K3811" s="2" t="str">
        <f>HYPERLINK("https://www.nba.com/stats/events?CFID=&amp;CFPARAMS=&amp;GameEventID=89&amp;GameID=0041800112&amp;Season=2018-19&amp;flag=1&amp;title=Leonard%2012'%20Pullup%20Jump%20Shot%20(10%20PTS)", "Leonard 12' Pullup Jump Shot (10 PTS)")</f>
        <v>Leonard 12' Pullup Jump Shot (10 PTS)</v>
      </c>
      <c r="L3811" s="2" t="str">
        <f>HYPERLINK("https://www.nba.com/game/...-vs-...-0041800112/play-by-play?watchFullGame=true", "TOR vs ORL - Q1 05:51.00")</f>
        <v>TOR vs ORL - Q1 05:51.00</v>
      </c>
      <c r="M3811">
        <v>12</v>
      </c>
      <c r="N3811">
        <v>-13</v>
      </c>
      <c r="O3811">
        <v>120</v>
      </c>
      <c r="P3811">
        <v>-13</v>
      </c>
      <c r="Q3811">
        <v>120</v>
      </c>
      <c r="R3811" t="s">
        <v>21</v>
      </c>
      <c r="S3811" t="s">
        <v>21</v>
      </c>
    </row>
    <row r="3812" spans="1:21" hidden="1" x14ac:dyDescent="0.25">
      <c r="A3812">
        <v>21800442</v>
      </c>
      <c r="B3812" t="s">
        <v>18</v>
      </c>
      <c r="C3812" t="s">
        <v>36</v>
      </c>
      <c r="D3812">
        <v>62</v>
      </c>
      <c r="E3812">
        <v>54</v>
      </c>
      <c r="F3812">
        <v>8</v>
      </c>
      <c r="G3812">
        <v>3</v>
      </c>
      <c r="H3812" s="1">
        <v>4.1087962962962962E-3</v>
      </c>
      <c r="I3812">
        <v>2018</v>
      </c>
      <c r="J3812" t="s">
        <v>48</v>
      </c>
      <c r="K3812" s="2" t="str">
        <f>HYPERLINK("https://www.nba.com/stats/events?CFID=&amp;CFPARAMS=&amp;GameEventID=342&amp;GameID=0021800442&amp;Season=2018-19&amp;flag=1&amp;title=Leonard%2012'%20Pullup%20Jump%20Shot%20(18%20PTS)", "Leonard 12' Pullup Jump Shot (18 PTS)")</f>
        <v>Leonard 12' Pullup Jump Shot (18 PTS)</v>
      </c>
      <c r="L3812" s="2" t="str">
        <f>HYPERLINK("https://www.nba.com/game/...-vs-...-0021800442/play-by-play?watchFullGame=true", "TOR vs DEN - Q3 05:55.00")</f>
        <v>TOR vs DEN - Q3 05:55.00</v>
      </c>
      <c r="M3812">
        <v>12</v>
      </c>
      <c r="N3812">
        <v>116</v>
      </c>
      <c r="O3812">
        <v>21</v>
      </c>
      <c r="P3812">
        <v>116</v>
      </c>
      <c r="Q3812">
        <v>21</v>
      </c>
      <c r="R3812" t="s">
        <v>21</v>
      </c>
      <c r="S3812" t="s">
        <v>21</v>
      </c>
    </row>
    <row r="3813" spans="1:21" hidden="1" x14ac:dyDescent="0.25">
      <c r="A3813">
        <v>21601033</v>
      </c>
      <c r="B3813" t="s">
        <v>18</v>
      </c>
      <c r="C3813" t="s">
        <v>19</v>
      </c>
      <c r="D3813">
        <v>10</v>
      </c>
      <c r="E3813">
        <v>8</v>
      </c>
      <c r="F3813">
        <v>2</v>
      </c>
      <c r="G3813">
        <v>1</v>
      </c>
      <c r="H3813" s="1">
        <v>4.2013888888888891E-3</v>
      </c>
      <c r="I3813">
        <v>2016</v>
      </c>
      <c r="J3813" t="s">
        <v>20</v>
      </c>
      <c r="K3813" s="2" t="str">
        <f>HYPERLINK("https://www.nba.com/stats/events?CFID=&amp;CFPARAMS=&amp;GameEventID=48&amp;GameID=0021601033&amp;Season=2016-17&amp;flag=1&amp;title=Leonard%2012'%20Jump%20Shot%20(4%20PTS)", "Leonard 12' Jump Shot (4 PTS)")</f>
        <v>Leonard 12' Jump Shot (4 PTS)</v>
      </c>
      <c r="L3813" s="2" t="str">
        <f>HYPERLINK("https://www.nba.com/game/...-vs-...-0021601033/play-by-play?watchFullGame=true", "SAS vs MEM - Q1 06:03.00")</f>
        <v>SAS vs MEM - Q1 06:03.00</v>
      </c>
      <c r="M3813">
        <v>12</v>
      </c>
      <c r="N3813">
        <v>-115</v>
      </c>
      <c r="O3813">
        <v>8</v>
      </c>
      <c r="P3813">
        <v>-115</v>
      </c>
      <c r="Q3813">
        <v>8</v>
      </c>
      <c r="R3813" t="s">
        <v>21</v>
      </c>
      <c r="S3813" t="s">
        <v>21</v>
      </c>
    </row>
    <row r="3814" spans="1:21" hidden="1" x14ac:dyDescent="0.25">
      <c r="A3814">
        <v>21500939</v>
      </c>
      <c r="B3814" t="s">
        <v>18</v>
      </c>
      <c r="C3814" t="s">
        <v>61</v>
      </c>
      <c r="D3814">
        <v>78</v>
      </c>
      <c r="E3814">
        <v>86</v>
      </c>
      <c r="F3814">
        <v>8</v>
      </c>
      <c r="G3814">
        <v>4</v>
      </c>
      <c r="H3814" s="1">
        <v>4.3287037037037035E-3</v>
      </c>
      <c r="I3814">
        <v>2015</v>
      </c>
      <c r="J3814" t="s">
        <v>20</v>
      </c>
      <c r="K3814" s="2" t="str">
        <f>HYPERLINK("https://www.nba.com/stats/events?CFID=&amp;CFPARAMS=&amp;GameEventID=444&amp;GameID=0021500939&amp;Season=2015-16&amp;flag=1&amp;title=Leonard%2012'%20Turnaround%20Bank%20Shot%20(18%20PTS)", "Leonard 12' Turnaround Bank Shot (18 PTS)")</f>
        <v>Leonard 12' Turnaround Bank Shot (18 PTS)</v>
      </c>
      <c r="L3814" s="2" t="str">
        <f>HYPERLINK("https://www.nba.com/game/...-vs-...-0021500939/play-by-play?watchFullGame=true", "SAS vs IND - Q4 06:14.00")</f>
        <v>SAS vs IND - Q4 06:14.00</v>
      </c>
      <c r="M3814">
        <v>12</v>
      </c>
      <c r="N3814">
        <v>119</v>
      </c>
      <c r="O3814">
        <v>3</v>
      </c>
      <c r="P3814">
        <v>119</v>
      </c>
      <c r="Q3814">
        <v>3</v>
      </c>
      <c r="R3814" t="s">
        <v>21</v>
      </c>
      <c r="S3814" t="s">
        <v>21</v>
      </c>
    </row>
    <row r="3815" spans="1:21" hidden="1" x14ac:dyDescent="0.25">
      <c r="A3815">
        <v>21300871</v>
      </c>
      <c r="B3815" t="s">
        <v>18</v>
      </c>
      <c r="C3815" t="s">
        <v>34</v>
      </c>
      <c r="D3815">
        <v>8</v>
      </c>
      <c r="E3815">
        <v>8</v>
      </c>
      <c r="F3815">
        <v>0</v>
      </c>
      <c r="G3815">
        <v>1</v>
      </c>
      <c r="H3815" s="1">
        <v>4.386574074074074E-3</v>
      </c>
      <c r="I3815">
        <v>2013</v>
      </c>
      <c r="J3815" t="s">
        <v>20</v>
      </c>
      <c r="K3815" s="2" t="str">
        <f>HYPERLINK("https://www.nba.com/stats/events?CFID=&amp;CFPARAMS=&amp;GameEventID=49&amp;GameID=0021300871&amp;Season=2013-14&amp;flag=1&amp;title=Leonard%2012'%20Turnaround%20Jump%20Shot%20(4%20PTS)%20(Duncan%201%20AST)", "Leonard 12' Turnaround Jump Shot (4 PTS) (Duncan 1 AST)")</f>
        <v>Leonard 12' Turnaround Jump Shot (4 PTS) (Duncan 1 AST)</v>
      </c>
      <c r="L3815" s="2" t="str">
        <f>HYPERLINK("https://www.nba.com/game/...-vs-...-0021300871/play-by-play?watchFullGame=true", "SAS vs CHA - Q1 06:19.00")</f>
        <v>SAS vs CHA - Q1 06:19.00</v>
      </c>
      <c r="M3815">
        <v>12</v>
      </c>
      <c r="N3815">
        <v>122</v>
      </c>
      <c r="O3815">
        <v>26</v>
      </c>
      <c r="P3815">
        <v>122</v>
      </c>
      <c r="Q3815">
        <v>26</v>
      </c>
      <c r="R3815" t="s">
        <v>21</v>
      </c>
      <c r="S3815" t="s">
        <v>21</v>
      </c>
    </row>
    <row r="3816" spans="1:21" hidden="1" x14ac:dyDescent="0.25">
      <c r="A3816">
        <v>21500040</v>
      </c>
      <c r="B3816" t="s">
        <v>18</v>
      </c>
      <c r="C3816" t="s">
        <v>37</v>
      </c>
      <c r="D3816">
        <v>7</v>
      </c>
      <c r="E3816">
        <v>2</v>
      </c>
      <c r="F3816">
        <v>5</v>
      </c>
      <c r="G3816">
        <v>1</v>
      </c>
      <c r="H3816" s="1">
        <v>4.409722222222222E-3</v>
      </c>
      <c r="I3816">
        <v>2015</v>
      </c>
      <c r="J3816" t="s">
        <v>20</v>
      </c>
      <c r="K3816" s="2" t="str">
        <f>HYPERLINK("https://www.nba.com/stats/events?CFID=&amp;CFPARAMS=&amp;GameEventID=47&amp;GameID=0021500040&amp;Season=2015-16&amp;flag=1&amp;title=Leonard%2012'%20Fadeaway%20Jumper%20(4%20PTS)", "Leonard 12' Fadeaway Jumper (4 PTS)")</f>
        <v>Leonard 12' Fadeaway Jumper (4 PTS)</v>
      </c>
      <c r="L3816" s="2" t="str">
        <f>HYPERLINK("https://www.nba.com/game/...-vs-...-0021500040/play-by-play?watchFullGame=true", "SAS vs BOS - Q1 06:21.00")</f>
        <v>SAS vs BOS - Q1 06:21.00</v>
      </c>
      <c r="M3816">
        <v>12</v>
      </c>
      <c r="N3816">
        <v>19</v>
      </c>
      <c r="O3816">
        <v>115</v>
      </c>
      <c r="P3816">
        <v>19</v>
      </c>
      <c r="Q3816">
        <v>115</v>
      </c>
      <c r="R3816" t="s">
        <v>21</v>
      </c>
      <c r="S3816" t="s">
        <v>21</v>
      </c>
    </row>
    <row r="3817" spans="1:21" hidden="1" x14ac:dyDescent="0.25">
      <c r="A3817">
        <v>21501001</v>
      </c>
      <c r="B3817" t="s">
        <v>18</v>
      </c>
      <c r="C3817" t="s">
        <v>19</v>
      </c>
      <c r="D3817">
        <v>35</v>
      </c>
      <c r="E3817">
        <v>26</v>
      </c>
      <c r="F3817">
        <v>9</v>
      </c>
      <c r="G3817">
        <v>2</v>
      </c>
      <c r="H3817" s="1">
        <v>4.4444444444444444E-3</v>
      </c>
      <c r="I3817">
        <v>2015</v>
      </c>
      <c r="J3817" t="s">
        <v>20</v>
      </c>
      <c r="K3817" s="2" t="str">
        <f>HYPERLINK("https://www.nba.com/stats/events?CFID=&amp;CFPARAMS=&amp;GameEventID=175&amp;GameID=0021501001&amp;Season=2015-16&amp;flag=1&amp;title=Leonard%2012'%20Jump%20Shot%20(8%20PTS)", "Leonard 12' Jump Shot (8 PTS)")</f>
        <v>Leonard 12' Jump Shot (8 PTS)</v>
      </c>
      <c r="L3817" s="2" t="str">
        <f>HYPERLINK("https://www.nba.com/game/...-vs-...-0021501001/play-by-play?watchFullGame=true", "SAS vs LAC - Q2 06:24.00")</f>
        <v>SAS vs LAC - Q2 06:24.00</v>
      </c>
      <c r="M3817">
        <v>12</v>
      </c>
      <c r="N3817">
        <v>-122</v>
      </c>
      <c r="O3817">
        <v>3</v>
      </c>
      <c r="P3817">
        <v>-122</v>
      </c>
      <c r="Q3817">
        <v>3</v>
      </c>
      <c r="R3817" t="s">
        <v>21</v>
      </c>
      <c r="S3817" t="s">
        <v>21</v>
      </c>
    </row>
    <row r="3818" spans="1:21" hidden="1" x14ac:dyDescent="0.25">
      <c r="A3818">
        <v>21400220</v>
      </c>
      <c r="B3818" t="s">
        <v>18</v>
      </c>
      <c r="C3818" t="s">
        <v>19</v>
      </c>
      <c r="D3818">
        <v>11</v>
      </c>
      <c r="E3818">
        <v>8</v>
      </c>
      <c r="F3818">
        <v>3</v>
      </c>
      <c r="G3818">
        <v>1</v>
      </c>
      <c r="H3818" s="1">
        <v>4.5601851851851853E-3</v>
      </c>
      <c r="I3818">
        <v>2014</v>
      </c>
      <c r="J3818" t="s">
        <v>20</v>
      </c>
      <c r="K3818" s="2" t="str">
        <f>HYPERLINK("https://www.nba.com/stats/events?CFID=&amp;CFPARAMS=&amp;GameEventID=54&amp;GameID=0021400220&amp;Season=2014-15&amp;flag=1&amp;title=Leonard%2012'%20Jump%20Shot%20(4%20PTS)%20(Diaw%201%20AST)", "Leonard 12' Jump Shot (4 PTS) (Diaw 1 AST)")</f>
        <v>Leonard 12' Jump Shot (4 PTS) (Diaw 1 AST)</v>
      </c>
      <c r="L3818" s="2" t="str">
        <f>HYPERLINK("https://www.nba.com/game/...-vs-...-0021400220/play-by-play?watchFullGame=true", "SAS vs IND - Q1 06:34.00")</f>
        <v>SAS vs IND - Q1 06:34.00</v>
      </c>
      <c r="M3818">
        <v>12</v>
      </c>
      <c r="N3818">
        <v>-64</v>
      </c>
      <c r="O3818">
        <v>107</v>
      </c>
      <c r="P3818">
        <v>-64</v>
      </c>
      <c r="Q3818">
        <v>107</v>
      </c>
      <c r="R3818" t="s">
        <v>21</v>
      </c>
      <c r="S3818" t="s">
        <v>21</v>
      </c>
    </row>
    <row r="3819" spans="1:21" hidden="1" x14ac:dyDescent="0.25">
      <c r="A3819">
        <v>21500296</v>
      </c>
      <c r="B3819" t="s">
        <v>18</v>
      </c>
      <c r="C3819" t="s">
        <v>39</v>
      </c>
      <c r="D3819">
        <v>70</v>
      </c>
      <c r="E3819">
        <v>58</v>
      </c>
      <c r="F3819">
        <v>12</v>
      </c>
      <c r="G3819">
        <v>3</v>
      </c>
      <c r="H3819" s="1">
        <v>4.6412037037037038E-3</v>
      </c>
      <c r="I3819">
        <v>2015</v>
      </c>
      <c r="J3819" t="s">
        <v>20</v>
      </c>
      <c r="K3819" s="2" t="str">
        <f>HYPERLINK("https://www.nba.com/stats/events?CFID=&amp;CFPARAMS=&amp;GameEventID=272&amp;GameID=0021500296&amp;Season=2015-16&amp;flag=1&amp;title=Leonard%2012'%20Step%20Back%20Jump%20Shot%20(12%20PTS)", "Leonard 12' Step Back Jump Shot (12 PTS)")</f>
        <v>Leonard 12' Step Back Jump Shot (12 PTS)</v>
      </c>
      <c r="L3819" s="2" t="str">
        <f>HYPERLINK("https://www.nba.com/game/...-vs-...-0021500296/play-by-play?watchFullGame=true", "SAS vs BOS - Q3 06:41.00")</f>
        <v>SAS vs BOS - Q3 06:41.00</v>
      </c>
      <c r="M3819">
        <v>12</v>
      </c>
      <c r="N3819">
        <v>-11</v>
      </c>
      <c r="O3819">
        <v>121</v>
      </c>
      <c r="P3819">
        <v>-11</v>
      </c>
      <c r="Q3819">
        <v>121</v>
      </c>
      <c r="R3819" t="s">
        <v>21</v>
      </c>
      <c r="S3819" t="s">
        <v>21</v>
      </c>
    </row>
    <row r="3820" spans="1:21" hidden="1" x14ac:dyDescent="0.25">
      <c r="A3820">
        <v>21400836</v>
      </c>
      <c r="B3820" t="s">
        <v>18</v>
      </c>
      <c r="C3820" t="s">
        <v>37</v>
      </c>
      <c r="D3820">
        <v>28</v>
      </c>
      <c r="E3820">
        <v>34</v>
      </c>
      <c r="F3820">
        <v>6</v>
      </c>
      <c r="G3820">
        <v>2</v>
      </c>
      <c r="H3820" s="1">
        <v>4.6527777777777774E-3</v>
      </c>
      <c r="I3820">
        <v>2014</v>
      </c>
      <c r="J3820" t="s">
        <v>20</v>
      </c>
      <c r="K3820" s="2" t="str">
        <f>HYPERLINK("https://www.nba.com/stats/events?CFID=&amp;CFPARAMS=&amp;GameEventID=174&amp;GameID=0021400836&amp;Season=2014-15&amp;flag=1&amp;title=Leonard%2012'%20Fadeaway%20Jumper%20(5%20PTS)", "Leonard 12' Fadeaway Jumper (5 PTS)")</f>
        <v>Leonard 12' Fadeaway Jumper (5 PTS)</v>
      </c>
      <c r="L3820" s="2" t="str">
        <f>HYPERLINK("https://www.nba.com/game/...-vs-...-0021400836/play-by-play?watchFullGame=true", "SAS vs UTA - Q2 06:42.00")</f>
        <v>SAS vs UTA - Q2 06:42.00</v>
      </c>
      <c r="M3820">
        <v>12</v>
      </c>
      <c r="N3820">
        <v>2</v>
      </c>
      <c r="O3820">
        <v>121</v>
      </c>
      <c r="P3820">
        <v>2</v>
      </c>
      <c r="Q3820">
        <v>121</v>
      </c>
      <c r="R3820" t="s">
        <v>21</v>
      </c>
      <c r="S3820" t="s">
        <v>21</v>
      </c>
    </row>
    <row r="3821" spans="1:21" hidden="1" x14ac:dyDescent="0.25">
      <c r="A3821">
        <v>21500502</v>
      </c>
      <c r="B3821" t="s">
        <v>18</v>
      </c>
      <c r="C3821" t="s">
        <v>36</v>
      </c>
      <c r="D3821">
        <v>39</v>
      </c>
      <c r="E3821">
        <v>37</v>
      </c>
      <c r="F3821">
        <v>2</v>
      </c>
      <c r="G3821">
        <v>2</v>
      </c>
      <c r="H3821" s="1">
        <v>4.6527777777777774E-3</v>
      </c>
      <c r="I3821">
        <v>2015</v>
      </c>
      <c r="J3821" t="s">
        <v>20</v>
      </c>
      <c r="K3821" s="2" t="str">
        <f>HYPERLINK("https://www.nba.com/stats/events?CFID=&amp;CFPARAMS=&amp;GameEventID=191&amp;GameID=0021500502&amp;Season=2015-16&amp;flag=1&amp;title=Leonard%2012'%20Pullup%20Jump%20Shot%20(4%20PTS)%20(Diaw%201%20AST)", "Leonard 12' Pullup Jump Shot (4 PTS) (Diaw 1 AST)")</f>
        <v>Leonard 12' Pullup Jump Shot (4 PTS) (Diaw 1 AST)</v>
      </c>
      <c r="L3821" s="2" t="str">
        <f>HYPERLINK("https://www.nba.com/game/...-vs-...-0021500502/play-by-play?watchFullGame=true", "SAS vs HOU - Q2 06:42.00")</f>
        <v>SAS vs HOU - Q2 06:42.00</v>
      </c>
      <c r="M3821">
        <v>12</v>
      </c>
      <c r="N3821">
        <v>79</v>
      </c>
      <c r="O3821">
        <v>95</v>
      </c>
      <c r="P3821">
        <v>79</v>
      </c>
      <c r="Q3821">
        <v>95</v>
      </c>
      <c r="R3821" t="s">
        <v>21</v>
      </c>
      <c r="S3821" t="s">
        <v>21</v>
      </c>
    </row>
    <row r="3822" spans="1:21" hidden="1" x14ac:dyDescent="0.25">
      <c r="A3822">
        <v>21500759</v>
      </c>
      <c r="B3822" t="s">
        <v>18</v>
      </c>
      <c r="C3822" t="s">
        <v>19</v>
      </c>
      <c r="D3822">
        <v>11</v>
      </c>
      <c r="E3822">
        <v>8</v>
      </c>
      <c r="F3822">
        <v>3</v>
      </c>
      <c r="G3822">
        <v>1</v>
      </c>
      <c r="H3822" s="1">
        <v>4.6759259259259263E-3</v>
      </c>
      <c r="I3822">
        <v>2015</v>
      </c>
      <c r="J3822" t="s">
        <v>20</v>
      </c>
      <c r="K3822" s="2" t="str">
        <f>HYPERLINK("https://www.nba.com/stats/events?CFID=&amp;CFPARAMS=&amp;GameEventID=34&amp;GameID=0021500759&amp;Season=2015-16&amp;flag=1&amp;title=Leonard%2012'%20Jump%20Shot%20(4%20PTS)", "Leonard 12' Jump Shot (4 PTS)")</f>
        <v>Leonard 12' Jump Shot (4 PTS)</v>
      </c>
      <c r="L3822" s="2" t="str">
        <f>HYPERLINK("https://www.nba.com/game/...-vs-...-0021500759/play-by-play?watchFullGame=true", "SAS vs DAL - Q1 06:44.00")</f>
        <v>SAS vs DAL - Q1 06:44.00</v>
      </c>
      <c r="M3822">
        <v>12</v>
      </c>
      <c r="N3822">
        <v>-119</v>
      </c>
      <c r="O3822">
        <v>16</v>
      </c>
      <c r="P3822">
        <v>-119</v>
      </c>
      <c r="Q3822">
        <v>16</v>
      </c>
      <c r="R3822" t="s">
        <v>21</v>
      </c>
      <c r="S3822" t="s">
        <v>21</v>
      </c>
    </row>
    <row r="3823" spans="1:21" hidden="1" x14ac:dyDescent="0.25">
      <c r="A3823">
        <v>21800930</v>
      </c>
      <c r="B3823" t="s">
        <v>18</v>
      </c>
      <c r="C3823" t="s">
        <v>38</v>
      </c>
      <c r="D3823">
        <v>40</v>
      </c>
      <c r="E3823">
        <v>39</v>
      </c>
      <c r="F3823">
        <v>1</v>
      </c>
      <c r="G3823">
        <v>2</v>
      </c>
      <c r="H3823" s="1">
        <v>4.7800925925925927E-3</v>
      </c>
      <c r="I3823">
        <v>2018</v>
      </c>
      <c r="J3823" t="s">
        <v>48</v>
      </c>
      <c r="K3823" s="2" t="str">
        <f>HYPERLINK("https://www.nba.com/stats/events?CFID=&amp;CFPARAMS=&amp;GameEventID=218&amp;GameID=0021800930&amp;Season=2018-19&amp;flag=1&amp;title=Leonard%2012'%20Turnaround%20Fadeaway%20(10%20PTS)", "Leonard 12' Turnaround Fadeaway (10 PTS)")</f>
        <v>Leonard 12' Turnaround Fadeaway (10 PTS)</v>
      </c>
      <c r="L3823" s="2" t="str">
        <f>HYPERLINK("https://www.nba.com/game/...-vs-...-0021800930/play-by-play?watchFullGame=true", "TOR vs POR - Q2 06:53.00")</f>
        <v>TOR vs POR - Q2 06:53.00</v>
      </c>
      <c r="M3823">
        <v>12</v>
      </c>
      <c r="N3823">
        <v>119</v>
      </c>
      <c r="O3823">
        <v>3</v>
      </c>
      <c r="P3823">
        <v>119</v>
      </c>
      <c r="Q3823">
        <v>3</v>
      </c>
      <c r="R3823" t="s">
        <v>21</v>
      </c>
      <c r="S3823" t="s">
        <v>21</v>
      </c>
    </row>
    <row r="3824" spans="1:21" hidden="1" x14ac:dyDescent="0.25">
      <c r="A3824" s="3">
        <v>21800069</v>
      </c>
      <c r="B3824" s="3" t="s">
        <v>18</v>
      </c>
      <c r="C3824" s="3" t="s">
        <v>38</v>
      </c>
      <c r="D3824" s="3">
        <v>85</v>
      </c>
      <c r="E3824" s="3">
        <v>69</v>
      </c>
      <c r="F3824" s="3">
        <v>16</v>
      </c>
      <c r="G3824" s="3">
        <v>3</v>
      </c>
      <c r="H3824" s="4">
        <v>4.9074074074074072E-3</v>
      </c>
      <c r="I3824" s="3">
        <v>2018</v>
      </c>
      <c r="J3824" s="3" t="s">
        <v>48</v>
      </c>
      <c r="K3824" s="5" t="str">
        <f>HYPERLINK("https://www.nba.com/stats/events?CFID=&amp;CFPARAMS=&amp;GameEventID=386&amp;GameID=0021800069&amp;Season=2018-19&amp;flag=1&amp;title=Leonard%2012'%20Turnaround%20Fadeaway%20(17%20PTS)", "Leonard 12' Turnaround Fadeaway (17 PTS)")</f>
        <v>Leonard 12' Turnaround Fadeaway (17 PTS)</v>
      </c>
      <c r="L3824" s="5" t="str">
        <f>HYPERLINK("https://www.nba.com/game/...-vs-...-0021800069/play-by-play?watchFullGame=true", "TOR vs DAL - Q3 07:04.00")</f>
        <v>TOR vs DAL - Q3 07:04.00</v>
      </c>
      <c r="M3824" s="3">
        <v>12</v>
      </c>
      <c r="N3824" s="3">
        <v>-120</v>
      </c>
      <c r="O3824" s="3">
        <v>8</v>
      </c>
      <c r="P3824" s="3">
        <v>-120</v>
      </c>
      <c r="Q3824" s="3">
        <v>8</v>
      </c>
      <c r="R3824" s="3" t="s">
        <v>21</v>
      </c>
      <c r="S3824" s="3" t="s">
        <v>21</v>
      </c>
      <c r="T3824" s="3"/>
      <c r="U3824" s="3"/>
    </row>
    <row r="3825" spans="1:19" hidden="1" x14ac:dyDescent="0.25">
      <c r="A3825">
        <v>21300952</v>
      </c>
      <c r="B3825" t="s">
        <v>18</v>
      </c>
      <c r="C3825" t="s">
        <v>19</v>
      </c>
      <c r="D3825">
        <v>15</v>
      </c>
      <c r="E3825">
        <v>6</v>
      </c>
      <c r="F3825">
        <v>9</v>
      </c>
      <c r="G3825">
        <v>1</v>
      </c>
      <c r="H3825" s="1">
        <v>4.9189814814814816E-3</v>
      </c>
      <c r="I3825">
        <v>2013</v>
      </c>
      <c r="J3825" t="s">
        <v>20</v>
      </c>
      <c r="K3825" s="2" t="str">
        <f>HYPERLINK("https://www.nba.com/stats/events?CFID=&amp;CFPARAMS=&amp;GameEventID=32&amp;GameID=0021300952&amp;Season=2013-14&amp;flag=1&amp;title=Leonard%2012'%20Jump%20Shot%20(5%20PTS)%20(Parker%203%20AST)", "Leonard 12' Jump Shot (5 PTS) (Parker 3 AST)")</f>
        <v>Leonard 12' Jump Shot (5 PTS) (Parker 3 AST)</v>
      </c>
      <c r="L3825" s="2" t="str">
        <f>HYPERLINK("https://www.nba.com/game/...-vs-...-0021300952/play-by-play?watchFullGame=true", "SAS vs CHI - Q1 07:05.00")</f>
        <v>SAS vs CHI - Q1 07:05.00</v>
      </c>
      <c r="M3825">
        <v>12</v>
      </c>
      <c r="N3825">
        <v>-123</v>
      </c>
      <c r="O3825">
        <v>-2</v>
      </c>
      <c r="P3825">
        <v>-123</v>
      </c>
      <c r="Q3825">
        <v>-2</v>
      </c>
      <c r="R3825" t="s">
        <v>21</v>
      </c>
      <c r="S3825" t="s">
        <v>21</v>
      </c>
    </row>
    <row r="3826" spans="1:19" hidden="1" x14ac:dyDescent="0.25">
      <c r="A3826">
        <v>41400165</v>
      </c>
      <c r="B3826" t="s">
        <v>18</v>
      </c>
      <c r="C3826" t="s">
        <v>36</v>
      </c>
      <c r="D3826">
        <v>7</v>
      </c>
      <c r="E3826">
        <v>12</v>
      </c>
      <c r="F3826">
        <v>5</v>
      </c>
      <c r="G3826">
        <v>1</v>
      </c>
      <c r="H3826" s="1">
        <v>4.9305555555555552E-3</v>
      </c>
      <c r="I3826" t="s">
        <v>56</v>
      </c>
      <c r="J3826" t="s">
        <v>20</v>
      </c>
      <c r="K3826" s="2" t="str">
        <f>HYPERLINK("https://www.nba.com/stats/events?CFID=&amp;CFPARAMS=&amp;GameEventID=47&amp;GameID=0041400165&amp;Season=2014-15&amp;flag=1&amp;title=Leonard%2012'%20Pullup%20Jump%20Shot%20(6%20PTS)%20(Green%202%20AST)", "Leonard 12' Pullup Jump Shot (6 PTS) (Green 2 AST)")</f>
        <v>Leonard 12' Pullup Jump Shot (6 PTS) (Green 2 AST)</v>
      </c>
      <c r="L3826" s="2" t="str">
        <f>HYPERLINK("https://www.nba.com/game/...-vs-...-0041400165/play-by-play?watchFullGame=true", "SAS vs LAC - Q1 07:06.00")</f>
        <v>SAS vs LAC - Q1 07:06.00</v>
      </c>
      <c r="M3826">
        <v>12</v>
      </c>
      <c r="N3826">
        <v>32</v>
      </c>
      <c r="O3826">
        <v>116</v>
      </c>
      <c r="P3826">
        <v>32</v>
      </c>
      <c r="Q3826">
        <v>116</v>
      </c>
      <c r="R3826" t="s">
        <v>21</v>
      </c>
      <c r="S3826" t="s">
        <v>21</v>
      </c>
    </row>
    <row r="3827" spans="1:19" hidden="1" x14ac:dyDescent="0.25">
      <c r="A3827">
        <v>21500854</v>
      </c>
      <c r="B3827" t="s">
        <v>18</v>
      </c>
      <c r="C3827" t="s">
        <v>39</v>
      </c>
      <c r="D3827">
        <v>39</v>
      </c>
      <c r="E3827">
        <v>31</v>
      </c>
      <c r="F3827">
        <v>8</v>
      </c>
      <c r="G3827">
        <v>2</v>
      </c>
      <c r="H3827" s="1">
        <v>5.0231481481481481E-3</v>
      </c>
      <c r="I3827">
        <v>2015</v>
      </c>
      <c r="J3827" t="s">
        <v>20</v>
      </c>
      <c r="K3827" s="2" t="str">
        <f>HYPERLINK("https://www.nba.com/stats/events?CFID=&amp;CFPARAMS=&amp;GameEventID=177&amp;GameID=0021500854&amp;Season=2015-16&amp;flag=1&amp;title=Leonard%2012'%20Step%20Back%20Jump%20Shot%20(4%20PTS)", "Leonard 12' Step Back Jump Shot (4 PTS)")</f>
        <v>Leonard 12' Step Back Jump Shot (4 PTS)</v>
      </c>
      <c r="L3827" s="2" t="str">
        <f>HYPERLINK("https://www.nba.com/game/...-vs-...-0021500854/play-by-play?watchFullGame=true", "SAS vs SAC - Q2 07:14.00")</f>
        <v>SAS vs SAC - Q2 07:14.00</v>
      </c>
      <c r="M3827">
        <v>12</v>
      </c>
      <c r="N3827">
        <v>89</v>
      </c>
      <c r="O3827">
        <v>87</v>
      </c>
      <c r="P3827">
        <v>89</v>
      </c>
      <c r="Q3827">
        <v>87</v>
      </c>
      <c r="R3827" t="s">
        <v>21</v>
      </c>
      <c r="S3827" t="s">
        <v>21</v>
      </c>
    </row>
    <row r="3828" spans="1:19" hidden="1" x14ac:dyDescent="0.25">
      <c r="A3828">
        <v>21601056</v>
      </c>
      <c r="B3828" t="s">
        <v>18</v>
      </c>
      <c r="C3828" t="s">
        <v>39</v>
      </c>
      <c r="D3828">
        <v>7</v>
      </c>
      <c r="E3828">
        <v>7</v>
      </c>
      <c r="F3828">
        <v>0</v>
      </c>
      <c r="G3828">
        <v>1</v>
      </c>
      <c r="H3828" s="1">
        <v>5.208333333333333E-3</v>
      </c>
      <c r="I3828">
        <v>2016</v>
      </c>
      <c r="J3828" t="s">
        <v>20</v>
      </c>
      <c r="K3828" s="2" t="str">
        <f>HYPERLINK("https://www.nba.com/stats/events?CFID=&amp;CFPARAMS=&amp;GameEventID=37&amp;GameID=0021601056&amp;Season=2016-17&amp;flag=1&amp;title=Leonard%2012'%20Step%20Back%20Jump%20Shot%20(2%20PTS)%20(Parker%201%20AST)", "Leonard 12' Step Back Jump Shot (2 PTS) (Parker 1 AST)")</f>
        <v>Leonard 12' Step Back Jump Shot (2 PTS) (Parker 1 AST)</v>
      </c>
      <c r="L3828" s="2" t="str">
        <f>HYPERLINK("https://www.nba.com/game/...-vs-...-0021601056/play-by-play?watchFullGame=true", "SAS vs MIN - Q1 07:30.00")</f>
        <v>SAS vs MIN - Q1 07:30.00</v>
      </c>
      <c r="M3828">
        <v>12</v>
      </c>
      <c r="N3828">
        <v>-61</v>
      </c>
      <c r="O3828">
        <v>105</v>
      </c>
      <c r="P3828">
        <v>-61</v>
      </c>
      <c r="Q3828">
        <v>105</v>
      </c>
      <c r="R3828" t="s">
        <v>21</v>
      </c>
      <c r="S3828" t="s">
        <v>21</v>
      </c>
    </row>
    <row r="3829" spans="1:19" hidden="1" x14ac:dyDescent="0.25">
      <c r="A3829">
        <v>21600336</v>
      </c>
      <c r="B3829" t="s">
        <v>18</v>
      </c>
      <c r="C3829" t="s">
        <v>30</v>
      </c>
      <c r="D3829">
        <v>73</v>
      </c>
      <c r="E3829">
        <v>80</v>
      </c>
      <c r="F3829">
        <v>7</v>
      </c>
      <c r="G3829">
        <v>4</v>
      </c>
      <c r="H3829" s="1">
        <v>5.2777777777777779E-3</v>
      </c>
      <c r="I3829">
        <v>2016</v>
      </c>
      <c r="J3829" t="s">
        <v>20</v>
      </c>
      <c r="K3829" s="2" t="str">
        <f>HYPERLINK("https://www.nba.com/stats/events?CFID=&amp;CFPARAMS=&amp;GameEventID=447&amp;GameID=0021600336&amp;Season=2016-17&amp;flag=1&amp;title=Leonard%2012'%20Running%20Jump%20Shot%20(21%20PTS)", "Leonard 12' Running Jump Shot (21 PTS)")</f>
        <v>Leonard 12' Running Jump Shot (21 PTS)</v>
      </c>
      <c r="L3829" s="2" t="str">
        <f>HYPERLINK("https://www.nba.com/game/...-vs-...-0021600336/play-by-play?watchFullGame=true", "SAS vs CHI - Q4 07:36.00")</f>
        <v>SAS vs CHI - Q4 07:36.00</v>
      </c>
      <c r="M3829">
        <v>12</v>
      </c>
      <c r="N3829">
        <v>-2</v>
      </c>
      <c r="O3829">
        <v>120</v>
      </c>
      <c r="P3829">
        <v>-2</v>
      </c>
      <c r="Q3829">
        <v>120</v>
      </c>
      <c r="R3829" t="s">
        <v>21</v>
      </c>
      <c r="S3829" t="s">
        <v>21</v>
      </c>
    </row>
    <row r="3830" spans="1:19" hidden="1" x14ac:dyDescent="0.25">
      <c r="A3830">
        <v>21300349</v>
      </c>
      <c r="B3830" t="s">
        <v>18</v>
      </c>
      <c r="C3830" t="s">
        <v>37</v>
      </c>
      <c r="D3830">
        <v>32</v>
      </c>
      <c r="E3830">
        <v>22</v>
      </c>
      <c r="F3830">
        <v>10</v>
      </c>
      <c r="G3830">
        <v>2</v>
      </c>
      <c r="H3830" s="1">
        <v>5.7060185185185183E-3</v>
      </c>
      <c r="I3830">
        <v>2013</v>
      </c>
      <c r="J3830" t="s">
        <v>20</v>
      </c>
      <c r="K3830" s="2" t="str">
        <f>HYPERLINK("https://www.nba.com/stats/events?CFID=&amp;CFPARAMS=&amp;GameEventID=151&amp;GameID=0021300349&amp;Season=2013-14&amp;flag=1&amp;title=Leonard%2012'%20Fadeaway%20Jumper%20(4%20PTS)", "Leonard 12' Fadeaway Jumper (4 PTS)")</f>
        <v>Leonard 12' Fadeaway Jumper (4 PTS)</v>
      </c>
      <c r="L3830" s="2" t="str">
        <f>HYPERLINK("https://www.nba.com/game/...-vs-...-0021300349/play-by-play?watchFullGame=true", "SAS vs UTA - Q2 08:13.00")</f>
        <v>SAS vs UTA - Q2 08:13.00</v>
      </c>
      <c r="M3830">
        <v>12</v>
      </c>
      <c r="N3830">
        <v>-68</v>
      </c>
      <c r="O3830">
        <v>101</v>
      </c>
      <c r="P3830">
        <v>-68</v>
      </c>
      <c r="Q3830">
        <v>101</v>
      </c>
      <c r="R3830" t="s">
        <v>21</v>
      </c>
      <c r="S3830" t="s">
        <v>21</v>
      </c>
    </row>
    <row r="3831" spans="1:19" hidden="1" x14ac:dyDescent="0.25">
      <c r="A3831">
        <v>41800403</v>
      </c>
      <c r="B3831" t="s">
        <v>18</v>
      </c>
      <c r="C3831" t="s">
        <v>19</v>
      </c>
      <c r="D3831">
        <v>13</v>
      </c>
      <c r="E3831">
        <v>7</v>
      </c>
      <c r="F3831">
        <v>6</v>
      </c>
      <c r="G3831">
        <v>1</v>
      </c>
      <c r="H3831" s="1">
        <v>5.8101851851851856E-3</v>
      </c>
      <c r="I3831" t="s">
        <v>60</v>
      </c>
      <c r="J3831" t="s">
        <v>48</v>
      </c>
      <c r="K3831" s="2" t="str">
        <f>HYPERLINK("https://www.nba.com/stats/events?CFID=&amp;CFPARAMS=&amp;GameEventID=47&amp;GameID=0041800403&amp;Season=2018-19&amp;flag=1&amp;title=Leonard%2012'%20Jump%20Shot%20(2%20PTS)%20(Siakam%201%20AST)", "Leonard 12' Jump Shot (2 PTS) (Siakam 1 AST)")</f>
        <v>Leonard 12' Jump Shot (2 PTS) (Siakam 1 AST)</v>
      </c>
      <c r="L3831" s="2" t="str">
        <f>HYPERLINK("https://www.nba.com/game/...-vs-...-0041800403/play-by-play?watchFullGame=true", "TOR vs GSW - Q1 08:22.00")</f>
        <v>TOR vs GSW - Q1 08:22.00</v>
      </c>
      <c r="M3831">
        <v>12</v>
      </c>
      <c r="N3831">
        <v>2</v>
      </c>
      <c r="O3831">
        <v>118</v>
      </c>
      <c r="P3831">
        <v>2</v>
      </c>
      <c r="Q3831">
        <v>118</v>
      </c>
      <c r="R3831" t="s">
        <v>21</v>
      </c>
      <c r="S3831" t="s">
        <v>21</v>
      </c>
    </row>
    <row r="3832" spans="1:19" hidden="1" x14ac:dyDescent="0.25">
      <c r="A3832">
        <v>21800459</v>
      </c>
      <c r="B3832" t="s">
        <v>18</v>
      </c>
      <c r="C3832" t="s">
        <v>59</v>
      </c>
      <c r="D3832">
        <v>77</v>
      </c>
      <c r="E3832">
        <v>88</v>
      </c>
      <c r="F3832">
        <v>11</v>
      </c>
      <c r="G3832">
        <v>4</v>
      </c>
      <c r="H3832" s="1">
        <v>6.0648148148148145E-3</v>
      </c>
      <c r="I3832">
        <v>2018</v>
      </c>
      <c r="J3832" t="s">
        <v>48</v>
      </c>
      <c r="K3832" s="2" t="str">
        <f>HYPERLINK("https://www.nba.com/stats/events?CFID=&amp;CFPARAMS=&amp;GameEventID=552&amp;GameID=0021800459&amp;Season=2018-19&amp;flag=1&amp;title=Leonard%2012'%20Floating%20Jump%20Shot%20(21%20PTS)", "Leonard 12' Floating Jump Shot (21 PTS)")</f>
        <v>Leonard 12' Floating Jump Shot (21 PTS)</v>
      </c>
      <c r="L3832" s="2" t="str">
        <f>HYPERLINK("https://www.nba.com/game/...-vs-...-0021800459/play-by-play?watchFullGame=true", "TOR vs IND - Q4 08:44.00")</f>
        <v>TOR vs IND - Q4 08:44.00</v>
      </c>
      <c r="M3832">
        <v>12</v>
      </c>
      <c r="N3832">
        <v>-20</v>
      </c>
      <c r="O3832">
        <v>114</v>
      </c>
      <c r="P3832">
        <v>-20</v>
      </c>
      <c r="Q3832">
        <v>114</v>
      </c>
      <c r="R3832" t="s">
        <v>21</v>
      </c>
      <c r="S3832" t="s">
        <v>21</v>
      </c>
    </row>
    <row r="3833" spans="1:19" hidden="1" x14ac:dyDescent="0.25">
      <c r="A3833">
        <v>21500103</v>
      </c>
      <c r="B3833" t="s">
        <v>18</v>
      </c>
      <c r="C3833" t="s">
        <v>39</v>
      </c>
      <c r="D3833">
        <v>10</v>
      </c>
      <c r="E3833">
        <v>6</v>
      </c>
      <c r="F3833">
        <v>4</v>
      </c>
      <c r="G3833">
        <v>1</v>
      </c>
      <c r="H3833" s="1">
        <v>6.1805555555555555E-3</v>
      </c>
      <c r="I3833">
        <v>2015</v>
      </c>
      <c r="J3833" t="s">
        <v>20</v>
      </c>
      <c r="K3833" s="2" t="str">
        <f>HYPERLINK("https://www.nba.com/stats/events?CFID=&amp;CFPARAMS=&amp;GameEventID=26&amp;GameID=0021500103&amp;Season=2015-16&amp;flag=1&amp;title=Leonard%2012'%20Step%20Back%20Jump%20Shot%20(5%20PTS)", "Leonard 12' Step Back Jump Shot (5 PTS)")</f>
        <v>Leonard 12' Step Back Jump Shot (5 PTS)</v>
      </c>
      <c r="L3833" s="2" t="str">
        <f>HYPERLINK("https://www.nba.com/game/...-vs-...-0021500103/play-by-play?watchFullGame=true", "SAS vs SAC - Q1 08:54.00")</f>
        <v>SAS vs SAC - Q1 08:54.00</v>
      </c>
      <c r="M3833">
        <v>12</v>
      </c>
      <c r="N3833">
        <v>115</v>
      </c>
      <c r="O3833">
        <v>13</v>
      </c>
      <c r="P3833">
        <v>115</v>
      </c>
      <c r="Q3833">
        <v>13</v>
      </c>
      <c r="R3833" t="s">
        <v>21</v>
      </c>
      <c r="S3833" t="s">
        <v>21</v>
      </c>
    </row>
    <row r="3834" spans="1:19" hidden="1" x14ac:dyDescent="0.25">
      <c r="A3834">
        <v>21800206</v>
      </c>
      <c r="B3834" t="s">
        <v>18</v>
      </c>
      <c r="C3834" t="s">
        <v>36</v>
      </c>
      <c r="D3834">
        <v>7</v>
      </c>
      <c r="E3834">
        <v>7</v>
      </c>
      <c r="F3834">
        <v>0</v>
      </c>
      <c r="G3834">
        <v>1</v>
      </c>
      <c r="H3834" s="1">
        <v>6.1921296296296299E-3</v>
      </c>
      <c r="I3834">
        <v>2018</v>
      </c>
      <c r="J3834" t="s">
        <v>48</v>
      </c>
      <c r="K3834" s="2" t="str">
        <f>HYPERLINK("https://www.nba.com/stats/events?CFID=&amp;CFPARAMS=&amp;GameEventID=38&amp;GameID=0021800206&amp;Season=2018-19&amp;flag=1&amp;title=Leonard%2012'%20Pullup%20Jump%20Shot%20(5%20PTS)", "Leonard 12' Pullup Jump Shot (5 PTS)")</f>
        <v>Leonard 12' Pullup Jump Shot (5 PTS)</v>
      </c>
      <c r="L3834" s="2" t="str">
        <f>HYPERLINK("https://www.nba.com/game/...-vs-...-0021800206/play-by-play?watchFullGame=true", "TOR vs DET - Q1 08:55.00")</f>
        <v>TOR vs DET - Q1 08:55.00</v>
      </c>
      <c r="M3834">
        <v>12</v>
      </c>
      <c r="N3834">
        <v>-51</v>
      </c>
      <c r="O3834">
        <v>110</v>
      </c>
      <c r="P3834">
        <v>-51</v>
      </c>
      <c r="Q3834">
        <v>110</v>
      </c>
      <c r="R3834" t="s">
        <v>21</v>
      </c>
      <c r="S3834" t="s">
        <v>21</v>
      </c>
    </row>
    <row r="3835" spans="1:19" hidden="1" x14ac:dyDescent="0.25">
      <c r="A3835">
        <v>21800800</v>
      </c>
      <c r="B3835" t="s">
        <v>18</v>
      </c>
      <c r="C3835" t="s">
        <v>47</v>
      </c>
      <c r="D3835">
        <v>6</v>
      </c>
      <c r="E3835">
        <v>4</v>
      </c>
      <c r="F3835">
        <v>2</v>
      </c>
      <c r="G3835">
        <v>1</v>
      </c>
      <c r="H3835" s="1">
        <v>6.2152777777777779E-3</v>
      </c>
      <c r="I3835">
        <v>2018</v>
      </c>
      <c r="J3835" t="s">
        <v>48</v>
      </c>
      <c r="K3835" s="2" t="str">
        <f>HYPERLINK("https://www.nba.com/stats/events?CFID=&amp;CFPARAMS=&amp;GameEventID=27&amp;GameID=0021800800&amp;Season=2018-19&amp;flag=1&amp;title=Leonard%2012'%20Hook%20Shot%20(2%20PTS)", "Leonard 12' Hook Shot (2 PTS)")</f>
        <v>Leonard 12' Hook Shot (2 PTS)</v>
      </c>
      <c r="L3835" s="2" t="str">
        <f>HYPERLINK("https://www.nba.com/game/...-vs-...-0021800800/play-by-play?watchFullGame=true", "TOR vs PHI - Q1 08:57.00")</f>
        <v>TOR vs PHI - Q1 08:57.00</v>
      </c>
      <c r="M3835">
        <v>12</v>
      </c>
      <c r="N3835">
        <v>-43</v>
      </c>
      <c r="O3835">
        <v>112</v>
      </c>
      <c r="P3835">
        <v>-43</v>
      </c>
      <c r="Q3835">
        <v>112</v>
      </c>
      <c r="R3835" t="s">
        <v>21</v>
      </c>
      <c r="S3835" t="s">
        <v>21</v>
      </c>
    </row>
    <row r="3836" spans="1:19" hidden="1" x14ac:dyDescent="0.25">
      <c r="A3836">
        <v>21500028</v>
      </c>
      <c r="B3836" t="s">
        <v>18</v>
      </c>
      <c r="C3836" t="s">
        <v>19</v>
      </c>
      <c r="D3836">
        <v>52</v>
      </c>
      <c r="E3836">
        <v>55</v>
      </c>
      <c r="F3836">
        <v>3</v>
      </c>
      <c r="G3836">
        <v>3</v>
      </c>
      <c r="H3836" s="1">
        <v>6.4583333333333333E-3</v>
      </c>
      <c r="I3836">
        <v>2015</v>
      </c>
      <c r="J3836" t="s">
        <v>20</v>
      </c>
      <c r="K3836" s="2" t="str">
        <f>HYPERLINK("https://www.nba.com/stats/events?CFID=&amp;CFPARAMS=&amp;GameEventID=257&amp;GameID=0021500028&amp;Season=2015-16&amp;flag=1&amp;title=Leonard%2012'%20Jump%20Shot%20(6%20PTS)%20(Parker%203%20AST)", "Leonard 12' Jump Shot (6 PTS) (Parker 3 AST)")</f>
        <v>Leonard 12' Jump Shot (6 PTS) (Parker 3 AST)</v>
      </c>
      <c r="L3836" s="2" t="str">
        <f>HYPERLINK("https://www.nba.com/game/...-vs-...-0021500028/play-by-play?watchFullGame=true", "SAS vs BKN - Q3 09:18.00")</f>
        <v>SAS vs BKN - Q3 09:18.00</v>
      </c>
      <c r="M3836">
        <v>12</v>
      </c>
      <c r="N3836">
        <v>-83</v>
      </c>
      <c r="O3836">
        <v>87</v>
      </c>
      <c r="P3836">
        <v>-83</v>
      </c>
      <c r="Q3836">
        <v>87</v>
      </c>
      <c r="R3836" t="s">
        <v>21</v>
      </c>
      <c r="S3836" t="s">
        <v>21</v>
      </c>
    </row>
    <row r="3837" spans="1:19" hidden="1" x14ac:dyDescent="0.25">
      <c r="A3837">
        <v>21500342</v>
      </c>
      <c r="B3837" t="s">
        <v>18</v>
      </c>
      <c r="C3837" t="s">
        <v>36</v>
      </c>
      <c r="D3837">
        <v>10</v>
      </c>
      <c r="E3837">
        <v>6</v>
      </c>
      <c r="F3837">
        <v>4</v>
      </c>
      <c r="G3837">
        <v>1</v>
      </c>
      <c r="H3837" s="1">
        <v>6.4583333333333333E-3</v>
      </c>
      <c r="I3837">
        <v>2015</v>
      </c>
      <c r="J3837" t="s">
        <v>20</v>
      </c>
      <c r="K3837" s="2" t="str">
        <f>HYPERLINK("https://www.nba.com/stats/events?CFID=&amp;CFPARAMS=&amp;GameEventID=22&amp;GameID=0021500342&amp;Season=2015-16&amp;flag=1&amp;title=Leonard%2012'%20Pullup%20Jump%20Shot%20(2%20PTS)", "Leonard 12' Pullup Jump Shot (2 PTS)")</f>
        <v>Leonard 12' Pullup Jump Shot (2 PTS)</v>
      </c>
      <c r="L3837" s="2" t="str">
        <f>HYPERLINK("https://www.nba.com/game/...-vs-...-0021500342/play-by-play?watchFullGame=true", "SAS vs LAL - Q1 09:18.00")</f>
        <v>SAS vs LAL - Q1 09:18.00</v>
      </c>
      <c r="M3837">
        <v>12</v>
      </c>
      <c r="N3837">
        <v>114</v>
      </c>
      <c r="O3837">
        <v>51</v>
      </c>
      <c r="P3837">
        <v>114</v>
      </c>
      <c r="Q3837">
        <v>51</v>
      </c>
      <c r="R3837" t="s">
        <v>21</v>
      </c>
      <c r="S3837" t="s">
        <v>21</v>
      </c>
    </row>
    <row r="3838" spans="1:19" hidden="1" x14ac:dyDescent="0.25">
      <c r="A3838">
        <v>21600801</v>
      </c>
      <c r="B3838" t="s">
        <v>18</v>
      </c>
      <c r="C3838" t="s">
        <v>34</v>
      </c>
      <c r="D3838">
        <v>66</v>
      </c>
      <c r="E3838">
        <v>45</v>
      </c>
      <c r="F3838">
        <v>21</v>
      </c>
      <c r="G3838">
        <v>3</v>
      </c>
      <c r="H3838" s="1">
        <v>6.5393518518518517E-3</v>
      </c>
      <c r="I3838">
        <v>2016</v>
      </c>
      <c r="J3838" t="s">
        <v>20</v>
      </c>
      <c r="K3838" s="2" t="str">
        <f>HYPERLINK("https://www.nba.com/stats/events?CFID=&amp;CFPARAMS=&amp;GameEventID=240&amp;GameID=0021600801&amp;Season=2016-17&amp;flag=1&amp;title=Leonard%2012'%20Turnaround%20Jump%20Shot%20(19%20PTS)%20(Parker%208%20AST)", "Leonard 12' Turnaround Jump Shot (19 PTS) (Parker 8 AST)")</f>
        <v>Leonard 12' Turnaround Jump Shot (19 PTS) (Parker 8 AST)</v>
      </c>
      <c r="L3838" s="2" t="str">
        <f>HYPERLINK("https://www.nba.com/game/...-vs-...-0021600801/play-by-play?watchFullGame=true", "SAS vs DET - Q3 09:25.00")</f>
        <v>SAS vs DET - Q3 09:25.00</v>
      </c>
      <c r="M3838">
        <v>12</v>
      </c>
      <c r="N3838">
        <v>10</v>
      </c>
      <c r="O3838">
        <v>115</v>
      </c>
      <c r="P3838">
        <v>10</v>
      </c>
      <c r="Q3838">
        <v>115</v>
      </c>
      <c r="R3838" t="s">
        <v>21</v>
      </c>
      <c r="S3838" t="s">
        <v>21</v>
      </c>
    </row>
    <row r="3839" spans="1:19" hidden="1" x14ac:dyDescent="0.25">
      <c r="A3839">
        <v>21600264</v>
      </c>
      <c r="B3839" t="s">
        <v>18</v>
      </c>
      <c r="C3839" t="s">
        <v>59</v>
      </c>
      <c r="D3839">
        <v>69</v>
      </c>
      <c r="E3839">
        <v>77</v>
      </c>
      <c r="F3839">
        <v>8</v>
      </c>
      <c r="G3839">
        <v>4</v>
      </c>
      <c r="H3839" s="1">
        <v>6.5624999999999998E-3</v>
      </c>
      <c r="I3839">
        <v>2016</v>
      </c>
      <c r="J3839" t="s">
        <v>20</v>
      </c>
      <c r="K3839" s="2" t="str">
        <f>HYPERLINK("https://www.nba.com/stats/events?CFID=&amp;CFPARAMS=&amp;GameEventID=404&amp;GameID=0021600264&amp;Season=2016-17&amp;flag=1&amp;title=Leonard%2012'%20Floating%20Jump%20Shot%20(20%20PTS)%20(Mills%202%20AST)", "Leonard 12' Floating Jump Shot (20 PTS) (Mills 2 AST)")</f>
        <v>Leonard 12' Floating Jump Shot (20 PTS) (Mills 2 AST)</v>
      </c>
      <c r="L3839" s="2" t="str">
        <f>HYPERLINK("https://www.nba.com/game/...-vs-...-0021600264/play-by-play?watchFullGame=true", "SAS vs ORL - Q4 09:27.00")</f>
        <v>SAS vs ORL - Q4 09:27.00</v>
      </c>
      <c r="M3839">
        <v>12</v>
      </c>
      <c r="N3839">
        <v>-115</v>
      </c>
      <c r="O3839">
        <v>-1</v>
      </c>
      <c r="P3839">
        <v>-115</v>
      </c>
      <c r="Q3839">
        <v>-1</v>
      </c>
      <c r="R3839" t="s">
        <v>21</v>
      </c>
      <c r="S3839" t="s">
        <v>21</v>
      </c>
    </row>
    <row r="3840" spans="1:19" hidden="1" x14ac:dyDescent="0.25">
      <c r="A3840">
        <v>21400291</v>
      </c>
      <c r="B3840" t="s">
        <v>18</v>
      </c>
      <c r="C3840" t="s">
        <v>39</v>
      </c>
      <c r="D3840">
        <v>39</v>
      </c>
      <c r="E3840">
        <v>26</v>
      </c>
      <c r="F3840">
        <v>13</v>
      </c>
      <c r="G3840">
        <v>2</v>
      </c>
      <c r="H3840" s="1">
        <v>6.5624999999999998E-3</v>
      </c>
      <c r="I3840">
        <v>2014</v>
      </c>
      <c r="J3840" t="s">
        <v>20</v>
      </c>
      <c r="K3840" s="2" t="str">
        <f>HYPERLINK("https://www.nba.com/stats/events?CFID=&amp;CFPARAMS=&amp;GameEventID=153&amp;GameID=0021400291&amp;Season=2014-15&amp;flag=1&amp;title=Leonard%2012'%20Step%20Back%20Jump%20Shot%20(4%20PTS)%20(Duncan%203%20AST)", "Leonard 12' Step Back Jump Shot (4 PTS) (Duncan 3 AST)")</f>
        <v>Leonard 12' Step Back Jump Shot (4 PTS) (Duncan 3 AST)</v>
      </c>
      <c r="L3840" s="2" t="str">
        <f>HYPERLINK("https://www.nba.com/game/...-vs-...-0021400291/play-by-play?watchFullGame=true", "SAS vs MIN - Q2 09:27.00")</f>
        <v>SAS vs MIN - Q2 09:27.00</v>
      </c>
      <c r="M3840">
        <v>12</v>
      </c>
      <c r="N3840">
        <v>56</v>
      </c>
      <c r="O3840">
        <v>110</v>
      </c>
      <c r="P3840">
        <v>56</v>
      </c>
      <c r="Q3840">
        <v>110</v>
      </c>
      <c r="R3840" t="s">
        <v>21</v>
      </c>
      <c r="S3840" t="s">
        <v>21</v>
      </c>
    </row>
    <row r="3841" spans="1:19" hidden="1" x14ac:dyDescent="0.25">
      <c r="A3841">
        <v>21600801</v>
      </c>
      <c r="B3841" t="s">
        <v>18</v>
      </c>
      <c r="C3841" t="s">
        <v>36</v>
      </c>
      <c r="D3841">
        <v>6</v>
      </c>
      <c r="E3841">
        <v>0</v>
      </c>
      <c r="F3841">
        <v>6</v>
      </c>
      <c r="G3841">
        <v>1</v>
      </c>
      <c r="H3841" s="1">
        <v>6.7708333333333336E-3</v>
      </c>
      <c r="I3841">
        <v>2016</v>
      </c>
      <c r="J3841" t="s">
        <v>20</v>
      </c>
      <c r="K3841" s="2" t="str">
        <f>HYPERLINK("https://www.nba.com/stats/events?CFID=&amp;CFPARAMS=&amp;GameEventID=16&amp;GameID=0021600801&amp;Season=2016-17&amp;flag=1&amp;title=Leonard%2012'%20Pullup%20Jump%20Shot%20(2%20PTS)", "Leonard 12' Pullup Jump Shot (2 PTS)")</f>
        <v>Leonard 12' Pullup Jump Shot (2 PTS)</v>
      </c>
      <c r="L3841" s="2" t="str">
        <f>HYPERLINK("https://www.nba.com/game/...-vs-...-0021600801/play-by-play?watchFullGame=true", "SAS vs DET - Q1 09:45.00")</f>
        <v>SAS vs DET - Q1 09:45.00</v>
      </c>
      <c r="M3841">
        <v>12</v>
      </c>
      <c r="N3841">
        <v>17</v>
      </c>
      <c r="O3841">
        <v>115</v>
      </c>
      <c r="P3841">
        <v>17</v>
      </c>
      <c r="Q3841">
        <v>115</v>
      </c>
      <c r="R3841" t="s">
        <v>21</v>
      </c>
      <c r="S3841" t="s">
        <v>21</v>
      </c>
    </row>
    <row r="3842" spans="1:19" hidden="1" x14ac:dyDescent="0.25">
      <c r="A3842">
        <v>21700550</v>
      </c>
      <c r="B3842" t="s">
        <v>18</v>
      </c>
      <c r="C3842" t="s">
        <v>34</v>
      </c>
      <c r="D3842">
        <v>27</v>
      </c>
      <c r="E3842">
        <v>34</v>
      </c>
      <c r="F3842">
        <v>7</v>
      </c>
      <c r="G3842">
        <v>2</v>
      </c>
      <c r="H3842" s="1">
        <v>6.7824074074074071E-3</v>
      </c>
      <c r="I3842">
        <v>2017</v>
      </c>
      <c r="J3842" t="s">
        <v>20</v>
      </c>
      <c r="K3842" s="2" t="str">
        <f>HYPERLINK("https://www.nba.com/stats/events?CFID=&amp;CFPARAMS=&amp;GameEventID=185&amp;GameID=0021700550&amp;Season=2017-18&amp;flag=1&amp;title=Leonard%2012'%20Turnaround%20Jump%20Shot%20(5%20PTS)", "Leonard 12' Turnaround Jump Shot (5 PTS)")</f>
        <v>Leonard 12' Turnaround Jump Shot (5 PTS)</v>
      </c>
      <c r="L3842" s="2" t="str">
        <f>HYPERLINK("https://www.nba.com/game/...-vs-...-0021700550/play-by-play?watchFullGame=true", "SAS vs NYK - Q2 09:46.00")</f>
        <v>SAS vs NYK - Q2 09:46.00</v>
      </c>
      <c r="M3842">
        <v>12</v>
      </c>
      <c r="N3842">
        <v>-105</v>
      </c>
      <c r="O3842">
        <v>52</v>
      </c>
      <c r="P3842">
        <v>-105</v>
      </c>
      <c r="Q3842">
        <v>52</v>
      </c>
      <c r="R3842" t="s">
        <v>21</v>
      </c>
      <c r="S3842" t="s">
        <v>21</v>
      </c>
    </row>
    <row r="3843" spans="1:19" hidden="1" x14ac:dyDescent="0.25">
      <c r="A3843">
        <v>41800306</v>
      </c>
      <c r="B3843" t="s">
        <v>18</v>
      </c>
      <c r="C3843" t="s">
        <v>39</v>
      </c>
      <c r="D3843">
        <v>6</v>
      </c>
      <c r="E3843">
        <v>3</v>
      </c>
      <c r="F3843">
        <v>3</v>
      </c>
      <c r="G3843">
        <v>1</v>
      </c>
      <c r="H3843" s="1">
        <v>6.8865740740740745E-3</v>
      </c>
      <c r="I3843" t="s">
        <v>60</v>
      </c>
      <c r="J3843" t="s">
        <v>48</v>
      </c>
      <c r="K3843" s="2" t="str">
        <f>HYPERLINK("https://www.nba.com/stats/events?CFID=&amp;CFPARAMS=&amp;GameEventID=22&amp;GameID=0041800306&amp;Season=2018-19&amp;flag=1&amp;title=Leonard%2012'%20Step%20Back%20Jump%20Shot%20(2%20PTS)", "Leonard 12' Step Back Jump Shot (2 PTS)")</f>
        <v>Leonard 12' Step Back Jump Shot (2 PTS)</v>
      </c>
      <c r="L3843" s="2" t="str">
        <f>HYPERLINK("https://www.nba.com/game/...-vs-...-0041800306/play-by-play?watchFullGame=true", "TOR vs MIL - Q1 09:55.00")</f>
        <v>TOR vs MIL - Q1 09:55.00</v>
      </c>
      <c r="M3843">
        <v>12</v>
      </c>
      <c r="N3843">
        <v>-116</v>
      </c>
      <c r="O3843">
        <v>24</v>
      </c>
      <c r="P3843">
        <v>-116</v>
      </c>
      <c r="Q3843">
        <v>24</v>
      </c>
      <c r="R3843" t="s">
        <v>21</v>
      </c>
      <c r="S3843" t="s">
        <v>21</v>
      </c>
    </row>
    <row r="3844" spans="1:19" hidden="1" x14ac:dyDescent="0.25">
      <c r="A3844">
        <v>21800041</v>
      </c>
      <c r="B3844" t="s">
        <v>18</v>
      </c>
      <c r="C3844" t="s">
        <v>36</v>
      </c>
      <c r="D3844">
        <v>8</v>
      </c>
      <c r="E3844">
        <v>2</v>
      </c>
      <c r="F3844">
        <v>6</v>
      </c>
      <c r="G3844">
        <v>1</v>
      </c>
      <c r="H3844" s="1">
        <v>7.1064814814814819E-3</v>
      </c>
      <c r="I3844">
        <v>2018</v>
      </c>
      <c r="J3844" t="s">
        <v>48</v>
      </c>
      <c r="K3844" s="2" t="str">
        <f>HYPERLINK("https://www.nba.com/stats/events?CFID=&amp;CFPARAMS=&amp;GameEventID=20&amp;GameID=0021800041&amp;Season=2018-19&amp;flag=1&amp;title=Leonard%2012'%20Pullup%20Jump%20Shot%20(5%20PTS)%20(Lowry%201%20AST)", "Leonard 12' Pullup Jump Shot (5 PTS) (Lowry 1 AST)")</f>
        <v>Leonard 12' Pullup Jump Shot (5 PTS) (Lowry 1 AST)</v>
      </c>
      <c r="L3844" s="2" t="str">
        <f>HYPERLINK("https://www.nba.com/game/...-vs-...-0021800041/play-by-play?watchFullGame=true", "TOR vs CHA - Q1 10:14.00")</f>
        <v>TOR vs CHA - Q1 10:14.00</v>
      </c>
      <c r="M3844">
        <v>12</v>
      </c>
      <c r="N3844">
        <v>54</v>
      </c>
      <c r="O3844">
        <v>104</v>
      </c>
      <c r="P3844">
        <v>54</v>
      </c>
      <c r="Q3844">
        <v>104</v>
      </c>
      <c r="R3844" t="s">
        <v>21</v>
      </c>
      <c r="S3844" t="s">
        <v>21</v>
      </c>
    </row>
    <row r="3845" spans="1:19" hidden="1" x14ac:dyDescent="0.25">
      <c r="A3845">
        <v>21500945</v>
      </c>
      <c r="B3845" t="s">
        <v>18</v>
      </c>
      <c r="C3845" t="s">
        <v>39</v>
      </c>
      <c r="D3845">
        <v>5</v>
      </c>
      <c r="E3845">
        <v>4</v>
      </c>
      <c r="F3845">
        <v>1</v>
      </c>
      <c r="G3845">
        <v>1</v>
      </c>
      <c r="H3845" s="1">
        <v>7.1180555555555554E-3</v>
      </c>
      <c r="I3845">
        <v>2015</v>
      </c>
      <c r="J3845" t="s">
        <v>20</v>
      </c>
      <c r="K3845" s="2" t="str">
        <f>HYPERLINK("https://www.nba.com/stats/events?CFID=&amp;CFPARAMS=&amp;GameEventID=14&amp;GameID=0021500945&amp;Season=2015-16&amp;flag=1&amp;title=Leonard%2012'%20Step%20Back%20Jump%20Shot%20(2%20PTS)", "Leonard 12' Step Back Jump Shot (2 PTS)")</f>
        <v>Leonard 12' Step Back Jump Shot (2 PTS)</v>
      </c>
      <c r="L3845" s="2" t="str">
        <f>HYPERLINK("https://www.nba.com/game/...-vs-...-0021500945/play-by-play?watchFullGame=true", "SAS vs MIN - Q1 10:15.00")</f>
        <v>SAS vs MIN - Q1 10:15.00</v>
      </c>
      <c r="M3845">
        <v>12</v>
      </c>
      <c r="N3845">
        <v>104</v>
      </c>
      <c r="O3845">
        <v>56</v>
      </c>
      <c r="P3845">
        <v>104</v>
      </c>
      <c r="Q3845">
        <v>56</v>
      </c>
      <c r="R3845" t="s">
        <v>21</v>
      </c>
      <c r="S3845" t="s">
        <v>21</v>
      </c>
    </row>
    <row r="3846" spans="1:19" hidden="1" x14ac:dyDescent="0.25">
      <c r="A3846">
        <v>21300914</v>
      </c>
      <c r="B3846" t="s">
        <v>18</v>
      </c>
      <c r="C3846" t="s">
        <v>36</v>
      </c>
      <c r="D3846">
        <v>5</v>
      </c>
      <c r="E3846">
        <v>2</v>
      </c>
      <c r="F3846">
        <v>3</v>
      </c>
      <c r="G3846">
        <v>1</v>
      </c>
      <c r="H3846" s="1">
        <v>7.1527777777777779E-3</v>
      </c>
      <c r="I3846">
        <v>2013</v>
      </c>
      <c r="J3846" t="s">
        <v>20</v>
      </c>
      <c r="K3846" s="2" t="str">
        <f>HYPERLINK("https://www.nba.com/stats/events?CFID=&amp;CFPARAMS=&amp;GameEventID=14&amp;GameID=0021300914&amp;Season=2013-14&amp;flag=1&amp;title=Leonard%2012'%20Pullup%20Jump%20Shot%20(2%20PTS)%20(Parker%202%20AST)", "Leonard 12' Pullup Jump Shot (2 PTS) (Parker 2 AST)")</f>
        <v>Leonard 12' Pullup Jump Shot (2 PTS) (Parker 2 AST)</v>
      </c>
      <c r="L3846" s="2" t="str">
        <f>HYPERLINK("https://www.nba.com/game/...-vs-...-0021300914/play-by-play?watchFullGame=true", "SAS vs MIA - Q1 10:18.00")</f>
        <v>SAS vs MIA - Q1 10:18.00</v>
      </c>
      <c r="M3846">
        <v>12</v>
      </c>
      <c r="N3846">
        <v>116</v>
      </c>
      <c r="O3846">
        <v>42</v>
      </c>
      <c r="P3846">
        <v>116</v>
      </c>
      <c r="Q3846">
        <v>42</v>
      </c>
      <c r="R3846" t="s">
        <v>21</v>
      </c>
      <c r="S3846" t="s">
        <v>21</v>
      </c>
    </row>
    <row r="3847" spans="1:19" hidden="1" x14ac:dyDescent="0.25">
      <c r="A3847">
        <v>21600605</v>
      </c>
      <c r="B3847" t="s">
        <v>18</v>
      </c>
      <c r="C3847" t="s">
        <v>37</v>
      </c>
      <c r="D3847">
        <v>34</v>
      </c>
      <c r="E3847">
        <v>30</v>
      </c>
      <c r="F3847">
        <v>4</v>
      </c>
      <c r="G3847">
        <v>2</v>
      </c>
      <c r="H3847" s="1">
        <v>7.2569444444444443E-3</v>
      </c>
      <c r="I3847">
        <v>2016</v>
      </c>
      <c r="J3847" t="s">
        <v>20</v>
      </c>
      <c r="K3847" s="2" t="str">
        <f>HYPERLINK("https://www.nba.com/stats/events?CFID=&amp;CFPARAMS=&amp;GameEventID=153&amp;GameID=0021600605&amp;Season=2016-17&amp;flag=1&amp;title=Leonard%2012'%20Fadeaway%20Jumper%20(4%20PTS)", "Leonard 12' Fadeaway Jumper (4 PTS)")</f>
        <v>Leonard 12' Fadeaway Jumper (4 PTS)</v>
      </c>
      <c r="L3847" s="2" t="str">
        <f>HYPERLINK("https://www.nba.com/game/...-vs-...-0021600605/play-by-play?watchFullGame=true", "SAS vs PHX - Q2 10:27.00")</f>
        <v>SAS vs PHX - Q2 10:27.00</v>
      </c>
      <c r="M3847">
        <v>12</v>
      </c>
      <c r="N3847">
        <v>114</v>
      </c>
      <c r="O3847">
        <v>46</v>
      </c>
      <c r="P3847">
        <v>114</v>
      </c>
      <c r="Q3847">
        <v>46</v>
      </c>
      <c r="R3847" t="s">
        <v>21</v>
      </c>
      <c r="S3847" t="s">
        <v>21</v>
      </c>
    </row>
    <row r="3848" spans="1:19" hidden="1" x14ac:dyDescent="0.25">
      <c r="A3848">
        <v>41400163</v>
      </c>
      <c r="B3848" t="s">
        <v>18</v>
      </c>
      <c r="C3848" t="s">
        <v>36</v>
      </c>
      <c r="D3848">
        <v>50</v>
      </c>
      <c r="E3848">
        <v>40</v>
      </c>
      <c r="F3848">
        <v>10</v>
      </c>
      <c r="G3848">
        <v>3</v>
      </c>
      <c r="H3848" s="1">
        <v>7.2916666666666668E-3</v>
      </c>
      <c r="I3848" t="s">
        <v>56</v>
      </c>
      <c r="J3848" t="s">
        <v>20</v>
      </c>
      <c r="K3848" s="2" t="str">
        <f>HYPERLINK("https://www.nba.com/stats/events?CFID=&amp;CFPARAMS=&amp;GameEventID=254&amp;GameID=0041400163&amp;Season=2014-15&amp;flag=1&amp;title=Leonard%2012'%20Pullup%20Jump%20Shot%20(20%20PTS)", "Leonard 12' Pullup Jump Shot (20 PTS)")</f>
        <v>Leonard 12' Pullup Jump Shot (20 PTS)</v>
      </c>
      <c r="L3848" s="2" t="str">
        <f>HYPERLINK("https://www.nba.com/game/...-vs-...-0041400163/play-by-play?watchFullGame=true", "SAS vs LAC - Q3 10:30.00")</f>
        <v>SAS vs LAC - Q3 10:30.00</v>
      </c>
      <c r="M3848">
        <v>12</v>
      </c>
      <c r="N3848">
        <v>29</v>
      </c>
      <c r="O3848">
        <v>121</v>
      </c>
      <c r="P3848">
        <v>29</v>
      </c>
      <c r="Q3848">
        <v>121</v>
      </c>
      <c r="R3848" t="s">
        <v>21</v>
      </c>
      <c r="S3848" t="s">
        <v>21</v>
      </c>
    </row>
    <row r="3849" spans="1:19" hidden="1" x14ac:dyDescent="0.25">
      <c r="A3849">
        <v>21300414</v>
      </c>
      <c r="B3849" t="s">
        <v>18</v>
      </c>
      <c r="C3849" t="s">
        <v>19</v>
      </c>
      <c r="D3849">
        <v>4</v>
      </c>
      <c r="E3849">
        <v>2</v>
      </c>
      <c r="F3849">
        <v>2</v>
      </c>
      <c r="G3849">
        <v>1</v>
      </c>
      <c r="H3849" s="1">
        <v>7.5347222222222222E-3</v>
      </c>
      <c r="I3849">
        <v>2013</v>
      </c>
      <c r="J3849" t="s">
        <v>20</v>
      </c>
      <c r="K3849" s="2" t="str">
        <f>HYPERLINK("https://www.nba.com/stats/events?CFID=&amp;CFPARAMS=&amp;GameEventID=15&amp;GameID=0021300414&amp;Season=2013-14&amp;flag=1&amp;title=Leonard%2012'%20Jump%20Shot%20(2%20PTS)%20(Parker%201%20AST)", "Leonard 12' Jump Shot (2 PTS) (Parker 1 AST)")</f>
        <v>Leonard 12' Jump Shot (2 PTS) (Parker 1 AST)</v>
      </c>
      <c r="L3849" s="2" t="str">
        <f>HYPERLINK("https://www.nba.com/game/...-vs-...-0021300414/play-by-play?watchFullGame=true", "SAS vs TOR - Q1 10:51.00")</f>
        <v>SAS vs TOR - Q1 10:51.00</v>
      </c>
      <c r="M3849">
        <v>12</v>
      </c>
      <c r="N3849">
        <v>-119</v>
      </c>
      <c r="O3849">
        <v>4</v>
      </c>
      <c r="P3849">
        <v>-119</v>
      </c>
      <c r="Q3849">
        <v>4</v>
      </c>
      <c r="R3849" t="s">
        <v>21</v>
      </c>
      <c r="S3849" t="s">
        <v>21</v>
      </c>
    </row>
    <row r="3850" spans="1:19" hidden="1" x14ac:dyDescent="0.25">
      <c r="A3850">
        <v>21400906</v>
      </c>
      <c r="B3850" t="s">
        <v>18</v>
      </c>
      <c r="C3850" t="s">
        <v>38</v>
      </c>
      <c r="D3850">
        <v>4</v>
      </c>
      <c r="E3850">
        <v>0</v>
      </c>
      <c r="F3850">
        <v>4</v>
      </c>
      <c r="G3850">
        <v>1</v>
      </c>
      <c r="H3850" s="1">
        <v>7.5925925925925926E-3</v>
      </c>
      <c r="I3850">
        <v>2014</v>
      </c>
      <c r="J3850" t="s">
        <v>20</v>
      </c>
      <c r="K3850" s="2" t="str">
        <f>HYPERLINK("https://www.nba.com/stats/events?CFID=&amp;CFPARAMS=&amp;GameEventID=6&amp;GameID=0021400906&amp;Season=2014-15&amp;flag=1&amp;title=Leonard%2012'%20Turnaround%20Fadeaway%20(4%20PTS)", "Leonard 12' Turnaround Fadeaway (4 PTS)")</f>
        <v>Leonard 12' Turnaround Fadeaway (4 PTS)</v>
      </c>
      <c r="L3850" s="2" t="str">
        <f>HYPERLINK("https://www.nba.com/game/...-vs-...-0021400906/play-by-play?watchFullGame=true", "SAS vs SAC - Q1 10:56.00")</f>
        <v>SAS vs SAC - Q1 10:56.00</v>
      </c>
      <c r="M3850">
        <v>12</v>
      </c>
      <c r="N3850">
        <v>124</v>
      </c>
      <c r="O3850">
        <v>3</v>
      </c>
      <c r="P3850">
        <v>124</v>
      </c>
      <c r="Q3850">
        <v>3</v>
      </c>
      <c r="R3850" t="s">
        <v>21</v>
      </c>
      <c r="S3850" t="s">
        <v>21</v>
      </c>
    </row>
    <row r="3851" spans="1:19" hidden="1" x14ac:dyDescent="0.25">
      <c r="A3851">
        <v>21500653</v>
      </c>
      <c r="B3851" t="s">
        <v>18</v>
      </c>
      <c r="C3851" t="s">
        <v>19</v>
      </c>
      <c r="D3851">
        <v>58</v>
      </c>
      <c r="E3851">
        <v>43</v>
      </c>
      <c r="F3851">
        <v>15</v>
      </c>
      <c r="G3851">
        <v>3</v>
      </c>
      <c r="H3851" s="1">
        <v>7.6041666666666671E-3</v>
      </c>
      <c r="I3851">
        <v>2015</v>
      </c>
      <c r="J3851" t="s">
        <v>20</v>
      </c>
      <c r="K3851" s="2" t="str">
        <f>HYPERLINK("https://www.nba.com/stats/events?CFID=&amp;CFPARAMS=&amp;GameEventID=255&amp;GameID=0021500653&amp;Season=2015-16&amp;flag=1&amp;title=Leonard%2012'%20Jump%20Shot%20(12%20PTS)", "Leonard 12' Jump Shot (12 PTS)")</f>
        <v>Leonard 12' Jump Shot (12 PTS)</v>
      </c>
      <c r="L3851" s="2" t="str">
        <f>HYPERLINK("https://www.nba.com/game/...-vs-...-0021500653/play-by-play?watchFullGame=true", "SAS vs LAL - Q3 10:57.00")</f>
        <v>SAS vs LAL - Q3 10:57.00</v>
      </c>
      <c r="M3851">
        <v>12</v>
      </c>
      <c r="N3851">
        <v>105</v>
      </c>
      <c r="O3851">
        <v>65</v>
      </c>
      <c r="P3851">
        <v>105</v>
      </c>
      <c r="Q3851">
        <v>65</v>
      </c>
      <c r="R3851" t="s">
        <v>21</v>
      </c>
      <c r="S3851" t="s">
        <v>21</v>
      </c>
    </row>
    <row r="3852" spans="1:19" hidden="1" x14ac:dyDescent="0.25">
      <c r="A3852">
        <v>41200407</v>
      </c>
      <c r="B3852" t="s">
        <v>18</v>
      </c>
      <c r="C3852" t="s">
        <v>34</v>
      </c>
      <c r="D3852">
        <v>46</v>
      </c>
      <c r="E3852">
        <v>46</v>
      </c>
      <c r="F3852">
        <v>0</v>
      </c>
      <c r="G3852">
        <v>3</v>
      </c>
      <c r="H3852" s="1">
        <v>7.951388888888888E-3</v>
      </c>
      <c r="I3852" t="s">
        <v>53</v>
      </c>
      <c r="J3852" t="s">
        <v>20</v>
      </c>
      <c r="K3852" s="2" t="str">
        <f>HYPERLINK("https://www.nba.com/stats/events?CFID=&amp;CFPARAMS=&amp;GameEventID=277&amp;GameID=0041200407&amp;Season=2012-13&amp;flag=1&amp;title=Leonard%2012'%20Turnaround%20Jump%20Shot%20(7%20PTS)", "Leonard 12' Turnaround Jump Shot (7 PTS)")</f>
        <v>Leonard 12' Turnaround Jump Shot (7 PTS)</v>
      </c>
      <c r="L3852" s="2" t="str">
        <f>HYPERLINK("https://www.nba.com/game/...-vs-...-0041200407/play-by-play?watchFullGame=true", "SAS vs MIA - Q3 11:27.00")</f>
        <v>SAS vs MIA - Q3 11:27.00</v>
      </c>
      <c r="M3852">
        <v>12</v>
      </c>
      <c r="N3852">
        <v>-59</v>
      </c>
      <c r="O3852">
        <v>102</v>
      </c>
      <c r="P3852">
        <v>-59</v>
      </c>
      <c r="Q3852">
        <v>102</v>
      </c>
      <c r="R3852" t="s">
        <v>21</v>
      </c>
      <c r="S3852" t="s">
        <v>21</v>
      </c>
    </row>
    <row r="3853" spans="1:19" hidden="1" x14ac:dyDescent="0.25">
      <c r="A3853">
        <v>21300094</v>
      </c>
      <c r="B3853" t="s">
        <v>18</v>
      </c>
      <c r="C3853" t="s">
        <v>37</v>
      </c>
      <c r="D3853">
        <v>92</v>
      </c>
      <c r="E3853">
        <v>60</v>
      </c>
      <c r="F3853">
        <v>32</v>
      </c>
      <c r="G3853">
        <v>4</v>
      </c>
      <c r="H3853" s="1">
        <v>8.0902777777777778E-3</v>
      </c>
      <c r="I3853">
        <v>2013</v>
      </c>
      <c r="J3853" t="s">
        <v>20</v>
      </c>
      <c r="K3853" s="2" t="str">
        <f>HYPERLINK("https://www.nba.com/stats/events?CFID=&amp;CFPARAMS=&amp;GameEventID=399&amp;GameID=0021300094&amp;Season=2013-14&amp;flag=1&amp;title=Leonard%2012'%20Fadeaway%20Jumper%20(16%20PTS)", "Leonard 12' Fadeaway Jumper (16 PTS)")</f>
        <v>Leonard 12' Fadeaway Jumper (16 PTS)</v>
      </c>
      <c r="L3853" s="2" t="str">
        <f>HYPERLINK("https://www.nba.com/game/...-vs-...-0021300094/play-by-play?watchFullGame=true", "SAS vs NYK - Q4 11:39.00")</f>
        <v>SAS vs NYK - Q4 11:39.00</v>
      </c>
      <c r="M3853">
        <v>12</v>
      </c>
      <c r="N3853">
        <v>-48</v>
      </c>
      <c r="O3853">
        <v>110</v>
      </c>
      <c r="P3853">
        <v>-48</v>
      </c>
      <c r="Q3853">
        <v>110</v>
      </c>
      <c r="R3853" t="s">
        <v>21</v>
      </c>
      <c r="S3853" t="s">
        <v>21</v>
      </c>
    </row>
    <row r="3854" spans="1:19" hidden="1" x14ac:dyDescent="0.25">
      <c r="A3854">
        <v>21800602</v>
      </c>
      <c r="B3854" t="s">
        <v>18</v>
      </c>
      <c r="C3854" t="s">
        <v>49</v>
      </c>
      <c r="D3854">
        <v>2</v>
      </c>
      <c r="E3854">
        <v>0</v>
      </c>
      <c r="F3854">
        <v>2</v>
      </c>
      <c r="G3854">
        <v>1</v>
      </c>
      <c r="H3854" s="1">
        <v>8.1018518518518514E-3</v>
      </c>
      <c r="I3854">
        <v>2018</v>
      </c>
      <c r="J3854" t="s">
        <v>48</v>
      </c>
      <c r="K3854" s="2" t="str">
        <f>HYPERLINK("https://www.nba.com/stats/events?CFID=&amp;CFPARAMS=&amp;GameEventID=9&amp;GameID=0021800602&amp;Season=2018-19&amp;flag=1&amp;title=Leonard%2012'%20Driving%20Floating%20Bank%20Jump%20Shot%20(2%20PTS)", "Leonard 12' Driving Floating Bank Jump Shot (2 PTS)")</f>
        <v>Leonard 12' Driving Floating Bank Jump Shot (2 PTS)</v>
      </c>
      <c r="L3854" s="2" t="str">
        <f>HYPERLINK("https://www.nba.com/game/...-vs-...-0021800602/play-by-play?watchFullGame=true", "TOR vs ATL - Q1 11:40.00")</f>
        <v>TOR vs ATL - Q1 11:40.00</v>
      </c>
      <c r="M3854">
        <v>12</v>
      </c>
      <c r="N3854">
        <v>48</v>
      </c>
      <c r="O3854">
        <v>111</v>
      </c>
      <c r="P3854">
        <v>48</v>
      </c>
      <c r="Q3854">
        <v>111</v>
      </c>
      <c r="R3854" t="s">
        <v>21</v>
      </c>
      <c r="S3854" t="s">
        <v>21</v>
      </c>
    </row>
    <row r="3855" spans="1:19" hidden="1" x14ac:dyDescent="0.25">
      <c r="A3855">
        <v>21500960</v>
      </c>
      <c r="B3855" t="s">
        <v>18</v>
      </c>
      <c r="C3855" t="s">
        <v>37</v>
      </c>
      <c r="D3855">
        <v>2</v>
      </c>
      <c r="E3855">
        <v>0</v>
      </c>
      <c r="F3855">
        <v>2</v>
      </c>
      <c r="G3855">
        <v>1</v>
      </c>
      <c r="H3855" s="1">
        <v>8.1828703703703699E-3</v>
      </c>
      <c r="I3855">
        <v>2015</v>
      </c>
      <c r="J3855" t="s">
        <v>20</v>
      </c>
      <c r="K3855" s="2" t="str">
        <f>HYPERLINK("https://www.nba.com/stats/events?CFID=&amp;CFPARAMS=&amp;GameEventID=2&amp;GameID=0021500960&amp;Season=2015-16&amp;flag=1&amp;title=Leonard%2012'%20Fadeaway%20Jumper%20(2%20PTS)", "Leonard 12' Fadeaway Jumper (2 PTS)")</f>
        <v>Leonard 12' Fadeaway Jumper (2 PTS)</v>
      </c>
      <c r="L3855" s="2" t="str">
        <f>HYPERLINK("https://www.nba.com/game/...-vs-...-0021500960/play-by-play?watchFullGame=true", "SAS vs CHI - Q1 11:47.00")</f>
        <v>SAS vs CHI - Q1 11:47.00</v>
      </c>
      <c r="M3855">
        <v>12</v>
      </c>
      <c r="N3855">
        <v>64</v>
      </c>
      <c r="O3855">
        <v>97</v>
      </c>
      <c r="P3855">
        <v>64</v>
      </c>
      <c r="Q3855">
        <v>97</v>
      </c>
      <c r="R3855" t="s">
        <v>21</v>
      </c>
      <c r="S3855" t="s">
        <v>21</v>
      </c>
    </row>
    <row r="3856" spans="1:19" hidden="1" x14ac:dyDescent="0.25">
      <c r="A3856">
        <v>41800404</v>
      </c>
      <c r="B3856" t="s">
        <v>18</v>
      </c>
      <c r="C3856" t="s">
        <v>19</v>
      </c>
      <c r="D3856">
        <v>79</v>
      </c>
      <c r="E3856">
        <v>67</v>
      </c>
      <c r="F3856">
        <v>12</v>
      </c>
      <c r="G3856">
        <v>3</v>
      </c>
      <c r="H3856" s="1">
        <v>4.6296296296296294E-5</v>
      </c>
      <c r="I3856" t="s">
        <v>60</v>
      </c>
      <c r="J3856" t="s">
        <v>48</v>
      </c>
      <c r="K3856" s="2" t="str">
        <f>HYPERLINK("https://www.nba.com/stats/events?CFID=&amp;CFPARAMS=&amp;GameEventID=497&amp;GameID=0041800404&amp;Season=2018-19&amp;flag=1&amp;title=Leonard%2011'%20Jump%20Shot%20(31%20PTS)%20(VanVleet%206%20AST)", "Leonard 11' Jump Shot (31 PTS) (VanVleet 6 AST)")</f>
        <v>Leonard 11' Jump Shot (31 PTS) (VanVleet 6 AST)</v>
      </c>
      <c r="L3856" s="2" t="str">
        <f>HYPERLINK("https://www.nba.com/game/...-vs-...-0041800404/play-by-play?watchFullGame=true", "TOR vs GSW - Q3 00:04.00")</f>
        <v>TOR vs GSW - Q3 00:04.00</v>
      </c>
      <c r="M3856">
        <v>11</v>
      </c>
      <c r="N3856">
        <v>-112</v>
      </c>
      <c r="O3856">
        <v>0</v>
      </c>
      <c r="P3856">
        <v>-112</v>
      </c>
      <c r="Q3856">
        <v>0</v>
      </c>
      <c r="R3856" t="s">
        <v>21</v>
      </c>
      <c r="S3856" t="s">
        <v>21</v>
      </c>
    </row>
    <row r="3857" spans="1:19" hidden="1" x14ac:dyDescent="0.25">
      <c r="A3857">
        <v>21800206</v>
      </c>
      <c r="B3857" t="s">
        <v>18</v>
      </c>
      <c r="C3857" t="s">
        <v>36</v>
      </c>
      <c r="D3857">
        <v>104</v>
      </c>
      <c r="E3857">
        <v>104</v>
      </c>
      <c r="F3857">
        <v>0</v>
      </c>
      <c r="G3857">
        <v>4</v>
      </c>
      <c r="H3857" s="1">
        <v>4.4907407407407407E-4</v>
      </c>
      <c r="I3857">
        <v>2018</v>
      </c>
      <c r="J3857" t="s">
        <v>48</v>
      </c>
      <c r="K3857" s="2" t="str">
        <f>HYPERLINK("https://www.nba.com/stats/events?CFID=&amp;CFPARAMS=&amp;GameEventID=640&amp;GameID=0021800206&amp;Season=2018-19&amp;flag=1&amp;title=Leonard%2011'%20Pullup%20Jump%20Shot%20(26%20PTS)", "Leonard 11' Pullup Jump Shot (26 PTS)")</f>
        <v>Leonard 11' Pullup Jump Shot (26 PTS)</v>
      </c>
      <c r="L3857" s="2" t="str">
        <f>HYPERLINK("https://www.nba.com/game/...-vs-...-0021800206/play-by-play?watchFullGame=true", "TOR vs DET - Q4 00:38.80")</f>
        <v>TOR vs DET - Q4 00:38.80</v>
      </c>
      <c r="M3857">
        <v>11</v>
      </c>
      <c r="N3857">
        <v>45</v>
      </c>
      <c r="O3857">
        <v>98</v>
      </c>
      <c r="P3857">
        <v>45</v>
      </c>
      <c r="Q3857">
        <v>98</v>
      </c>
      <c r="R3857" t="s">
        <v>21</v>
      </c>
      <c r="S3857" t="s">
        <v>21</v>
      </c>
    </row>
    <row r="3858" spans="1:19" hidden="1" x14ac:dyDescent="0.25">
      <c r="A3858">
        <v>41800404</v>
      </c>
      <c r="B3858" t="s">
        <v>18</v>
      </c>
      <c r="C3858" t="s">
        <v>38</v>
      </c>
      <c r="D3858">
        <v>14</v>
      </c>
      <c r="E3858">
        <v>23</v>
      </c>
      <c r="F3858">
        <v>9</v>
      </c>
      <c r="G3858">
        <v>1</v>
      </c>
      <c r="H3858" s="1">
        <v>5.1157407407407412E-4</v>
      </c>
      <c r="I3858" t="s">
        <v>60</v>
      </c>
      <c r="J3858" t="s">
        <v>48</v>
      </c>
      <c r="K3858" s="2" t="str">
        <f>HYPERLINK("https://www.nba.com/stats/events?CFID=&amp;CFPARAMS=&amp;GameEventID=139&amp;GameID=0041800404&amp;Season=2018-19&amp;flag=1&amp;title=Leonard%2011'%20Turnaround%20Fadeaway%20(11%20PTS)", "Leonard 11' Turnaround Fadeaway (11 PTS)")</f>
        <v>Leonard 11' Turnaround Fadeaway (11 PTS)</v>
      </c>
      <c r="L3858" s="2" t="str">
        <f>HYPERLINK("https://www.nba.com/game/...-vs-...-0041800404/play-by-play?watchFullGame=true", "TOR vs GSW - Q1 00:44.20")</f>
        <v>TOR vs GSW - Q1 00:44.20</v>
      </c>
      <c r="M3858">
        <v>11</v>
      </c>
      <c r="N3858">
        <v>30</v>
      </c>
      <c r="O3858">
        <v>109</v>
      </c>
      <c r="P3858">
        <v>30</v>
      </c>
      <c r="Q3858">
        <v>109</v>
      </c>
      <c r="R3858" t="s">
        <v>21</v>
      </c>
      <c r="S3858" t="s">
        <v>21</v>
      </c>
    </row>
    <row r="3859" spans="1:19" hidden="1" x14ac:dyDescent="0.25">
      <c r="A3859">
        <v>21800055</v>
      </c>
      <c r="B3859" t="s">
        <v>18</v>
      </c>
      <c r="C3859" t="s">
        <v>42</v>
      </c>
      <c r="D3859">
        <v>108</v>
      </c>
      <c r="E3859">
        <v>101</v>
      </c>
      <c r="F3859">
        <v>7</v>
      </c>
      <c r="G3859">
        <v>4</v>
      </c>
      <c r="H3859" s="1">
        <v>6.2152777777777781E-4</v>
      </c>
      <c r="I3859">
        <v>2018</v>
      </c>
      <c r="J3859" t="s">
        <v>48</v>
      </c>
      <c r="K3859" s="2" t="str">
        <f>HYPERLINK("https://www.nba.com/stats/events?CFID=&amp;CFPARAMS=&amp;GameEventID=616&amp;GameID=0021800055&amp;Season=2018-19&amp;flag=1&amp;title=Leonard%2011'%20Driving%20Floating%20Jump%20Shot%20(33%20PTS)", "Leonard 11' Driving Floating Jump Shot (33 PTS)")</f>
        <v>Leonard 11' Driving Floating Jump Shot (33 PTS)</v>
      </c>
      <c r="L3859" s="2" t="str">
        <f>HYPERLINK("https://www.nba.com/game/...-vs-...-0021800055/play-by-play?watchFullGame=true", "TOR vs MIN - Q4 00:53.70")</f>
        <v>TOR vs MIN - Q4 00:53.70</v>
      </c>
      <c r="M3859">
        <v>11</v>
      </c>
      <c r="N3859">
        <v>107</v>
      </c>
      <c r="O3859">
        <v>-5</v>
      </c>
      <c r="P3859">
        <v>107</v>
      </c>
      <c r="Q3859">
        <v>-5</v>
      </c>
      <c r="R3859" t="s">
        <v>21</v>
      </c>
      <c r="S3859" t="s">
        <v>21</v>
      </c>
    </row>
    <row r="3860" spans="1:19" hidden="1" x14ac:dyDescent="0.25">
      <c r="A3860">
        <v>21600319</v>
      </c>
      <c r="B3860" t="s">
        <v>18</v>
      </c>
      <c r="C3860" t="s">
        <v>19</v>
      </c>
      <c r="D3860">
        <v>43</v>
      </c>
      <c r="E3860">
        <v>44</v>
      </c>
      <c r="F3860">
        <v>1</v>
      </c>
      <c r="G3860">
        <v>2</v>
      </c>
      <c r="H3860" s="1">
        <v>6.226851851851851E-4</v>
      </c>
      <c r="I3860">
        <v>2016</v>
      </c>
      <c r="J3860" t="s">
        <v>20</v>
      </c>
      <c r="K3860" s="2" t="str">
        <f>HYPERLINK("https://www.nba.com/stats/events?CFID=&amp;CFPARAMS=&amp;GameEventID=208&amp;GameID=0021600319&amp;Season=2016-17&amp;flag=1&amp;title=Leonard%2011'%20Jump%20Shot%20(12%20PTS)", "Leonard 11' Jump Shot (12 PTS)")</f>
        <v>Leonard 11' Jump Shot (12 PTS)</v>
      </c>
      <c r="L3860" s="2" t="str">
        <f>HYPERLINK("https://www.nba.com/game/...-vs-...-0021600319/play-by-play?watchFullGame=true", "SAS vs MIN - Q2 00:53.80")</f>
        <v>SAS vs MIN - Q2 00:53.80</v>
      </c>
      <c r="M3860">
        <v>11</v>
      </c>
      <c r="N3860">
        <v>-110</v>
      </c>
      <c r="O3860">
        <v>16</v>
      </c>
      <c r="P3860">
        <v>-110</v>
      </c>
      <c r="Q3860">
        <v>16</v>
      </c>
      <c r="R3860" t="s">
        <v>21</v>
      </c>
      <c r="S3860" t="s">
        <v>21</v>
      </c>
    </row>
    <row r="3861" spans="1:19" hidden="1" x14ac:dyDescent="0.25">
      <c r="A3861">
        <v>21800549</v>
      </c>
      <c r="B3861" t="s">
        <v>18</v>
      </c>
      <c r="C3861" t="s">
        <v>38</v>
      </c>
      <c r="D3861">
        <v>26</v>
      </c>
      <c r="E3861">
        <v>22</v>
      </c>
      <c r="F3861">
        <v>4</v>
      </c>
      <c r="G3861">
        <v>1</v>
      </c>
      <c r="H3861" s="1">
        <v>6.9444444444444447E-4</v>
      </c>
      <c r="I3861">
        <v>2018</v>
      </c>
      <c r="J3861" t="s">
        <v>48</v>
      </c>
      <c r="K3861" s="2" t="str">
        <f>HYPERLINK("https://www.nba.com/stats/events?CFID=&amp;CFPARAMS=&amp;GameEventID=140&amp;GameID=0021800549&amp;Season=2018-19&amp;flag=1&amp;title=Leonard%2011'%20Turnaround%20Fadeaway%20(10%20PTS)", "Leonard 11' Turnaround Fadeaway (10 PTS)")</f>
        <v>Leonard 11' Turnaround Fadeaway (10 PTS)</v>
      </c>
      <c r="L3861" s="2" t="str">
        <f>HYPERLINK("https://www.nba.com/game/...-vs-...-0021800549/play-by-play?watchFullGame=true", "TOR vs UTA - Q1 01:00.00")</f>
        <v>TOR vs UTA - Q1 01:00.00</v>
      </c>
      <c r="M3861">
        <v>11</v>
      </c>
      <c r="N3861">
        <v>-97</v>
      </c>
      <c r="O3861">
        <v>51</v>
      </c>
      <c r="P3861">
        <v>-97</v>
      </c>
      <c r="Q3861">
        <v>51</v>
      </c>
      <c r="R3861" t="s">
        <v>21</v>
      </c>
      <c r="S3861" t="s">
        <v>21</v>
      </c>
    </row>
    <row r="3862" spans="1:19" hidden="1" x14ac:dyDescent="0.25">
      <c r="A3862">
        <v>41800212</v>
      </c>
      <c r="B3862" t="s">
        <v>18</v>
      </c>
      <c r="C3862" t="s">
        <v>42</v>
      </c>
      <c r="D3862">
        <v>63</v>
      </c>
      <c r="E3862">
        <v>66</v>
      </c>
      <c r="F3862">
        <v>3</v>
      </c>
      <c r="G3862">
        <v>3</v>
      </c>
      <c r="H3862" s="1">
        <v>7.0601851851851847E-4</v>
      </c>
      <c r="I3862" t="s">
        <v>60</v>
      </c>
      <c r="J3862" t="s">
        <v>48</v>
      </c>
      <c r="K3862" s="2" t="str">
        <f>HYPERLINK("https://www.nba.com/stats/events?CFID=&amp;CFPARAMS=&amp;GameEventID=472&amp;GameID=0041800212&amp;Season=2018-19&amp;flag=1&amp;title=Leonard%2011'%20Driving%20Floating%20Jump%20Shot%20(26%20PTS)", "Leonard 11' Driving Floating Jump Shot (26 PTS)")</f>
        <v>Leonard 11' Driving Floating Jump Shot (26 PTS)</v>
      </c>
      <c r="L3862" s="2" t="str">
        <f>HYPERLINK("https://www.nba.com/game/...-vs-...-0041800212/play-by-play?watchFullGame=true", "TOR vs PHI - Q3 01:01.00")</f>
        <v>TOR vs PHI - Q3 01:01.00</v>
      </c>
      <c r="M3862">
        <v>11</v>
      </c>
      <c r="N3862">
        <v>-50</v>
      </c>
      <c r="O3862">
        <v>96</v>
      </c>
      <c r="P3862">
        <v>-50</v>
      </c>
      <c r="Q3862">
        <v>96</v>
      </c>
      <c r="R3862" t="s">
        <v>21</v>
      </c>
      <c r="S3862" t="s">
        <v>21</v>
      </c>
    </row>
    <row r="3863" spans="1:19" hidden="1" x14ac:dyDescent="0.25">
      <c r="A3863">
        <v>21300258</v>
      </c>
      <c r="B3863" t="s">
        <v>18</v>
      </c>
      <c r="C3863" t="s">
        <v>19</v>
      </c>
      <c r="D3863">
        <v>98</v>
      </c>
      <c r="E3863">
        <v>94</v>
      </c>
      <c r="F3863">
        <v>4</v>
      </c>
      <c r="G3863">
        <v>4</v>
      </c>
      <c r="H3863" s="1">
        <v>7.0601851851851847E-4</v>
      </c>
      <c r="I3863">
        <v>2013</v>
      </c>
      <c r="J3863" t="s">
        <v>20</v>
      </c>
      <c r="K3863" s="2" t="str">
        <f>HYPERLINK("https://www.nba.com/stats/events?CFID=&amp;CFPARAMS=&amp;GameEventID=447&amp;GameID=0021300258&amp;Season=2013-14&amp;flag=1&amp;title=Leonard%2011'%20Jump%20Shot%20(4%20PTS)", "Leonard 11' Jump Shot (4 PTS)")</f>
        <v>Leonard 11' Jump Shot (4 PTS)</v>
      </c>
      <c r="L3863" s="2" t="str">
        <f>HYPERLINK("https://www.nba.com/game/...-vs-...-0021300258/play-by-play?watchFullGame=true", "SAS vs ATL - Q4 01:01.00")</f>
        <v>SAS vs ATL - Q4 01:01.00</v>
      </c>
      <c r="M3863">
        <v>11</v>
      </c>
      <c r="N3863">
        <v>92</v>
      </c>
      <c r="O3863">
        <v>53</v>
      </c>
      <c r="P3863">
        <v>92</v>
      </c>
      <c r="Q3863">
        <v>53</v>
      </c>
      <c r="R3863" t="s">
        <v>21</v>
      </c>
      <c r="S3863" t="s">
        <v>21</v>
      </c>
    </row>
    <row r="3864" spans="1:19" hidden="1" x14ac:dyDescent="0.25">
      <c r="A3864">
        <v>21700470</v>
      </c>
      <c r="B3864" t="s">
        <v>18</v>
      </c>
      <c r="C3864" t="s">
        <v>39</v>
      </c>
      <c r="D3864">
        <v>38</v>
      </c>
      <c r="E3864">
        <v>48</v>
      </c>
      <c r="F3864">
        <v>10</v>
      </c>
      <c r="G3864">
        <v>2</v>
      </c>
      <c r="H3864" s="1">
        <v>7.291666666666667E-4</v>
      </c>
      <c r="I3864">
        <v>2017</v>
      </c>
      <c r="J3864" t="s">
        <v>20</v>
      </c>
      <c r="K3864" s="2" t="str">
        <f>HYPERLINK("https://www.nba.com/stats/events?CFID=&amp;CFPARAMS=&amp;GameEventID=287&amp;GameID=0021700470&amp;Season=2017-18&amp;flag=1&amp;title=Leonard%2011'%20Step%20Back%20Jump%20Shot%20(8%20PTS)", "Leonard 11' Step Back Jump Shot (8 PTS)")</f>
        <v>Leonard 11' Step Back Jump Shot (8 PTS)</v>
      </c>
      <c r="L3864" s="2" t="str">
        <f>HYPERLINK("https://www.nba.com/game/...-vs-...-0021700470/play-by-play?watchFullGame=true", "SAS vs UTA - Q2 01:03.00")</f>
        <v>SAS vs UTA - Q2 01:03.00</v>
      </c>
      <c r="M3864">
        <v>11</v>
      </c>
      <c r="N3864">
        <v>-90</v>
      </c>
      <c r="O3864">
        <v>58</v>
      </c>
      <c r="P3864">
        <v>-90</v>
      </c>
      <c r="Q3864">
        <v>58</v>
      </c>
      <c r="R3864" t="s">
        <v>21</v>
      </c>
      <c r="S3864" t="s">
        <v>21</v>
      </c>
    </row>
    <row r="3865" spans="1:19" hidden="1" x14ac:dyDescent="0.25">
      <c r="A3865">
        <v>41500235</v>
      </c>
      <c r="B3865" t="s">
        <v>18</v>
      </c>
      <c r="C3865" t="s">
        <v>29</v>
      </c>
      <c r="D3865">
        <v>42</v>
      </c>
      <c r="E3865">
        <v>43</v>
      </c>
      <c r="F3865">
        <v>1</v>
      </c>
      <c r="G3865">
        <v>2</v>
      </c>
      <c r="H3865" s="1">
        <v>7.407407407407407E-4</v>
      </c>
      <c r="I3865" t="s">
        <v>57</v>
      </c>
      <c r="J3865" t="s">
        <v>20</v>
      </c>
      <c r="K3865" s="2" t="str">
        <f>HYPERLINK("https://www.nba.com/stats/events?CFID=&amp;CFPARAMS=&amp;GameEventID=231&amp;GameID=0041500235&amp;Season=2015-16&amp;flag=1&amp;title=Leonard%2011'%20Jump%20Bank%20Shot%20(14%20PTS)", "Leonard 11' Jump Bank Shot (14 PTS)")</f>
        <v>Leonard 11' Jump Bank Shot (14 PTS)</v>
      </c>
      <c r="L3865" s="2" t="str">
        <f>HYPERLINK("https://www.nba.com/game/...-vs-...-0041500235/play-by-play?watchFullGame=true", "SAS vs OKC - Q2 01:04.00")</f>
        <v>SAS vs OKC - Q2 01:04.00</v>
      </c>
      <c r="M3865">
        <v>11</v>
      </c>
      <c r="N3865">
        <v>102</v>
      </c>
      <c r="O3865">
        <v>41</v>
      </c>
      <c r="P3865">
        <v>102</v>
      </c>
      <c r="Q3865">
        <v>41</v>
      </c>
      <c r="R3865" t="s">
        <v>21</v>
      </c>
      <c r="S3865" t="s">
        <v>21</v>
      </c>
    </row>
    <row r="3866" spans="1:19" hidden="1" x14ac:dyDescent="0.25">
      <c r="A3866">
        <v>41800301</v>
      </c>
      <c r="B3866" t="s">
        <v>18</v>
      </c>
      <c r="C3866" t="s">
        <v>19</v>
      </c>
      <c r="D3866">
        <v>80</v>
      </c>
      <c r="E3866">
        <v>74</v>
      </c>
      <c r="F3866">
        <v>6</v>
      </c>
      <c r="G3866">
        <v>3</v>
      </c>
      <c r="H3866" s="1">
        <v>7.7546296296296293E-4</v>
      </c>
      <c r="I3866" t="s">
        <v>60</v>
      </c>
      <c r="J3866" t="s">
        <v>48</v>
      </c>
      <c r="K3866" s="2" t="str">
        <f>HYPERLINK("https://www.nba.com/stats/events?CFID=&amp;CFPARAMS=&amp;GameEventID=486&amp;GameID=0041800301&amp;Season=2018-19&amp;flag=1&amp;title=Leonard%2011'%20Jump%20Shot%20(29%20PTS)", "Leonard 11' Jump Shot (29 PTS)")</f>
        <v>Leonard 11' Jump Shot (29 PTS)</v>
      </c>
      <c r="L3866" s="2" t="str">
        <f>HYPERLINK("https://www.nba.com/game/...-vs-...-0041800301/play-by-play?watchFullGame=true", "TOR vs MIL - Q3 01:07.00")</f>
        <v>TOR vs MIL - Q3 01:07.00</v>
      </c>
      <c r="M3866">
        <v>11</v>
      </c>
      <c r="N3866">
        <v>-13</v>
      </c>
      <c r="O3866">
        <v>111</v>
      </c>
      <c r="P3866">
        <v>-13</v>
      </c>
      <c r="Q3866">
        <v>111</v>
      </c>
      <c r="R3866" t="s">
        <v>21</v>
      </c>
      <c r="S3866" t="s">
        <v>21</v>
      </c>
    </row>
    <row r="3867" spans="1:19" hidden="1" x14ac:dyDescent="0.25">
      <c r="A3867">
        <v>21700550</v>
      </c>
      <c r="B3867" t="s">
        <v>18</v>
      </c>
      <c r="C3867" t="s">
        <v>19</v>
      </c>
      <c r="D3867">
        <v>50</v>
      </c>
      <c r="E3867">
        <v>45</v>
      </c>
      <c r="F3867">
        <v>5</v>
      </c>
      <c r="G3867">
        <v>2</v>
      </c>
      <c r="H3867" s="1">
        <v>8.7962962962962962E-4</v>
      </c>
      <c r="I3867">
        <v>2017</v>
      </c>
      <c r="J3867" t="s">
        <v>20</v>
      </c>
      <c r="K3867" s="2" t="str">
        <f>HYPERLINK("https://www.nba.com/stats/events?CFID=&amp;CFPARAMS=&amp;GameEventID=286&amp;GameID=0021700550&amp;Season=2017-18&amp;flag=1&amp;title=Leonard%2011'%20Jump%20Shot%20(13%20PTS)", "Leonard 11' Jump Shot (13 PTS)")</f>
        <v>Leonard 11' Jump Shot (13 PTS)</v>
      </c>
      <c r="L3867" s="2" t="str">
        <f>HYPERLINK("https://www.nba.com/game/...-vs-...-0021700550/play-by-play?watchFullGame=true", "SAS vs NYK - Q2 01:16.00")</f>
        <v>SAS vs NYK - Q2 01:16.00</v>
      </c>
      <c r="M3867">
        <v>11</v>
      </c>
      <c r="N3867">
        <v>-39</v>
      </c>
      <c r="O3867">
        <v>106</v>
      </c>
      <c r="P3867">
        <v>-39</v>
      </c>
      <c r="Q3867">
        <v>106</v>
      </c>
      <c r="R3867" t="s">
        <v>21</v>
      </c>
      <c r="S3867" t="s">
        <v>21</v>
      </c>
    </row>
    <row r="3868" spans="1:19" hidden="1" x14ac:dyDescent="0.25">
      <c r="A3868">
        <v>21500416</v>
      </c>
      <c r="B3868" t="s">
        <v>18</v>
      </c>
      <c r="C3868" t="s">
        <v>19</v>
      </c>
      <c r="D3868">
        <v>48</v>
      </c>
      <c r="E3868">
        <v>46</v>
      </c>
      <c r="F3868">
        <v>2</v>
      </c>
      <c r="G3868">
        <v>2</v>
      </c>
      <c r="H3868" s="1">
        <v>1.1805555555555556E-3</v>
      </c>
      <c r="I3868">
        <v>2015</v>
      </c>
      <c r="J3868" t="s">
        <v>20</v>
      </c>
      <c r="K3868" s="2" t="str">
        <f>HYPERLINK("https://www.nba.com/stats/events?CFID=&amp;CFPARAMS=&amp;GameEventID=215&amp;GameID=0021500416&amp;Season=2015-16&amp;flag=1&amp;title=Leonard%2011'%20Jump%20Shot%20(10%20PTS)", "Leonard 11' Jump Shot (10 PTS)")</f>
        <v>Leonard 11' Jump Shot (10 PTS)</v>
      </c>
      <c r="L3868" s="2" t="str">
        <f>HYPERLINK("https://www.nba.com/game/...-vs-...-0021500416/play-by-play?watchFullGame=true", "SAS vs IND - Q2 01:42.00")</f>
        <v>SAS vs IND - Q2 01:42.00</v>
      </c>
      <c r="M3868">
        <v>11</v>
      </c>
      <c r="N3868">
        <v>-4</v>
      </c>
      <c r="O3868">
        <v>106</v>
      </c>
      <c r="P3868">
        <v>-4</v>
      </c>
      <c r="Q3868">
        <v>106</v>
      </c>
      <c r="R3868" t="s">
        <v>21</v>
      </c>
      <c r="S3868" t="s">
        <v>21</v>
      </c>
    </row>
    <row r="3869" spans="1:19" hidden="1" x14ac:dyDescent="0.25">
      <c r="A3869">
        <v>41600232</v>
      </c>
      <c r="B3869" t="s">
        <v>18</v>
      </c>
      <c r="C3869" t="s">
        <v>38</v>
      </c>
      <c r="D3869">
        <v>84</v>
      </c>
      <c r="E3869">
        <v>78</v>
      </c>
      <c r="F3869">
        <v>6</v>
      </c>
      <c r="G3869">
        <v>3</v>
      </c>
      <c r="H3869" s="1">
        <v>1.238425925925926E-3</v>
      </c>
      <c r="I3869" t="s">
        <v>58</v>
      </c>
      <c r="J3869" t="s">
        <v>20</v>
      </c>
      <c r="K3869" s="2" t="str">
        <f>HYPERLINK("https://www.nba.com/stats/events?CFID=&amp;CFPARAMS=&amp;GameEventID=325&amp;GameID=0041600232&amp;Season=2016-17&amp;flag=1&amp;title=Leonard%2011'%20Turnaround%20Fadeaway%20(26%20PTS)", "Leonard 11' Turnaround Fadeaway (26 PTS)")</f>
        <v>Leonard 11' Turnaround Fadeaway (26 PTS)</v>
      </c>
      <c r="L3869" s="2" t="str">
        <f>HYPERLINK("https://www.nba.com/game/...-vs-...-0041600232/play-by-play?watchFullGame=true", "SAS vs HOU - Q3 01:47.00")</f>
        <v>SAS vs HOU - Q3 01:47.00</v>
      </c>
      <c r="M3869">
        <v>11</v>
      </c>
      <c r="N3869">
        <v>-70</v>
      </c>
      <c r="O3869">
        <v>87</v>
      </c>
      <c r="P3869">
        <v>-70</v>
      </c>
      <c r="Q3869">
        <v>87</v>
      </c>
      <c r="R3869" t="s">
        <v>21</v>
      </c>
      <c r="S3869" t="s">
        <v>21</v>
      </c>
    </row>
    <row r="3870" spans="1:19" hidden="1" x14ac:dyDescent="0.25">
      <c r="A3870">
        <v>21800316</v>
      </c>
      <c r="B3870" t="s">
        <v>18</v>
      </c>
      <c r="C3870" t="s">
        <v>36</v>
      </c>
      <c r="D3870">
        <v>62</v>
      </c>
      <c r="E3870">
        <v>50</v>
      </c>
      <c r="F3870">
        <v>12</v>
      </c>
      <c r="G3870">
        <v>2</v>
      </c>
      <c r="H3870" s="1">
        <v>1.5625000000000001E-3</v>
      </c>
      <c r="I3870">
        <v>2018</v>
      </c>
      <c r="J3870" t="s">
        <v>48</v>
      </c>
      <c r="K3870" s="2" t="str">
        <f>HYPERLINK("https://www.nba.com/stats/events?CFID=&amp;CFPARAMS=&amp;GameEventID=308&amp;GameID=0021800316&amp;Season=2018-19&amp;flag=1&amp;title=Leonard%2011'%20Pullup%20Jump%20Shot%20(17%20PTS)", "Leonard 11' Pullup Jump Shot (17 PTS)")</f>
        <v>Leonard 11' Pullup Jump Shot (17 PTS)</v>
      </c>
      <c r="L3870" s="2" t="str">
        <f>HYPERLINK("https://www.nba.com/game/...-vs-...-0021800316/play-by-play?watchFullGame=true", "TOR vs GSW - Q2 02:15.00")</f>
        <v>TOR vs GSW - Q2 02:15.00</v>
      </c>
      <c r="M3870">
        <v>11</v>
      </c>
      <c r="N3870">
        <v>-57</v>
      </c>
      <c r="O3870">
        <v>99</v>
      </c>
      <c r="P3870">
        <v>-57</v>
      </c>
      <c r="Q3870">
        <v>99</v>
      </c>
      <c r="R3870" t="s">
        <v>21</v>
      </c>
      <c r="S3870" t="s">
        <v>21</v>
      </c>
    </row>
    <row r="3871" spans="1:19" hidden="1" x14ac:dyDescent="0.25">
      <c r="A3871">
        <v>21600865</v>
      </c>
      <c r="B3871" t="s">
        <v>18</v>
      </c>
      <c r="C3871" t="s">
        <v>34</v>
      </c>
      <c r="D3871">
        <v>100</v>
      </c>
      <c r="E3871">
        <v>88</v>
      </c>
      <c r="F3871">
        <v>12</v>
      </c>
      <c r="G3871">
        <v>4</v>
      </c>
      <c r="H3871" s="1">
        <v>1.6666666666666668E-3</v>
      </c>
      <c r="I3871">
        <v>2016</v>
      </c>
      <c r="J3871" t="s">
        <v>20</v>
      </c>
      <c r="K3871" s="2" t="str">
        <f>HYPERLINK("https://www.nba.com/stats/events?CFID=&amp;CFPARAMS=&amp;GameEventID=540&amp;GameID=0021600865&amp;Season=2016-17&amp;flag=1&amp;title=Leonard%2011'%20Turnaround%20Jump%20Shot%20(20%20PTS)", "Leonard 11' Turnaround Jump Shot (20 PTS)")</f>
        <v>Leonard 11' Turnaround Jump Shot (20 PTS)</v>
      </c>
      <c r="L3871" s="2" t="str">
        <f>HYPERLINK("https://www.nba.com/game/...-vs-...-0021600865/play-by-play?watchFullGame=true", "SAS vs LAC - Q4 02:24.00")</f>
        <v>SAS vs LAC - Q4 02:24.00</v>
      </c>
      <c r="M3871">
        <v>11</v>
      </c>
      <c r="N3871">
        <v>27</v>
      </c>
      <c r="O3871">
        <v>106</v>
      </c>
      <c r="P3871">
        <v>27</v>
      </c>
      <c r="Q3871">
        <v>106</v>
      </c>
      <c r="R3871" t="s">
        <v>21</v>
      </c>
      <c r="S3871" t="s">
        <v>21</v>
      </c>
    </row>
    <row r="3872" spans="1:19" hidden="1" x14ac:dyDescent="0.25">
      <c r="A3872">
        <v>41800114</v>
      </c>
      <c r="B3872" t="s">
        <v>18</v>
      </c>
      <c r="C3872" t="s">
        <v>36</v>
      </c>
      <c r="D3872">
        <v>52</v>
      </c>
      <c r="E3872">
        <v>41</v>
      </c>
      <c r="F3872">
        <v>11</v>
      </c>
      <c r="G3872">
        <v>2</v>
      </c>
      <c r="H3872" s="1">
        <v>1.712962962962963E-3</v>
      </c>
      <c r="I3872" t="s">
        <v>60</v>
      </c>
      <c r="J3872" t="s">
        <v>48</v>
      </c>
      <c r="K3872" s="2" t="str">
        <f>HYPERLINK("https://www.nba.com/stats/events?CFID=&amp;CFPARAMS=&amp;GameEventID=259&amp;GameID=0041800114&amp;Season=2018-19&amp;flag=1&amp;title=Leonard%2011'%20Pullup%20Jump%20Shot%20(18%20PTS)", "Leonard 11' Pullup Jump Shot (18 PTS)")</f>
        <v>Leonard 11' Pullup Jump Shot (18 PTS)</v>
      </c>
      <c r="L3872" s="2" t="str">
        <f>HYPERLINK("https://www.nba.com/game/...-vs-...-0041800114/play-by-play?watchFullGame=true", "TOR vs ORL - Q2 02:28.00")</f>
        <v>TOR vs ORL - Q2 02:28.00</v>
      </c>
      <c r="M3872">
        <v>11</v>
      </c>
      <c r="N3872">
        <v>51</v>
      </c>
      <c r="O3872">
        <v>95</v>
      </c>
      <c r="P3872">
        <v>51</v>
      </c>
      <c r="Q3872">
        <v>95</v>
      </c>
      <c r="R3872" t="s">
        <v>21</v>
      </c>
      <c r="S3872" t="s">
        <v>21</v>
      </c>
    </row>
    <row r="3873" spans="1:19" hidden="1" x14ac:dyDescent="0.25">
      <c r="A3873">
        <v>41500153</v>
      </c>
      <c r="B3873" t="s">
        <v>18</v>
      </c>
      <c r="C3873" t="s">
        <v>34</v>
      </c>
      <c r="D3873">
        <v>91</v>
      </c>
      <c r="E3873">
        <v>82</v>
      </c>
      <c r="F3873">
        <v>9</v>
      </c>
      <c r="G3873">
        <v>4</v>
      </c>
      <c r="H3873" s="1">
        <v>1.7939814814814815E-3</v>
      </c>
      <c r="I3873" t="s">
        <v>57</v>
      </c>
      <c r="J3873" t="s">
        <v>20</v>
      </c>
      <c r="K3873" s="2" t="str">
        <f>HYPERLINK("https://www.nba.com/stats/events?CFID=&amp;CFPARAMS=&amp;GameEventID=472&amp;GameID=0041500153&amp;Season=2015-16&amp;flag=1&amp;title=Leonard%2011'%20Turnaround%20Jump%20Shot%20(29%20PTS)", "Leonard 11' Turnaround Jump Shot (29 PTS)")</f>
        <v>Leonard 11' Turnaround Jump Shot (29 PTS)</v>
      </c>
      <c r="L3873" s="2" t="str">
        <f>HYPERLINK("https://www.nba.com/game/...-vs-...-0041500153/play-by-play?watchFullGame=true", "SAS vs MEM - Q4 02:35.00")</f>
        <v>SAS vs MEM - Q4 02:35.00</v>
      </c>
      <c r="M3873">
        <v>11</v>
      </c>
      <c r="N3873">
        <v>-102</v>
      </c>
      <c r="O3873">
        <v>46</v>
      </c>
      <c r="P3873">
        <v>-102</v>
      </c>
      <c r="Q3873">
        <v>46</v>
      </c>
      <c r="R3873" t="s">
        <v>21</v>
      </c>
      <c r="S3873" t="s">
        <v>21</v>
      </c>
    </row>
    <row r="3874" spans="1:19" hidden="1" x14ac:dyDescent="0.25">
      <c r="A3874">
        <v>21600264</v>
      </c>
      <c r="B3874" t="s">
        <v>18</v>
      </c>
      <c r="C3874" t="s">
        <v>36</v>
      </c>
      <c r="D3874">
        <v>30</v>
      </c>
      <c r="E3874">
        <v>35</v>
      </c>
      <c r="F3874">
        <v>5</v>
      </c>
      <c r="G3874">
        <v>2</v>
      </c>
      <c r="H3874" s="1">
        <v>2.1064814814814813E-3</v>
      </c>
      <c r="I3874">
        <v>2016</v>
      </c>
      <c r="J3874" t="s">
        <v>20</v>
      </c>
      <c r="K3874" s="2" t="str">
        <f>HYPERLINK("https://www.nba.com/stats/events?CFID=&amp;CFPARAMS=&amp;GameEventID=201&amp;GameID=0021600264&amp;Season=2016-17&amp;flag=1&amp;title=Leonard%2011'%20Pullup%20Jump%20Shot%20(8%20PTS)%20(Aldridge%201%20AST)", "Leonard 11' Pullup Jump Shot (8 PTS) (Aldridge 1 AST)")</f>
        <v>Leonard 11' Pullup Jump Shot (8 PTS) (Aldridge 1 AST)</v>
      </c>
      <c r="L3874" s="2" t="str">
        <f>HYPERLINK("https://www.nba.com/game/...-vs-...-0021600264/play-by-play?watchFullGame=true", "SAS vs ORL - Q2 03:02.00")</f>
        <v>SAS vs ORL - Q2 03:02.00</v>
      </c>
      <c r="M3874">
        <v>11</v>
      </c>
      <c r="N3874">
        <v>15</v>
      </c>
      <c r="O3874">
        <v>106</v>
      </c>
      <c r="P3874">
        <v>15</v>
      </c>
      <c r="Q3874">
        <v>106</v>
      </c>
      <c r="R3874" t="s">
        <v>21</v>
      </c>
      <c r="S3874" t="s">
        <v>21</v>
      </c>
    </row>
    <row r="3875" spans="1:19" hidden="1" x14ac:dyDescent="0.25">
      <c r="A3875">
        <v>21600639</v>
      </c>
      <c r="B3875" t="s">
        <v>18</v>
      </c>
      <c r="C3875" t="s">
        <v>34</v>
      </c>
      <c r="D3875">
        <v>112</v>
      </c>
      <c r="E3875">
        <v>98</v>
      </c>
      <c r="F3875">
        <v>14</v>
      </c>
      <c r="G3875">
        <v>4</v>
      </c>
      <c r="H3875" s="1">
        <v>2.2569444444444442E-3</v>
      </c>
      <c r="I3875">
        <v>2016</v>
      </c>
      <c r="J3875" t="s">
        <v>20</v>
      </c>
      <c r="K3875" s="2" t="str">
        <f>HYPERLINK("https://www.nba.com/stats/events?CFID=&amp;CFPARAMS=&amp;GameEventID=503&amp;GameID=0021600639&amp;Season=2016-17&amp;flag=1&amp;title=Leonard%2011'%20Turnaround%20Jump%20Shot%20(31%20PTS)", "Leonard 11' Turnaround Jump Shot (31 PTS)")</f>
        <v>Leonard 11' Turnaround Jump Shot (31 PTS)</v>
      </c>
      <c r="L3875" s="2" t="str">
        <f>HYPERLINK("https://www.nba.com/game/...-vs-...-0021600639/play-by-play?watchFullGame=true", "SAS vs DEN - Q4 03:15.00")</f>
        <v>SAS vs DEN - Q4 03:15.00</v>
      </c>
      <c r="M3875">
        <v>11</v>
      </c>
      <c r="N3875">
        <v>-97</v>
      </c>
      <c r="O3875">
        <v>43</v>
      </c>
      <c r="P3875">
        <v>-97</v>
      </c>
      <c r="Q3875">
        <v>43</v>
      </c>
      <c r="R3875" t="s">
        <v>21</v>
      </c>
      <c r="S3875" t="s">
        <v>21</v>
      </c>
    </row>
    <row r="3876" spans="1:19" hidden="1" x14ac:dyDescent="0.25">
      <c r="A3876">
        <v>21401084</v>
      </c>
      <c r="B3876" t="s">
        <v>18</v>
      </c>
      <c r="C3876" t="s">
        <v>19</v>
      </c>
      <c r="D3876">
        <v>52</v>
      </c>
      <c r="E3876">
        <v>31</v>
      </c>
      <c r="F3876">
        <v>21</v>
      </c>
      <c r="G3876">
        <v>2</v>
      </c>
      <c r="H3876" s="1">
        <v>2.3726851851851851E-3</v>
      </c>
      <c r="I3876">
        <v>2014</v>
      </c>
      <c r="J3876" t="s">
        <v>20</v>
      </c>
      <c r="K3876" s="2" t="str">
        <f>HYPERLINK("https://www.nba.com/stats/events?CFID=&amp;CFPARAMS=&amp;GameEventID=208&amp;GameID=0021401084&amp;Season=2014-15&amp;flag=1&amp;title=Leonard%2011'%20Jump%20Shot%20(11%20PTS)%20(Splitter%202%20AST)", "Leonard 11' Jump Shot (11 PTS) (Splitter 2 AST)")</f>
        <v>Leonard 11' Jump Shot (11 PTS) (Splitter 2 AST)</v>
      </c>
      <c r="L3876" s="2" t="str">
        <f>HYPERLINK("https://www.nba.com/game/...-vs-...-0021401084/play-by-play?watchFullGame=true", "SAS vs DAL - Q2 03:25.00")</f>
        <v>SAS vs DAL - Q2 03:25.00</v>
      </c>
      <c r="M3876">
        <v>11</v>
      </c>
      <c r="N3876">
        <v>111</v>
      </c>
      <c r="O3876">
        <v>14</v>
      </c>
      <c r="P3876">
        <v>111</v>
      </c>
      <c r="Q3876">
        <v>14</v>
      </c>
      <c r="R3876" t="s">
        <v>21</v>
      </c>
      <c r="S3876" t="s">
        <v>21</v>
      </c>
    </row>
    <row r="3877" spans="1:19" hidden="1" x14ac:dyDescent="0.25">
      <c r="A3877">
        <v>21401110</v>
      </c>
      <c r="B3877" t="s">
        <v>18</v>
      </c>
      <c r="C3877" t="s">
        <v>37</v>
      </c>
      <c r="D3877">
        <v>39</v>
      </c>
      <c r="E3877">
        <v>35</v>
      </c>
      <c r="F3877">
        <v>4</v>
      </c>
      <c r="G3877">
        <v>2</v>
      </c>
      <c r="H3877" s="1">
        <v>2.488425925925926E-3</v>
      </c>
      <c r="I3877">
        <v>2014</v>
      </c>
      <c r="J3877" t="s">
        <v>20</v>
      </c>
      <c r="K3877" s="2" t="str">
        <f>HYPERLINK("https://www.nba.com/stats/events?CFID=&amp;CFPARAMS=&amp;GameEventID=201&amp;GameID=0021401110&amp;Season=2014-15&amp;flag=1&amp;title=Leonard%2011'%20Fadeaway%20Jumper%20(12%20PTS)", "Leonard 11' Fadeaway Jumper (12 PTS)")</f>
        <v>Leonard 11' Fadeaway Jumper (12 PTS)</v>
      </c>
      <c r="L3877" s="2" t="str">
        <f>HYPERLINK("https://www.nba.com/game/...-vs-...-0021401110/play-by-play?watchFullGame=true", "SAS vs MIA - Q2 03:35.00")</f>
        <v>SAS vs MIA - Q2 03:35.00</v>
      </c>
      <c r="M3877">
        <v>11</v>
      </c>
      <c r="N3877">
        <v>-95</v>
      </c>
      <c r="O3877">
        <v>61</v>
      </c>
      <c r="P3877">
        <v>-95</v>
      </c>
      <c r="Q3877">
        <v>61</v>
      </c>
      <c r="R3877" t="s">
        <v>21</v>
      </c>
      <c r="S3877" t="s">
        <v>21</v>
      </c>
    </row>
    <row r="3878" spans="1:19" hidden="1" x14ac:dyDescent="0.25">
      <c r="A3878">
        <v>21800161</v>
      </c>
      <c r="B3878" t="s">
        <v>18</v>
      </c>
      <c r="C3878" t="s">
        <v>37</v>
      </c>
      <c r="D3878">
        <v>54</v>
      </c>
      <c r="E3878">
        <v>43</v>
      </c>
      <c r="F3878">
        <v>11</v>
      </c>
      <c r="G3878">
        <v>2</v>
      </c>
      <c r="H3878" s="1">
        <v>2.638888888888889E-3</v>
      </c>
      <c r="I3878">
        <v>2018</v>
      </c>
      <c r="J3878" t="s">
        <v>48</v>
      </c>
      <c r="K3878" s="2" t="str">
        <f>HYPERLINK("https://www.nba.com/stats/events?CFID=&amp;CFPARAMS=&amp;GameEventID=286&amp;GameID=0021800161&amp;Season=2018-19&amp;flag=1&amp;title=Leonard%2011'%20Fadeaway%20Jumper%20(10%20PTS)%20(Lowry%205%20AST)", "Leonard 11' Fadeaway Jumper (10 PTS) (Lowry 5 AST)")</f>
        <v>Leonard 11' Fadeaway Jumper (10 PTS) (Lowry 5 AST)</v>
      </c>
      <c r="L3878" s="2" t="str">
        <f>HYPERLINK("https://www.nba.com/game/...-vs-...-0021800161/play-by-play?watchFullGame=true", "TOR vs SAC - Q2 03:48.00")</f>
        <v>TOR vs SAC - Q2 03:48.00</v>
      </c>
      <c r="M3878">
        <v>11</v>
      </c>
      <c r="N3878">
        <v>84</v>
      </c>
      <c r="O3878">
        <v>77</v>
      </c>
      <c r="P3878">
        <v>84</v>
      </c>
      <c r="Q3878">
        <v>77</v>
      </c>
      <c r="R3878" t="s">
        <v>21</v>
      </c>
      <c r="S3878" t="s">
        <v>21</v>
      </c>
    </row>
    <row r="3879" spans="1:19" hidden="1" x14ac:dyDescent="0.25">
      <c r="A3879">
        <v>41800301</v>
      </c>
      <c r="B3879" t="s">
        <v>18</v>
      </c>
      <c r="C3879" t="s">
        <v>37</v>
      </c>
      <c r="D3879">
        <v>26</v>
      </c>
      <c r="E3879">
        <v>13</v>
      </c>
      <c r="F3879">
        <v>13</v>
      </c>
      <c r="G3879">
        <v>1</v>
      </c>
      <c r="H3879" s="1">
        <v>2.662037037037037E-3</v>
      </c>
      <c r="I3879" t="s">
        <v>60</v>
      </c>
      <c r="J3879" t="s">
        <v>48</v>
      </c>
      <c r="K3879" s="2" t="str">
        <f>HYPERLINK("https://www.nba.com/stats/events?CFID=&amp;CFPARAMS=&amp;GameEventID=109&amp;GameID=0041800301&amp;Season=2018-19&amp;flag=1&amp;title=Leonard%2011'%20Fadeaway%20Jumper%20(9%20PTS)", "Leonard 11' Fadeaway Jumper (9 PTS)")</f>
        <v>Leonard 11' Fadeaway Jumper (9 PTS)</v>
      </c>
      <c r="L3879" s="2" t="str">
        <f>HYPERLINK("https://www.nba.com/game/...-vs-...-0041800301/play-by-play?watchFullGame=true", "TOR vs MIL - Q1 03:50.00")</f>
        <v>TOR vs MIL - Q1 03:50.00</v>
      </c>
      <c r="M3879">
        <v>11</v>
      </c>
      <c r="N3879">
        <v>-114</v>
      </c>
      <c r="O3879">
        <v>-5</v>
      </c>
      <c r="P3879">
        <v>-114</v>
      </c>
      <c r="Q3879">
        <v>-5</v>
      </c>
      <c r="R3879" t="s">
        <v>21</v>
      </c>
      <c r="S3879" t="s">
        <v>21</v>
      </c>
    </row>
    <row r="3880" spans="1:19" hidden="1" x14ac:dyDescent="0.25">
      <c r="A3880">
        <v>21600782</v>
      </c>
      <c r="B3880" t="s">
        <v>18</v>
      </c>
      <c r="C3880" t="s">
        <v>38</v>
      </c>
      <c r="D3880">
        <v>96</v>
      </c>
      <c r="E3880">
        <v>89</v>
      </c>
      <c r="F3880">
        <v>7</v>
      </c>
      <c r="G3880">
        <v>4</v>
      </c>
      <c r="H3880" s="1">
        <v>2.662037037037037E-3</v>
      </c>
      <c r="I3880">
        <v>2016</v>
      </c>
      <c r="J3880" t="s">
        <v>20</v>
      </c>
      <c r="K3880" s="2" t="str">
        <f>HYPERLINK("https://www.nba.com/stats/events?CFID=&amp;CFPARAMS=&amp;GameEventID=473&amp;GameID=0021600782&amp;Season=2016-17&amp;flag=1&amp;title=Leonard%2011'%20Turnaround%20Fadeaway%20(30%20PTS)", "Leonard 11' Turnaround Fadeaway (30 PTS)")</f>
        <v>Leonard 11' Turnaround Fadeaway (30 PTS)</v>
      </c>
      <c r="L3880" s="2" t="str">
        <f>HYPERLINK("https://www.nba.com/game/...-vs-...-0021600782/play-by-play?watchFullGame=true", "SAS vs PHI - Q4 03:50.00")</f>
        <v>SAS vs PHI - Q4 03:50.00</v>
      </c>
      <c r="M3880">
        <v>11</v>
      </c>
      <c r="N3880">
        <v>107</v>
      </c>
      <c r="O3880">
        <v>23</v>
      </c>
      <c r="P3880">
        <v>107</v>
      </c>
      <c r="Q3880">
        <v>23</v>
      </c>
      <c r="R3880" t="s">
        <v>21</v>
      </c>
      <c r="S3880" t="s">
        <v>21</v>
      </c>
    </row>
    <row r="3881" spans="1:19" hidden="1" x14ac:dyDescent="0.25">
      <c r="A3881">
        <v>21600917</v>
      </c>
      <c r="B3881" t="s">
        <v>18</v>
      </c>
      <c r="C3881" t="s">
        <v>37</v>
      </c>
      <c r="D3881">
        <v>18</v>
      </c>
      <c r="E3881">
        <v>20</v>
      </c>
      <c r="F3881">
        <v>2</v>
      </c>
      <c r="G3881">
        <v>1</v>
      </c>
      <c r="H3881" s="1">
        <v>2.8240740740740739E-3</v>
      </c>
      <c r="I3881">
        <v>2016</v>
      </c>
      <c r="J3881" t="s">
        <v>20</v>
      </c>
      <c r="K3881" s="2" t="str">
        <f>HYPERLINK("https://www.nba.com/stats/events?CFID=&amp;CFPARAMS=&amp;GameEventID=82&amp;GameID=0021600917&amp;Season=2016-17&amp;flag=1&amp;title=Leonard%2011'%20Fadeaway%20Jumper%20(10%20PTS)%20(Ginobili%202%20AST)", "Leonard 11' Fadeaway Jumper (10 PTS) (Ginobili 2 AST)")</f>
        <v>Leonard 11' Fadeaway Jumper (10 PTS) (Ginobili 2 AST)</v>
      </c>
      <c r="L3881" s="2" t="str">
        <f>HYPERLINK("https://www.nba.com/game/...-vs-...-0021600917/play-by-play?watchFullGame=true", "SAS vs NOP - Q1 04:04.00")</f>
        <v>SAS vs NOP - Q1 04:04.00</v>
      </c>
      <c r="M3881">
        <v>11</v>
      </c>
      <c r="N3881">
        <v>-109</v>
      </c>
      <c r="O3881">
        <v>26</v>
      </c>
      <c r="P3881">
        <v>-109</v>
      </c>
      <c r="Q3881">
        <v>26</v>
      </c>
      <c r="R3881" t="s">
        <v>21</v>
      </c>
      <c r="S3881" t="s">
        <v>21</v>
      </c>
    </row>
    <row r="3882" spans="1:19" hidden="1" x14ac:dyDescent="0.25">
      <c r="A3882">
        <v>21600782</v>
      </c>
      <c r="B3882" t="s">
        <v>18</v>
      </c>
      <c r="C3882" t="s">
        <v>38</v>
      </c>
      <c r="D3882">
        <v>72</v>
      </c>
      <c r="E3882">
        <v>62</v>
      </c>
      <c r="F3882">
        <v>10</v>
      </c>
      <c r="G3882">
        <v>3</v>
      </c>
      <c r="H3882" s="1">
        <v>3.472222222222222E-3</v>
      </c>
      <c r="I3882">
        <v>2016</v>
      </c>
      <c r="J3882" t="s">
        <v>20</v>
      </c>
      <c r="K3882" s="2" t="str">
        <f>HYPERLINK("https://www.nba.com/stats/events?CFID=&amp;CFPARAMS=&amp;GameEventID=311&amp;GameID=0021600782&amp;Season=2016-17&amp;flag=1&amp;title=Leonard%2011'%20Turnaround%20Fadeaway%20(22%20PTS)%20(Ginobili%202%20AST)", "Leonard 11' Turnaround Fadeaway (22 PTS) (Ginobili 2 AST)")</f>
        <v>Leonard 11' Turnaround Fadeaway (22 PTS) (Ginobili 2 AST)</v>
      </c>
      <c r="L3882" s="2" t="str">
        <f>HYPERLINK("https://www.nba.com/game/...-vs-...-0021600782/play-by-play?watchFullGame=true", "SAS vs PHI - Q3 05:00.00")</f>
        <v>SAS vs PHI - Q3 05:00.00</v>
      </c>
      <c r="M3882">
        <v>11</v>
      </c>
      <c r="N3882">
        <v>109</v>
      </c>
      <c r="O3882">
        <v>-5</v>
      </c>
      <c r="P3882">
        <v>109</v>
      </c>
      <c r="Q3882">
        <v>-5</v>
      </c>
      <c r="R3882" t="s">
        <v>21</v>
      </c>
      <c r="S3882" t="s">
        <v>21</v>
      </c>
    </row>
    <row r="3883" spans="1:19" hidden="1" x14ac:dyDescent="0.25">
      <c r="A3883">
        <v>21800602</v>
      </c>
      <c r="B3883" t="s">
        <v>18</v>
      </c>
      <c r="C3883" t="s">
        <v>19</v>
      </c>
      <c r="D3883">
        <v>94</v>
      </c>
      <c r="E3883">
        <v>94</v>
      </c>
      <c r="F3883">
        <v>0</v>
      </c>
      <c r="G3883">
        <v>4</v>
      </c>
      <c r="H3883" s="1">
        <v>3.4953703703703705E-3</v>
      </c>
      <c r="I3883">
        <v>2018</v>
      </c>
      <c r="J3883" t="s">
        <v>48</v>
      </c>
      <c r="K3883" s="2" t="str">
        <f>HYPERLINK("https://www.nba.com/stats/events?CFID=&amp;CFPARAMS=&amp;GameEventID=642&amp;GameID=0021800602&amp;Season=2018-19&amp;flag=1&amp;title=Leonard%2011'%20Jump%20Shot%20(29%20PTS)%20(VanVleet%204%20AST)", "Leonard 11' Jump Shot (29 PTS) (VanVleet 4 AST)")</f>
        <v>Leonard 11' Jump Shot (29 PTS) (VanVleet 4 AST)</v>
      </c>
      <c r="L3883" s="2" t="str">
        <f>HYPERLINK("https://www.nba.com/game/...-vs-...-0021800602/play-by-play?watchFullGame=true", "TOR vs ATL - Q4 05:02.00")</f>
        <v>TOR vs ATL - Q4 05:02.00</v>
      </c>
      <c r="M3883">
        <v>11</v>
      </c>
      <c r="N3883">
        <v>-113</v>
      </c>
      <c r="O3883">
        <v>6</v>
      </c>
      <c r="P3883">
        <v>-113</v>
      </c>
      <c r="Q3883">
        <v>6</v>
      </c>
      <c r="R3883" t="s">
        <v>21</v>
      </c>
      <c r="S3883" t="s">
        <v>21</v>
      </c>
    </row>
    <row r="3884" spans="1:19" hidden="1" x14ac:dyDescent="0.25">
      <c r="A3884">
        <v>21401057</v>
      </c>
      <c r="B3884" t="s">
        <v>18</v>
      </c>
      <c r="C3884" t="s">
        <v>37</v>
      </c>
      <c r="D3884">
        <v>58</v>
      </c>
      <c r="E3884">
        <v>59</v>
      </c>
      <c r="F3884">
        <v>1</v>
      </c>
      <c r="G3884">
        <v>3</v>
      </c>
      <c r="H3884" s="1">
        <v>3.5069444444444445E-3</v>
      </c>
      <c r="I3884">
        <v>2014</v>
      </c>
      <c r="J3884" t="s">
        <v>20</v>
      </c>
      <c r="K3884" s="2" t="str">
        <f>HYPERLINK("https://www.nba.com/stats/events?CFID=&amp;CFPARAMS=&amp;GameEventID=318&amp;GameID=0021401057&amp;Season=2014-15&amp;flag=1&amp;title=Leonard%2011'%20Fadeaway%20Jumper%20(15%20PTS)", "Leonard 11' Fadeaway Jumper (15 PTS)")</f>
        <v>Leonard 11' Fadeaway Jumper (15 PTS)</v>
      </c>
      <c r="L3884" s="2" t="str">
        <f>HYPERLINK("https://www.nba.com/game/...-vs-...-0021401057/play-by-play?watchFullGame=true", "SAS vs DAL - Q3 05:03.00")</f>
        <v>SAS vs DAL - Q3 05:03.00</v>
      </c>
      <c r="M3884">
        <v>11</v>
      </c>
      <c r="N3884">
        <v>77</v>
      </c>
      <c r="O3884">
        <v>77</v>
      </c>
      <c r="P3884">
        <v>77</v>
      </c>
      <c r="Q3884">
        <v>77</v>
      </c>
      <c r="R3884" t="s">
        <v>21</v>
      </c>
      <c r="S3884" t="s">
        <v>21</v>
      </c>
    </row>
    <row r="3885" spans="1:19" hidden="1" x14ac:dyDescent="0.25">
      <c r="A3885">
        <v>21401098</v>
      </c>
      <c r="B3885" t="s">
        <v>18</v>
      </c>
      <c r="C3885" t="s">
        <v>37</v>
      </c>
      <c r="D3885">
        <v>18</v>
      </c>
      <c r="E3885">
        <v>11</v>
      </c>
      <c r="F3885">
        <v>7</v>
      </c>
      <c r="G3885">
        <v>1</v>
      </c>
      <c r="H3885" s="1">
        <v>3.5300925925925925E-3</v>
      </c>
      <c r="I3885">
        <v>2014</v>
      </c>
      <c r="J3885" t="s">
        <v>20</v>
      </c>
      <c r="K3885" s="2" t="str">
        <f>HYPERLINK("https://www.nba.com/stats/events?CFID=&amp;CFPARAMS=&amp;GameEventID=60&amp;GameID=0021401098&amp;Season=2014-15&amp;flag=1&amp;title=Leonard%2011'%20Fadeaway%20Jumper%20(6%20PTS)", "Leonard 11' Fadeaway Jumper (6 PTS)")</f>
        <v>Leonard 11' Fadeaway Jumper (6 PTS)</v>
      </c>
      <c r="L3885" s="2" t="str">
        <f>HYPERLINK("https://www.nba.com/game/...-vs-...-0021401098/play-by-play?watchFullGame=true", "SAS vs MEM - Q1 05:05.00")</f>
        <v>SAS vs MEM - Q1 05:05.00</v>
      </c>
      <c r="M3885">
        <v>11</v>
      </c>
      <c r="N3885">
        <v>108</v>
      </c>
      <c r="O3885">
        <v>12</v>
      </c>
      <c r="P3885">
        <v>108</v>
      </c>
      <c r="Q3885">
        <v>12</v>
      </c>
      <c r="R3885" t="s">
        <v>21</v>
      </c>
      <c r="S3885" t="s">
        <v>21</v>
      </c>
    </row>
    <row r="3886" spans="1:19" hidden="1" x14ac:dyDescent="0.25">
      <c r="A3886">
        <v>21401039</v>
      </c>
      <c r="B3886" t="s">
        <v>18</v>
      </c>
      <c r="C3886" t="s">
        <v>19</v>
      </c>
      <c r="D3886">
        <v>22</v>
      </c>
      <c r="E3886">
        <v>6</v>
      </c>
      <c r="F3886">
        <v>16</v>
      </c>
      <c r="G3886">
        <v>1</v>
      </c>
      <c r="H3886" s="1">
        <v>3.5763888888888889E-3</v>
      </c>
      <c r="I3886">
        <v>2014</v>
      </c>
      <c r="J3886" t="s">
        <v>20</v>
      </c>
      <c r="K3886" s="2" t="str">
        <f>HYPERLINK("https://www.nba.com/stats/events?CFID=&amp;CFPARAMS=&amp;GameEventID=47&amp;GameID=0021401039&amp;Season=2014-15&amp;flag=1&amp;title=Leonard%2011'%20Jump%20Shot%20(6%20PTS)", "Leonard 11' Jump Shot (6 PTS)")</f>
        <v>Leonard 11' Jump Shot (6 PTS)</v>
      </c>
      <c r="L3886" s="2" t="str">
        <f>HYPERLINK("https://www.nba.com/game/...-vs-...-0021401039/play-by-play?watchFullGame=true", "SAS vs ATL - Q1 05:09.00")</f>
        <v>SAS vs ATL - Q1 05:09.00</v>
      </c>
      <c r="M3886">
        <v>11</v>
      </c>
      <c r="N3886">
        <v>63</v>
      </c>
      <c r="O3886">
        <v>89</v>
      </c>
      <c r="P3886">
        <v>63</v>
      </c>
      <c r="Q3886">
        <v>89</v>
      </c>
      <c r="R3886" t="s">
        <v>21</v>
      </c>
      <c r="S3886" t="s">
        <v>21</v>
      </c>
    </row>
    <row r="3887" spans="1:19" hidden="1" x14ac:dyDescent="0.25">
      <c r="A3887">
        <v>21600309</v>
      </c>
      <c r="B3887" t="s">
        <v>18</v>
      </c>
      <c r="C3887" t="s">
        <v>38</v>
      </c>
      <c r="D3887">
        <v>87</v>
      </c>
      <c r="E3887">
        <v>85</v>
      </c>
      <c r="F3887">
        <v>2</v>
      </c>
      <c r="G3887">
        <v>4</v>
      </c>
      <c r="H3887" s="1">
        <v>3.6458333333333334E-3</v>
      </c>
      <c r="I3887">
        <v>2016</v>
      </c>
      <c r="J3887" t="s">
        <v>20</v>
      </c>
      <c r="K3887" s="2" t="str">
        <f>HYPERLINK("https://www.nba.com/stats/events?CFID=&amp;CFPARAMS=&amp;GameEventID=514&amp;GameID=0021600309&amp;Season=2016-17&amp;flag=1&amp;title=Leonard%2011'%20Turnaround%20Fadeaway%20(15%20PTS)", "Leonard 11' Turnaround Fadeaway (15 PTS)")</f>
        <v>Leonard 11' Turnaround Fadeaway (15 PTS)</v>
      </c>
      <c r="L3887" s="2" t="str">
        <f>HYPERLINK("https://www.nba.com/game/...-vs-...-0021600309/play-by-play?watchFullGame=true", "SAS vs MIL - Q4 05:15.00")</f>
        <v>SAS vs MIL - Q4 05:15.00</v>
      </c>
      <c r="M3887">
        <v>11</v>
      </c>
      <c r="N3887">
        <v>-107</v>
      </c>
      <c r="O3887">
        <v>0</v>
      </c>
      <c r="P3887">
        <v>-107</v>
      </c>
      <c r="Q3887">
        <v>0</v>
      </c>
      <c r="R3887" t="s">
        <v>21</v>
      </c>
      <c r="S3887" t="s">
        <v>21</v>
      </c>
    </row>
    <row r="3888" spans="1:19" hidden="1" x14ac:dyDescent="0.25">
      <c r="A3888">
        <v>21401181</v>
      </c>
      <c r="B3888" t="s">
        <v>18</v>
      </c>
      <c r="C3888" t="s">
        <v>38</v>
      </c>
      <c r="D3888">
        <v>98</v>
      </c>
      <c r="E3888">
        <v>93</v>
      </c>
      <c r="F3888">
        <v>5</v>
      </c>
      <c r="G3888">
        <v>4</v>
      </c>
      <c r="H3888" s="1">
        <v>3.7615740740740739E-3</v>
      </c>
      <c r="I3888">
        <v>2014</v>
      </c>
      <c r="J3888" t="s">
        <v>20</v>
      </c>
      <c r="K3888" s="2" t="str">
        <f>HYPERLINK("https://www.nba.com/stats/events?CFID=&amp;CFPARAMS=&amp;GameEventID=554&amp;GameID=0021401181&amp;Season=2014-15&amp;flag=1&amp;title=Leonard%2011'%20Turnaround%20Fadeaway%20(16%20PTS)", "Leonard 11' Turnaround Fadeaway (16 PTS)")</f>
        <v>Leonard 11' Turnaround Fadeaway (16 PTS)</v>
      </c>
      <c r="L3888" s="2" t="str">
        <f>HYPERLINK("https://www.nba.com/game/...-vs-...-0021401181/play-by-play?watchFullGame=true", "SAS vs HOU - Q4 05:25.00")</f>
        <v>SAS vs HOU - Q4 05:25.00</v>
      </c>
      <c r="M3888">
        <v>11</v>
      </c>
      <c r="N3888">
        <v>94</v>
      </c>
      <c r="O3888">
        <v>61</v>
      </c>
      <c r="P3888">
        <v>94</v>
      </c>
      <c r="Q3888">
        <v>61</v>
      </c>
      <c r="R3888" t="s">
        <v>21</v>
      </c>
      <c r="S3888" t="s">
        <v>21</v>
      </c>
    </row>
    <row r="3889" spans="1:19" hidden="1" x14ac:dyDescent="0.25">
      <c r="A3889">
        <v>21500905</v>
      </c>
      <c r="B3889" t="s">
        <v>18</v>
      </c>
      <c r="C3889" t="s">
        <v>37</v>
      </c>
      <c r="D3889">
        <v>15</v>
      </c>
      <c r="E3889">
        <v>11</v>
      </c>
      <c r="F3889">
        <v>4</v>
      </c>
      <c r="G3889">
        <v>1</v>
      </c>
      <c r="H3889" s="1">
        <v>3.8194444444444443E-3</v>
      </c>
      <c r="I3889">
        <v>2015</v>
      </c>
      <c r="J3889" t="s">
        <v>20</v>
      </c>
      <c r="K3889" s="2" t="str">
        <f>HYPERLINK("https://www.nba.com/stats/events?CFID=&amp;CFPARAMS=&amp;GameEventID=61&amp;GameID=0021500905&amp;Season=2015-16&amp;flag=1&amp;title=Leonard%2011'%20Fadeaway%20Jumper%20(7%20PTS)", "Leonard 11' Fadeaway Jumper (7 PTS)")</f>
        <v>Leonard 11' Fadeaway Jumper (7 PTS)</v>
      </c>
      <c r="L3889" s="2" t="str">
        <f>HYPERLINK("https://www.nba.com/game/...-vs-...-0021500905/play-by-play?watchFullGame=true", "SAS vs DET - Q1 05:30.00")</f>
        <v>SAS vs DET - Q1 05:30.00</v>
      </c>
      <c r="M3889">
        <v>11</v>
      </c>
      <c r="N3889">
        <v>64</v>
      </c>
      <c r="O3889">
        <v>90</v>
      </c>
      <c r="P3889">
        <v>64</v>
      </c>
      <c r="Q3889">
        <v>90</v>
      </c>
      <c r="R3889" t="s">
        <v>21</v>
      </c>
      <c r="S3889" t="s">
        <v>21</v>
      </c>
    </row>
    <row r="3890" spans="1:19" hidden="1" x14ac:dyDescent="0.25">
      <c r="A3890">
        <v>41600156</v>
      </c>
      <c r="B3890" t="s">
        <v>18</v>
      </c>
      <c r="C3890" t="s">
        <v>59</v>
      </c>
      <c r="D3890">
        <v>83</v>
      </c>
      <c r="E3890">
        <v>88</v>
      </c>
      <c r="F3890">
        <v>5</v>
      </c>
      <c r="G3890">
        <v>4</v>
      </c>
      <c r="H3890" s="1">
        <v>3.9814814814814817E-3</v>
      </c>
      <c r="I3890" t="s">
        <v>58</v>
      </c>
      <c r="J3890" t="s">
        <v>20</v>
      </c>
      <c r="K3890" s="2" t="str">
        <f>HYPERLINK("https://www.nba.com/stats/events?CFID=&amp;CFPARAMS=&amp;GameEventID=414&amp;GameID=0041600156&amp;Season=2016-17&amp;flag=1&amp;title=Leonard%2011'%20Floating%20Jump%20Shot%20(23%20PTS)", "Leonard 11' Floating Jump Shot (23 PTS)")</f>
        <v>Leonard 11' Floating Jump Shot (23 PTS)</v>
      </c>
      <c r="L3890" s="2" t="str">
        <f>HYPERLINK("https://www.nba.com/game/...-vs-...-0041600156/play-by-play?watchFullGame=true", "SAS vs MEM - Q4 05:44.00")</f>
        <v>SAS vs MEM - Q4 05:44.00</v>
      </c>
      <c r="M3890">
        <v>11</v>
      </c>
      <c r="N3890">
        <v>107</v>
      </c>
      <c r="O3890">
        <v>23</v>
      </c>
      <c r="P3890">
        <v>107</v>
      </c>
      <c r="Q3890">
        <v>23</v>
      </c>
      <c r="R3890" t="s">
        <v>21</v>
      </c>
      <c r="S3890" t="s">
        <v>21</v>
      </c>
    </row>
    <row r="3891" spans="1:19" hidden="1" x14ac:dyDescent="0.25">
      <c r="A3891">
        <v>21800123</v>
      </c>
      <c r="B3891" t="s">
        <v>18</v>
      </c>
      <c r="C3891" t="s">
        <v>19</v>
      </c>
      <c r="D3891">
        <v>32</v>
      </c>
      <c r="E3891">
        <v>36</v>
      </c>
      <c r="F3891">
        <v>4</v>
      </c>
      <c r="G3891">
        <v>2</v>
      </c>
      <c r="H3891" s="1">
        <v>4.1087962962962962E-3</v>
      </c>
      <c r="I3891">
        <v>2018</v>
      </c>
      <c r="J3891" t="s">
        <v>48</v>
      </c>
      <c r="K3891" s="2" t="str">
        <f>HYPERLINK("https://www.nba.com/stats/events?CFID=&amp;CFPARAMS=&amp;GameEventID=262&amp;GameID=0021800123&amp;Season=2018-19&amp;flag=1&amp;title=Leonard%2011'%20Jump%20Shot%20(4%20PTS)%20(Lowry%206%20AST)", "Leonard 11' Jump Shot (4 PTS) (Lowry 6 AST)")</f>
        <v>Leonard 11' Jump Shot (4 PTS) (Lowry 6 AST)</v>
      </c>
      <c r="L3891" s="2" t="str">
        <f>HYPERLINK("https://www.nba.com/game/...-vs-...-0021800123/play-by-play?watchFullGame=true", "TOR vs PHX - Q2 05:55.00")</f>
        <v>TOR vs PHX - Q2 05:55.00</v>
      </c>
      <c r="M3891">
        <v>11</v>
      </c>
      <c r="N3891">
        <v>-13</v>
      </c>
      <c r="O3891">
        <v>106</v>
      </c>
      <c r="P3891">
        <v>-13</v>
      </c>
      <c r="Q3891">
        <v>106</v>
      </c>
      <c r="R3891" t="s">
        <v>21</v>
      </c>
      <c r="S3891" t="s">
        <v>21</v>
      </c>
    </row>
    <row r="3892" spans="1:19" hidden="1" x14ac:dyDescent="0.25">
      <c r="A3892">
        <v>21501177</v>
      </c>
      <c r="B3892" t="s">
        <v>18</v>
      </c>
      <c r="C3892" t="s">
        <v>37</v>
      </c>
      <c r="D3892">
        <v>50</v>
      </c>
      <c r="E3892">
        <v>71</v>
      </c>
      <c r="F3892">
        <v>21</v>
      </c>
      <c r="G3892">
        <v>3</v>
      </c>
      <c r="H3892" s="1">
        <v>4.1087962962962962E-3</v>
      </c>
      <c r="I3892">
        <v>2015</v>
      </c>
      <c r="J3892" t="s">
        <v>20</v>
      </c>
      <c r="K3892" s="2" t="str">
        <f>HYPERLINK("https://www.nba.com/stats/events?CFID=&amp;CFPARAMS=&amp;GameEventID=293&amp;GameID=0021501177&amp;Season=2015-16&amp;flag=1&amp;title=Leonard%2011'%20Fadeaway%20Jumper%20(16%20PTS)", "Leonard 11' Fadeaway Jumper (16 PTS)")</f>
        <v>Leonard 11' Fadeaway Jumper (16 PTS)</v>
      </c>
      <c r="L3892" s="2" t="str">
        <f>HYPERLINK("https://www.nba.com/game/...-vs-...-0021501177/play-by-play?watchFullGame=true", "SAS vs GSW - Q3 05:55.00")</f>
        <v>SAS vs GSW - Q3 05:55.00</v>
      </c>
      <c r="M3892">
        <v>11</v>
      </c>
      <c r="N3892">
        <v>46</v>
      </c>
      <c r="O3892">
        <v>95</v>
      </c>
      <c r="P3892">
        <v>46</v>
      </c>
      <c r="Q3892">
        <v>95</v>
      </c>
      <c r="R3892" t="s">
        <v>21</v>
      </c>
      <c r="S3892" t="s">
        <v>21</v>
      </c>
    </row>
    <row r="3893" spans="1:19" hidden="1" x14ac:dyDescent="0.25">
      <c r="A3893">
        <v>21800766</v>
      </c>
      <c r="B3893" t="s">
        <v>18</v>
      </c>
      <c r="C3893" t="s">
        <v>19</v>
      </c>
      <c r="D3893">
        <v>38</v>
      </c>
      <c r="E3893">
        <v>43</v>
      </c>
      <c r="F3893">
        <v>5</v>
      </c>
      <c r="G3893">
        <v>2</v>
      </c>
      <c r="H3893" s="1">
        <v>4.1898148148148146E-3</v>
      </c>
      <c r="I3893">
        <v>2018</v>
      </c>
      <c r="J3893" t="s">
        <v>48</v>
      </c>
      <c r="K3893" s="2" t="str">
        <f>HYPERLINK("https://www.nba.com/stats/events?CFID=&amp;CFPARAMS=&amp;GameEventID=238&amp;GameID=0021800766&amp;Season=2018-19&amp;flag=1&amp;title=Leonard%2011'%20Jump%20Shot%20(6%20PTS)", "Leonard 11' Jump Shot (6 PTS)")</f>
        <v>Leonard 11' Jump Shot (6 PTS)</v>
      </c>
      <c r="L3893" s="2" t="str">
        <f>HYPERLINK("https://www.nba.com/game/...-vs-...-0021800766/play-by-play?watchFullGame=true", "TOR vs MIL - Q2 06:02.00")</f>
        <v>TOR vs MIL - Q2 06:02.00</v>
      </c>
      <c r="M3893">
        <v>11</v>
      </c>
      <c r="N3893">
        <v>1</v>
      </c>
      <c r="O3893">
        <v>114</v>
      </c>
      <c r="P3893">
        <v>1</v>
      </c>
      <c r="Q3893">
        <v>114</v>
      </c>
      <c r="R3893" t="s">
        <v>21</v>
      </c>
      <c r="S3893" t="s">
        <v>21</v>
      </c>
    </row>
    <row r="3894" spans="1:19" hidden="1" x14ac:dyDescent="0.25">
      <c r="A3894">
        <v>21500242</v>
      </c>
      <c r="B3894" t="s">
        <v>18</v>
      </c>
      <c r="C3894" t="s">
        <v>34</v>
      </c>
      <c r="D3894">
        <v>70</v>
      </c>
      <c r="E3894">
        <v>48</v>
      </c>
      <c r="F3894">
        <v>22</v>
      </c>
      <c r="G3894">
        <v>3</v>
      </c>
      <c r="H3894" s="1">
        <v>4.2476851851851851E-3</v>
      </c>
      <c r="I3894">
        <v>2015</v>
      </c>
      <c r="J3894" t="s">
        <v>20</v>
      </c>
      <c r="K3894" s="2" t="str">
        <f>HYPERLINK("https://www.nba.com/stats/events?CFID=&amp;CFPARAMS=&amp;GameEventID=328&amp;GameID=0021500242&amp;Season=2015-16&amp;flag=1&amp;title=Leonard%2011'%20Turnaround%20Jump%20Shot%20(22%20PTS)", "Leonard 11' Turnaround Jump Shot (22 PTS)")</f>
        <v>Leonard 11' Turnaround Jump Shot (22 PTS)</v>
      </c>
      <c r="L3894" s="2" t="str">
        <f>HYPERLINK("https://www.nba.com/game/...-vs-...-0021500242/play-by-play?watchFullGame=true", "SAS vs ATL - Q3 06:07.00")</f>
        <v>SAS vs ATL - Q3 06:07.00</v>
      </c>
      <c r="M3894">
        <v>11</v>
      </c>
      <c r="N3894">
        <v>-63</v>
      </c>
      <c r="O3894">
        <v>85</v>
      </c>
      <c r="P3894">
        <v>-63</v>
      </c>
      <c r="Q3894">
        <v>85</v>
      </c>
      <c r="R3894" t="s">
        <v>21</v>
      </c>
      <c r="S3894" t="s">
        <v>21</v>
      </c>
    </row>
    <row r="3895" spans="1:19" hidden="1" x14ac:dyDescent="0.25">
      <c r="A3895">
        <v>41500233</v>
      </c>
      <c r="B3895" t="s">
        <v>18</v>
      </c>
      <c r="C3895" t="s">
        <v>34</v>
      </c>
      <c r="D3895">
        <v>81</v>
      </c>
      <c r="E3895">
        <v>83</v>
      </c>
      <c r="F3895">
        <v>2</v>
      </c>
      <c r="G3895">
        <v>4</v>
      </c>
      <c r="H3895" s="1">
        <v>4.3518518518518515E-3</v>
      </c>
      <c r="I3895" t="s">
        <v>57</v>
      </c>
      <c r="J3895" t="s">
        <v>20</v>
      </c>
      <c r="K3895" s="2" t="str">
        <f>HYPERLINK("https://www.nba.com/stats/events?CFID=&amp;CFPARAMS=&amp;GameEventID=447&amp;GameID=0041500233&amp;Season=2015-16&amp;flag=1&amp;title=Leonard%2011'%20Turnaround%20Jump%20Shot%20(23%20PTS)%20(Green%201%20AST)", "Leonard 11' Turnaround Jump Shot (23 PTS) (Green 1 AST)")</f>
        <v>Leonard 11' Turnaround Jump Shot (23 PTS) (Green 1 AST)</v>
      </c>
      <c r="L3895" s="2" t="str">
        <f>HYPERLINK("https://www.nba.com/game/...-vs-...-0041500233/play-by-play?watchFullGame=true", "SAS vs OKC - Q4 06:16.00")</f>
        <v>SAS vs OKC - Q4 06:16.00</v>
      </c>
      <c r="M3895">
        <v>11</v>
      </c>
      <c r="N3895">
        <v>-97</v>
      </c>
      <c r="O3895">
        <v>43</v>
      </c>
      <c r="P3895">
        <v>-97</v>
      </c>
      <c r="Q3895">
        <v>43</v>
      </c>
      <c r="R3895" t="s">
        <v>21</v>
      </c>
      <c r="S3895" t="s">
        <v>21</v>
      </c>
    </row>
    <row r="3896" spans="1:19" hidden="1" x14ac:dyDescent="0.25">
      <c r="A3896">
        <v>21600458</v>
      </c>
      <c r="B3896" t="s">
        <v>18</v>
      </c>
      <c r="C3896" t="s">
        <v>42</v>
      </c>
      <c r="D3896">
        <v>47</v>
      </c>
      <c r="E3896">
        <v>35</v>
      </c>
      <c r="F3896">
        <v>12</v>
      </c>
      <c r="G3896">
        <v>2</v>
      </c>
      <c r="H3896" s="1">
        <v>4.363425925925926E-3</v>
      </c>
      <c r="I3896">
        <v>2016</v>
      </c>
      <c r="J3896" t="s">
        <v>20</v>
      </c>
      <c r="K3896" s="2" t="str">
        <f>HYPERLINK("https://www.nba.com/stats/events?CFID=&amp;CFPARAMS=&amp;GameEventID=169&amp;GameID=0021600458&amp;Season=2016-17&amp;flag=1&amp;title=Leonard%2011'%20Driving%20Floating%20Jump%20Shot%20(14%20PTS)%20(Dedmon%201%20AST)", "Leonard 11' Driving Floating Jump Shot (14 PTS) (Dedmon 1 AST)")</f>
        <v>Leonard 11' Driving Floating Jump Shot (14 PTS) (Dedmon 1 AST)</v>
      </c>
      <c r="L3896" s="2" t="str">
        <f>HYPERLINK("https://www.nba.com/game/...-vs-...-0021600458/play-by-play?watchFullGame=true", "SAS vs CHI - Q2 06:17.00")</f>
        <v>SAS vs CHI - Q2 06:17.00</v>
      </c>
      <c r="M3896">
        <v>11</v>
      </c>
      <c r="N3896">
        <v>-22</v>
      </c>
      <c r="O3896">
        <v>106</v>
      </c>
      <c r="P3896">
        <v>-22</v>
      </c>
      <c r="Q3896">
        <v>106</v>
      </c>
      <c r="R3896" t="s">
        <v>21</v>
      </c>
      <c r="S3896" t="s">
        <v>21</v>
      </c>
    </row>
    <row r="3897" spans="1:19" hidden="1" x14ac:dyDescent="0.25">
      <c r="A3897">
        <v>21800206</v>
      </c>
      <c r="B3897" t="s">
        <v>18</v>
      </c>
      <c r="C3897" t="s">
        <v>38</v>
      </c>
      <c r="D3897">
        <v>13</v>
      </c>
      <c r="E3897">
        <v>12</v>
      </c>
      <c r="F3897">
        <v>1</v>
      </c>
      <c r="G3897">
        <v>1</v>
      </c>
      <c r="H3897" s="1">
        <v>4.4212962962962964E-3</v>
      </c>
      <c r="I3897">
        <v>2018</v>
      </c>
      <c r="J3897" t="s">
        <v>48</v>
      </c>
      <c r="K3897" s="2" t="str">
        <f>HYPERLINK("https://www.nba.com/stats/events?CFID=&amp;CFPARAMS=&amp;GameEventID=62&amp;GameID=0021800206&amp;Season=2018-19&amp;flag=1&amp;title=Leonard%2011'%20Turnaround%20Fadeaway%20(9%20PTS)", "Leonard 11' Turnaround Fadeaway (9 PTS)")</f>
        <v>Leonard 11' Turnaround Fadeaway (9 PTS)</v>
      </c>
      <c r="L3897" s="2" t="str">
        <f>HYPERLINK("https://www.nba.com/game/...-vs-...-0021800206/play-by-play?watchFullGame=true", "TOR vs DET - Q1 06:22.00")</f>
        <v>TOR vs DET - Q1 06:22.00</v>
      </c>
      <c r="M3897">
        <v>11</v>
      </c>
      <c r="N3897">
        <v>-112</v>
      </c>
      <c r="O3897">
        <v>0</v>
      </c>
      <c r="P3897">
        <v>-112</v>
      </c>
      <c r="Q3897">
        <v>0</v>
      </c>
      <c r="R3897" t="s">
        <v>21</v>
      </c>
      <c r="S3897" t="s">
        <v>21</v>
      </c>
    </row>
    <row r="3898" spans="1:19" hidden="1" x14ac:dyDescent="0.25">
      <c r="A3898">
        <v>21601070</v>
      </c>
      <c r="B3898" t="s">
        <v>18</v>
      </c>
      <c r="C3898" t="s">
        <v>38</v>
      </c>
      <c r="D3898">
        <v>82</v>
      </c>
      <c r="E3898">
        <v>74</v>
      </c>
      <c r="F3898">
        <v>8</v>
      </c>
      <c r="G3898">
        <v>4</v>
      </c>
      <c r="H3898" s="1">
        <v>4.5254629629629629E-3</v>
      </c>
      <c r="I3898">
        <v>2016</v>
      </c>
      <c r="J3898" t="s">
        <v>20</v>
      </c>
      <c r="K3898" s="2" t="str">
        <f>HYPERLINK("https://www.nba.com/stats/events?CFID=&amp;CFPARAMS=&amp;GameEventID=412&amp;GameID=0021601070&amp;Season=2016-17&amp;flag=1&amp;title=Leonard%2011'%20Turnaround%20Fadeaway%20(17%20PTS)", "Leonard 11' Turnaround Fadeaway (17 PTS)")</f>
        <v>Leonard 11' Turnaround Fadeaway (17 PTS)</v>
      </c>
      <c r="L3898" s="2" t="str">
        <f>HYPERLINK("https://www.nba.com/game/...-vs-...-0021601070/play-by-play?watchFullGame=true", "SAS vs MEM - Q4 06:31.00")</f>
        <v>SAS vs MEM - Q4 06:31.00</v>
      </c>
      <c r="M3898">
        <v>11</v>
      </c>
      <c r="N3898">
        <v>-97</v>
      </c>
      <c r="O3898">
        <v>41</v>
      </c>
      <c r="P3898">
        <v>-97</v>
      </c>
      <c r="Q3898">
        <v>41</v>
      </c>
      <c r="R3898" t="s">
        <v>21</v>
      </c>
      <c r="S3898" t="s">
        <v>21</v>
      </c>
    </row>
    <row r="3899" spans="1:19" hidden="1" x14ac:dyDescent="0.25">
      <c r="A3899">
        <v>21800961</v>
      </c>
      <c r="B3899" t="s">
        <v>18</v>
      </c>
      <c r="C3899" t="s">
        <v>42</v>
      </c>
      <c r="D3899">
        <v>80</v>
      </c>
      <c r="E3899">
        <v>88</v>
      </c>
      <c r="F3899">
        <v>8</v>
      </c>
      <c r="G3899">
        <v>4</v>
      </c>
      <c r="H3899" s="1">
        <v>4.7222222222222223E-3</v>
      </c>
      <c r="I3899">
        <v>2018</v>
      </c>
      <c r="J3899" t="s">
        <v>48</v>
      </c>
      <c r="K3899" s="2" t="str">
        <f>HYPERLINK("https://www.nba.com/stats/events?CFID=&amp;CFPARAMS=&amp;GameEventID=535&amp;GameID=0021800961&amp;Season=2018-19&amp;flag=1&amp;title=Leonard%2011'%20Driving%20Floating%20Jump%20Shot%20(16%20PTS)", "Leonard 11' Driving Floating Jump Shot (16 PTS)")</f>
        <v>Leonard 11' Driving Floating Jump Shot (16 PTS)</v>
      </c>
      <c r="L3899" s="2" t="str">
        <f>HYPERLINK("https://www.nba.com/game/...-vs-...-0021800961/play-by-play?watchFullGame=true", "TOR vs HOU - Q4 06:48.00")</f>
        <v>TOR vs HOU - Q4 06:48.00</v>
      </c>
      <c r="M3899">
        <v>11</v>
      </c>
      <c r="N3899">
        <v>88</v>
      </c>
      <c r="O3899">
        <v>61</v>
      </c>
      <c r="P3899">
        <v>88</v>
      </c>
      <c r="Q3899">
        <v>61</v>
      </c>
      <c r="R3899" t="s">
        <v>21</v>
      </c>
      <c r="S3899" t="s">
        <v>21</v>
      </c>
    </row>
    <row r="3900" spans="1:19" hidden="1" x14ac:dyDescent="0.25">
      <c r="A3900">
        <v>21501177</v>
      </c>
      <c r="B3900" t="s">
        <v>18</v>
      </c>
      <c r="C3900" t="s">
        <v>34</v>
      </c>
      <c r="D3900">
        <v>26</v>
      </c>
      <c r="E3900">
        <v>38</v>
      </c>
      <c r="F3900">
        <v>12</v>
      </c>
      <c r="G3900">
        <v>2</v>
      </c>
      <c r="H3900" s="1">
        <v>4.8263888888888887E-3</v>
      </c>
      <c r="I3900">
        <v>2015</v>
      </c>
      <c r="J3900" t="s">
        <v>20</v>
      </c>
      <c r="K3900" s="2" t="str">
        <f>HYPERLINK("https://www.nba.com/stats/events?CFID=&amp;CFPARAMS=&amp;GameEventID=161&amp;GameID=0021501177&amp;Season=2015-16&amp;flag=1&amp;title=Leonard%2011'%20Turnaround%20Jump%20Shot%20(10%20PTS)", "Leonard 11' Turnaround Jump Shot (10 PTS)")</f>
        <v>Leonard 11' Turnaround Jump Shot (10 PTS)</v>
      </c>
      <c r="L3900" s="2" t="str">
        <f>HYPERLINK("https://www.nba.com/game/...-vs-...-0021501177/play-by-play?watchFullGame=true", "SAS vs GSW - Q2 06:57.00")</f>
        <v>SAS vs GSW - Q2 06:57.00</v>
      </c>
      <c r="M3900">
        <v>11</v>
      </c>
      <c r="N3900">
        <v>-30</v>
      </c>
      <c r="O3900">
        <v>101</v>
      </c>
      <c r="P3900">
        <v>-30</v>
      </c>
      <c r="Q3900">
        <v>101</v>
      </c>
      <c r="R3900" t="s">
        <v>21</v>
      </c>
      <c r="S3900" t="s">
        <v>21</v>
      </c>
    </row>
    <row r="3901" spans="1:19" hidden="1" x14ac:dyDescent="0.25">
      <c r="A3901">
        <v>21600727</v>
      </c>
      <c r="B3901" t="s">
        <v>18</v>
      </c>
      <c r="C3901" t="s">
        <v>38</v>
      </c>
      <c r="D3901">
        <v>93</v>
      </c>
      <c r="E3901">
        <v>80</v>
      </c>
      <c r="F3901">
        <v>13</v>
      </c>
      <c r="G3901">
        <v>4</v>
      </c>
      <c r="H3901" s="1">
        <v>4.8958333333333336E-3</v>
      </c>
      <c r="I3901">
        <v>2016</v>
      </c>
      <c r="J3901" t="s">
        <v>20</v>
      </c>
      <c r="K3901" s="2" t="str">
        <f>HYPERLINK("https://www.nba.com/stats/events?CFID=&amp;CFPARAMS=&amp;GameEventID=560&amp;GameID=0021600727&amp;Season=2016-17&amp;flag=1&amp;title=Leonard%2011'%20Turnaround%20Fadeaway%20(31%20PTS)", "Leonard 11' Turnaround Fadeaway (31 PTS)")</f>
        <v>Leonard 11' Turnaround Fadeaway (31 PTS)</v>
      </c>
      <c r="L3901" s="2" t="str">
        <f>HYPERLINK("https://www.nba.com/game/...-vs-...-0021600727/play-by-play?watchFullGame=true", "SAS vs OKC - Q4 07:03.00")</f>
        <v>SAS vs OKC - Q4 07:03.00</v>
      </c>
      <c r="M3901">
        <v>11</v>
      </c>
      <c r="N3901">
        <v>-20</v>
      </c>
      <c r="O3901">
        <v>106</v>
      </c>
      <c r="P3901">
        <v>-20</v>
      </c>
      <c r="Q3901">
        <v>106</v>
      </c>
      <c r="R3901" t="s">
        <v>21</v>
      </c>
      <c r="S3901" t="s">
        <v>21</v>
      </c>
    </row>
    <row r="3902" spans="1:19" hidden="1" x14ac:dyDescent="0.25">
      <c r="A3902">
        <v>21500675</v>
      </c>
      <c r="B3902" t="s">
        <v>18</v>
      </c>
      <c r="C3902" t="s">
        <v>37</v>
      </c>
      <c r="D3902">
        <v>58</v>
      </c>
      <c r="E3902">
        <v>76</v>
      </c>
      <c r="F3902">
        <v>18</v>
      </c>
      <c r="G3902">
        <v>3</v>
      </c>
      <c r="H3902" s="1">
        <v>5.0231481481481481E-3</v>
      </c>
      <c r="I3902">
        <v>2015</v>
      </c>
      <c r="J3902" t="s">
        <v>20</v>
      </c>
      <c r="K3902" s="2" t="str">
        <f>HYPERLINK("https://www.nba.com/stats/events?CFID=&amp;CFPARAMS=&amp;GameEventID=304&amp;GameID=0021500675&amp;Season=2015-16&amp;flag=1&amp;title=Leonard%2011'%20Fadeaway%20Jumper%20(16%20PTS)", "Leonard 11' Fadeaway Jumper (16 PTS)")</f>
        <v>Leonard 11' Fadeaway Jumper (16 PTS)</v>
      </c>
      <c r="L3902" s="2" t="str">
        <f>HYPERLINK("https://www.nba.com/game/...-vs-...-0021500675/play-by-play?watchFullGame=true", "SAS vs GSW - Q3 07:14.00")</f>
        <v>SAS vs GSW - Q3 07:14.00</v>
      </c>
      <c r="M3902">
        <v>11</v>
      </c>
      <c r="N3902">
        <v>1</v>
      </c>
      <c r="O3902">
        <v>110</v>
      </c>
      <c r="P3902">
        <v>1</v>
      </c>
      <c r="Q3902">
        <v>110</v>
      </c>
      <c r="R3902" t="s">
        <v>21</v>
      </c>
      <c r="S3902" t="s">
        <v>21</v>
      </c>
    </row>
    <row r="3903" spans="1:19" hidden="1" x14ac:dyDescent="0.25">
      <c r="A3903">
        <v>21400689</v>
      </c>
      <c r="B3903" t="s">
        <v>18</v>
      </c>
      <c r="C3903" t="s">
        <v>37</v>
      </c>
      <c r="D3903">
        <v>42</v>
      </c>
      <c r="E3903">
        <v>24</v>
      </c>
      <c r="F3903">
        <v>18</v>
      </c>
      <c r="G3903">
        <v>2</v>
      </c>
      <c r="H3903" s="1">
        <v>5.0694444444444441E-3</v>
      </c>
      <c r="I3903">
        <v>2014</v>
      </c>
      <c r="J3903" t="s">
        <v>20</v>
      </c>
      <c r="K3903" s="2" t="str">
        <f>HYPERLINK("https://www.nba.com/stats/events?CFID=&amp;CFPARAMS=&amp;GameEventID=152&amp;GameID=0021400689&amp;Season=2014-15&amp;flag=1&amp;title=Leonard%2011'%20Fadeaway%20Jumper%20(7%20PTS)", "Leonard 11' Fadeaway Jumper (7 PTS)")</f>
        <v>Leonard 11' Fadeaway Jumper (7 PTS)</v>
      </c>
      <c r="L3903" s="2" t="str">
        <f>HYPERLINK("https://www.nba.com/game/...-vs-...-0021400689/play-by-play?watchFullGame=true", "SAS vs CHA - Q2 07:18.00")</f>
        <v>SAS vs CHA - Q2 07:18.00</v>
      </c>
      <c r="M3903">
        <v>11</v>
      </c>
      <c r="N3903">
        <v>105</v>
      </c>
      <c r="O3903">
        <v>9</v>
      </c>
      <c r="P3903">
        <v>105</v>
      </c>
      <c r="Q3903">
        <v>9</v>
      </c>
      <c r="R3903" t="s">
        <v>21</v>
      </c>
      <c r="S3903" t="s">
        <v>21</v>
      </c>
    </row>
    <row r="3904" spans="1:19" hidden="1" x14ac:dyDescent="0.25">
      <c r="A3904">
        <v>21600575</v>
      </c>
      <c r="B3904" t="s">
        <v>18</v>
      </c>
      <c r="C3904" t="s">
        <v>19</v>
      </c>
      <c r="D3904">
        <v>68</v>
      </c>
      <c r="E3904">
        <v>62</v>
      </c>
      <c r="F3904">
        <v>6</v>
      </c>
      <c r="G3904">
        <v>3</v>
      </c>
      <c r="H3904" s="1">
        <v>5.0694444444444441E-3</v>
      </c>
      <c r="I3904">
        <v>2016</v>
      </c>
      <c r="J3904" t="s">
        <v>20</v>
      </c>
      <c r="K3904" s="2" t="str">
        <f>HYPERLINK("https://www.nba.com/stats/events?CFID=&amp;CFPARAMS=&amp;GameEventID=294&amp;GameID=0021600575&amp;Season=2016-17&amp;flag=1&amp;title=Leonard%2011'%20Jump%20Shot%20(20%20PTS)", "Leonard 11' Jump Shot (20 PTS)")</f>
        <v>Leonard 11' Jump Shot (20 PTS)</v>
      </c>
      <c r="L3904" s="2" t="str">
        <f>HYPERLINK("https://www.nba.com/game/...-vs-...-0021600575/play-by-play?watchFullGame=true", "SAS vs MIL - Q3 07:18.00")</f>
        <v>SAS vs MIL - Q3 07:18.00</v>
      </c>
      <c r="M3904">
        <v>11</v>
      </c>
      <c r="N3904">
        <v>109</v>
      </c>
      <c r="O3904">
        <v>7</v>
      </c>
      <c r="P3904">
        <v>109</v>
      </c>
      <c r="Q3904">
        <v>7</v>
      </c>
      <c r="R3904" t="s">
        <v>21</v>
      </c>
      <c r="S3904" t="s">
        <v>21</v>
      </c>
    </row>
    <row r="3905" spans="1:19" hidden="1" x14ac:dyDescent="0.25">
      <c r="A3905">
        <v>21601170</v>
      </c>
      <c r="B3905" t="s">
        <v>18</v>
      </c>
      <c r="C3905" t="s">
        <v>37</v>
      </c>
      <c r="D3905">
        <v>23</v>
      </c>
      <c r="E3905">
        <v>40</v>
      </c>
      <c r="F3905">
        <v>17</v>
      </c>
      <c r="G3905">
        <v>2</v>
      </c>
      <c r="H3905" s="1">
        <v>5.185185185185185E-3</v>
      </c>
      <c r="I3905">
        <v>2016</v>
      </c>
      <c r="J3905" t="s">
        <v>20</v>
      </c>
      <c r="K3905" s="2" t="str">
        <f>HYPERLINK("https://www.nba.com/stats/events?CFID=&amp;CFPARAMS=&amp;GameEventID=149&amp;GameID=0021601170&amp;Season=2016-17&amp;flag=1&amp;title=Leonard%2011'%20Fadeaway%20Jumper%20(6%20PTS)%20(Forbes%201%20AST)", "Leonard 11' Fadeaway Jumper (6 PTS) (Forbes 1 AST)")</f>
        <v>Leonard 11' Fadeaway Jumper (6 PTS) (Forbes 1 AST)</v>
      </c>
      <c r="L3905" s="2" t="str">
        <f>HYPERLINK("https://www.nba.com/game/...-vs-...-0021601170/play-by-play?watchFullGame=true", "SAS vs LAL - Q2 07:28.00")</f>
        <v>SAS vs LAL - Q2 07:28.00</v>
      </c>
      <c r="M3905">
        <v>11</v>
      </c>
      <c r="N3905">
        <v>30</v>
      </c>
      <c r="O3905">
        <v>101</v>
      </c>
      <c r="P3905">
        <v>30</v>
      </c>
      <c r="Q3905">
        <v>101</v>
      </c>
      <c r="R3905" t="s">
        <v>21</v>
      </c>
      <c r="S3905" t="s">
        <v>21</v>
      </c>
    </row>
    <row r="3906" spans="1:19" hidden="1" x14ac:dyDescent="0.25">
      <c r="A3906">
        <v>21800069</v>
      </c>
      <c r="B3906" t="s">
        <v>18</v>
      </c>
      <c r="C3906" t="s">
        <v>36</v>
      </c>
      <c r="D3906">
        <v>48</v>
      </c>
      <c r="E3906">
        <v>35</v>
      </c>
      <c r="F3906">
        <v>13</v>
      </c>
      <c r="G3906">
        <v>2</v>
      </c>
      <c r="H3906" s="1">
        <v>5.2893518518518515E-3</v>
      </c>
      <c r="I3906">
        <v>2018</v>
      </c>
      <c r="J3906" t="s">
        <v>48</v>
      </c>
      <c r="K3906" s="2" t="str">
        <f>HYPERLINK("https://www.nba.com/stats/events?CFID=&amp;CFPARAMS=&amp;GameEventID=233&amp;GameID=0021800069&amp;Season=2018-19&amp;flag=1&amp;title=Leonard%2011'%20Pullup%20Jump%20Shot%20(8%20PTS)", "Leonard 11' Pullup Jump Shot (8 PTS)")</f>
        <v>Leonard 11' Pullup Jump Shot (8 PTS)</v>
      </c>
      <c r="L3906" s="2" t="str">
        <f>HYPERLINK("https://www.nba.com/game/...-vs-...-0021800069/play-by-play?watchFullGame=true", "TOR vs DAL - Q2 07:37.00")</f>
        <v>TOR vs DAL - Q2 07:37.00</v>
      </c>
      <c r="M3906">
        <v>11</v>
      </c>
      <c r="N3906">
        <v>-57</v>
      </c>
      <c r="O3906">
        <v>99</v>
      </c>
      <c r="P3906">
        <v>-57</v>
      </c>
      <c r="Q3906">
        <v>99</v>
      </c>
      <c r="R3906" t="s">
        <v>21</v>
      </c>
      <c r="S3906" t="s">
        <v>21</v>
      </c>
    </row>
    <row r="3907" spans="1:19" hidden="1" x14ac:dyDescent="0.25">
      <c r="A3907">
        <v>21400931</v>
      </c>
      <c r="B3907" t="s">
        <v>18</v>
      </c>
      <c r="C3907" t="s">
        <v>36</v>
      </c>
      <c r="D3907">
        <v>64</v>
      </c>
      <c r="E3907">
        <v>50</v>
      </c>
      <c r="F3907">
        <v>14</v>
      </c>
      <c r="G3907">
        <v>3</v>
      </c>
      <c r="H3907" s="1">
        <v>5.3009259259259259E-3</v>
      </c>
      <c r="I3907">
        <v>2014</v>
      </c>
      <c r="J3907" t="s">
        <v>20</v>
      </c>
      <c r="K3907" s="2" t="str">
        <f>HYPERLINK("https://www.nba.com/stats/events?CFID=&amp;CFPARAMS=&amp;GameEventID=316&amp;GameID=0021400931&amp;Season=2014-15&amp;flag=1&amp;title=Leonard%2011'%20Pullup%20Jump%20Shot%20(12%20PTS)%20(Parker%201%20AST)", "Leonard 11' Pullup Jump Shot (12 PTS) (Parker 1 AST)")</f>
        <v>Leonard 11' Pullup Jump Shot (12 PTS) (Parker 1 AST)</v>
      </c>
      <c r="L3907" s="2" t="str">
        <f>HYPERLINK("https://www.nba.com/game/...-vs-...-0021400931/play-by-play?watchFullGame=true", "SAS vs CHI - Q3 07:38.00")</f>
        <v>SAS vs CHI - Q3 07:38.00</v>
      </c>
      <c r="M3907">
        <v>11</v>
      </c>
      <c r="N3907">
        <v>106</v>
      </c>
      <c r="O3907">
        <v>34</v>
      </c>
      <c r="P3907">
        <v>106</v>
      </c>
      <c r="Q3907">
        <v>34</v>
      </c>
      <c r="R3907" t="s">
        <v>21</v>
      </c>
      <c r="S3907" t="s">
        <v>21</v>
      </c>
    </row>
    <row r="3908" spans="1:19" hidden="1" x14ac:dyDescent="0.25">
      <c r="A3908">
        <v>21400714</v>
      </c>
      <c r="B3908" t="s">
        <v>18</v>
      </c>
      <c r="C3908" t="s">
        <v>36</v>
      </c>
      <c r="D3908">
        <v>32</v>
      </c>
      <c r="E3908">
        <v>41</v>
      </c>
      <c r="F3908">
        <v>9</v>
      </c>
      <c r="G3908">
        <v>2</v>
      </c>
      <c r="H3908" s="1">
        <v>5.3587962962962964E-3</v>
      </c>
      <c r="I3908">
        <v>2014</v>
      </c>
      <c r="J3908" t="s">
        <v>20</v>
      </c>
      <c r="K3908" s="2" t="str">
        <f>HYPERLINK("https://www.nba.com/stats/events?CFID=&amp;CFPARAMS=&amp;GameEventID=158&amp;GameID=0021400714&amp;Season=2014-15&amp;flag=1&amp;title=Leonard%2011'%20Pullup%20Jump%20Shot%20(7%20PTS)", "Leonard 11' Pullup Jump Shot (7 PTS)")</f>
        <v>Leonard 11' Pullup Jump Shot (7 PTS)</v>
      </c>
      <c r="L3908" s="2" t="str">
        <f>HYPERLINK("https://www.nba.com/game/...-vs-...-0021400714/play-by-play?watchFullGame=true", "SAS vs LAC - Q2 07:43.00")</f>
        <v>SAS vs LAC - Q2 07:43.00</v>
      </c>
      <c r="M3908">
        <v>11</v>
      </c>
      <c r="N3908">
        <v>7</v>
      </c>
      <c r="O3908">
        <v>108</v>
      </c>
      <c r="P3908">
        <v>7</v>
      </c>
      <c r="Q3908">
        <v>108</v>
      </c>
      <c r="R3908" t="s">
        <v>21</v>
      </c>
      <c r="S3908" t="s">
        <v>21</v>
      </c>
    </row>
    <row r="3909" spans="1:19" hidden="1" x14ac:dyDescent="0.25">
      <c r="A3909">
        <v>41600155</v>
      </c>
      <c r="B3909" t="s">
        <v>18</v>
      </c>
      <c r="C3909" t="s">
        <v>59</v>
      </c>
      <c r="D3909">
        <v>92</v>
      </c>
      <c r="E3909">
        <v>85</v>
      </c>
      <c r="F3909">
        <v>7</v>
      </c>
      <c r="G3909">
        <v>4</v>
      </c>
      <c r="H3909" s="1">
        <v>5.6481481481481478E-3</v>
      </c>
      <c r="I3909" t="s">
        <v>58</v>
      </c>
      <c r="J3909" t="s">
        <v>20</v>
      </c>
      <c r="K3909" s="2" t="str">
        <f>HYPERLINK("https://www.nba.com/stats/events?CFID=&amp;CFPARAMS=&amp;GameEventID=399&amp;GameID=0041600155&amp;Season=2016-17&amp;flag=1&amp;title=Leonard%2011'%20Floating%20Jump%20Shot%20(22%20PTS)", "Leonard 11' Floating Jump Shot (22 PTS)")</f>
        <v>Leonard 11' Floating Jump Shot (22 PTS)</v>
      </c>
      <c r="L3909" s="2" t="str">
        <f>HYPERLINK("https://www.nba.com/game/...-vs-...-0041600155/play-by-play?watchFullGame=true", "SAS vs MEM - Q4 08:08.00")</f>
        <v>SAS vs MEM - Q4 08:08.00</v>
      </c>
      <c r="M3909">
        <v>11</v>
      </c>
      <c r="N3909">
        <v>-73</v>
      </c>
      <c r="O3909">
        <v>80</v>
      </c>
      <c r="P3909">
        <v>-73</v>
      </c>
      <c r="Q3909">
        <v>80</v>
      </c>
      <c r="R3909" t="s">
        <v>21</v>
      </c>
      <c r="S3909" t="s">
        <v>21</v>
      </c>
    </row>
    <row r="3910" spans="1:19" hidden="1" x14ac:dyDescent="0.25">
      <c r="A3910">
        <v>21500502</v>
      </c>
      <c r="B3910" t="s">
        <v>18</v>
      </c>
      <c r="C3910" t="s">
        <v>38</v>
      </c>
      <c r="D3910">
        <v>67</v>
      </c>
      <c r="E3910">
        <v>65</v>
      </c>
      <c r="F3910">
        <v>2</v>
      </c>
      <c r="G3910">
        <v>3</v>
      </c>
      <c r="H3910" s="1">
        <v>5.6597222222222222E-3</v>
      </c>
      <c r="I3910">
        <v>2015</v>
      </c>
      <c r="J3910" t="s">
        <v>20</v>
      </c>
      <c r="K3910" s="2" t="str">
        <f>HYPERLINK("https://www.nba.com/stats/events?CFID=&amp;CFPARAMS=&amp;GameEventID=295&amp;GameID=0021500502&amp;Season=2015-16&amp;flag=1&amp;title=Leonard%2011'%20Turnaround%20Fadeaway%20(17%20PTS)", "Leonard 11' Turnaround Fadeaway (17 PTS)")</f>
        <v>Leonard 11' Turnaround Fadeaway (17 PTS)</v>
      </c>
      <c r="L3910" s="2" t="str">
        <f>HYPERLINK("https://www.nba.com/game/...-vs-...-0021500502/play-by-play?watchFullGame=true", "SAS vs HOU - Q3 08:09.00")</f>
        <v>SAS vs HOU - Q3 08:09.00</v>
      </c>
      <c r="M3910">
        <v>11</v>
      </c>
      <c r="N3910">
        <v>-110</v>
      </c>
      <c r="O3910">
        <v>11</v>
      </c>
      <c r="P3910">
        <v>-110</v>
      </c>
      <c r="Q3910">
        <v>11</v>
      </c>
      <c r="R3910" t="s">
        <v>21</v>
      </c>
      <c r="S3910" t="s">
        <v>21</v>
      </c>
    </row>
    <row r="3911" spans="1:19" hidden="1" x14ac:dyDescent="0.25">
      <c r="A3911">
        <v>41400161</v>
      </c>
      <c r="B3911" t="s">
        <v>18</v>
      </c>
      <c r="C3911" t="s">
        <v>19</v>
      </c>
      <c r="D3911">
        <v>30</v>
      </c>
      <c r="E3911">
        <v>33</v>
      </c>
      <c r="F3911">
        <v>3</v>
      </c>
      <c r="G3911">
        <v>2</v>
      </c>
      <c r="H3911" s="1">
        <v>5.7986111111111112E-3</v>
      </c>
      <c r="I3911" t="s">
        <v>56</v>
      </c>
      <c r="J3911" t="s">
        <v>20</v>
      </c>
      <c r="K3911" s="2" t="str">
        <f>HYPERLINK("https://www.nba.com/stats/events?CFID=&amp;CFPARAMS=&amp;GameEventID=196&amp;GameID=0041400161&amp;Season=2014-15&amp;flag=1&amp;title=Leonard%2011'%20Jump%20Shot%20(5%20PTS)%20(Diaw%202%20AST)", "Leonard 11' Jump Shot (5 PTS) (Diaw 2 AST)")</f>
        <v>Leonard 11' Jump Shot (5 PTS) (Diaw 2 AST)</v>
      </c>
      <c r="L3911" s="2" t="str">
        <f>HYPERLINK("https://www.nba.com/game/...-vs-...-0041400161/play-by-play?watchFullGame=true", "SAS vs LAC - Q2 08:21.00")</f>
        <v>SAS vs LAC - Q2 08:21.00</v>
      </c>
      <c r="M3911">
        <v>11</v>
      </c>
      <c r="N3911">
        <v>-111</v>
      </c>
      <c r="O3911">
        <v>15</v>
      </c>
      <c r="P3911">
        <v>-111</v>
      </c>
      <c r="Q3911">
        <v>15</v>
      </c>
      <c r="R3911" t="s">
        <v>21</v>
      </c>
      <c r="S3911" t="s">
        <v>21</v>
      </c>
    </row>
    <row r="3912" spans="1:19" hidden="1" x14ac:dyDescent="0.25">
      <c r="A3912">
        <v>21600825</v>
      </c>
      <c r="B3912" t="s">
        <v>18</v>
      </c>
      <c r="C3912" t="s">
        <v>34</v>
      </c>
      <c r="D3912">
        <v>86</v>
      </c>
      <c r="E3912">
        <v>87</v>
      </c>
      <c r="F3912">
        <v>1</v>
      </c>
      <c r="G3912">
        <v>4</v>
      </c>
      <c r="H3912" s="1">
        <v>5.9490740740740745E-3</v>
      </c>
      <c r="I3912">
        <v>2016</v>
      </c>
      <c r="J3912" t="s">
        <v>20</v>
      </c>
      <c r="K3912" s="2" t="str">
        <f>HYPERLINK("https://www.nba.com/stats/events?CFID=&amp;CFPARAMS=&amp;GameEventID=416&amp;GameID=0021600825&amp;Season=2016-17&amp;flag=1&amp;title=Leonard%2011'%20Turnaround%20Jump%20Shot%20(27%20PTS)%20(Green%203%20AST)", "Leonard 11' Turnaround Jump Shot (27 PTS) (Green 3 AST)")</f>
        <v>Leonard 11' Turnaround Jump Shot (27 PTS) (Green 3 AST)</v>
      </c>
      <c r="L3912" s="2" t="str">
        <f>HYPERLINK("https://www.nba.com/game/...-vs-...-0021600825/play-by-play?watchFullGame=true", "SAS vs IND - Q4 08:34.00")</f>
        <v>SAS vs IND - Q4 08:34.00</v>
      </c>
      <c r="M3912">
        <v>11</v>
      </c>
      <c r="N3912">
        <v>-104</v>
      </c>
      <c r="O3912">
        <v>33</v>
      </c>
      <c r="P3912">
        <v>-104</v>
      </c>
      <c r="Q3912">
        <v>33</v>
      </c>
      <c r="R3912" t="s">
        <v>21</v>
      </c>
      <c r="S3912" t="s">
        <v>21</v>
      </c>
    </row>
    <row r="3913" spans="1:19" hidden="1" x14ac:dyDescent="0.25">
      <c r="A3913">
        <v>41800217</v>
      </c>
      <c r="B3913" t="s">
        <v>18</v>
      </c>
      <c r="C3913" t="s">
        <v>36</v>
      </c>
      <c r="D3913">
        <v>75</v>
      </c>
      <c r="E3913">
        <v>71</v>
      </c>
      <c r="F3913">
        <v>4</v>
      </c>
      <c r="G3913">
        <v>4</v>
      </c>
      <c r="H3913" s="1">
        <v>5.9837962962962961E-3</v>
      </c>
      <c r="I3913" t="s">
        <v>60</v>
      </c>
      <c r="J3913" t="s">
        <v>48</v>
      </c>
      <c r="K3913" s="2" t="str">
        <f>HYPERLINK("https://www.nba.com/stats/events?CFID=&amp;CFPARAMS=&amp;GameEventID=500&amp;GameID=0041800217&amp;Season=2018-19&amp;flag=1&amp;title=Leonard%2011'%20Pullup%20Jump%20Shot%20(28%20PTS)", "Leonard 11' Pullup Jump Shot (28 PTS)")</f>
        <v>Leonard 11' Pullup Jump Shot (28 PTS)</v>
      </c>
      <c r="L3913" s="2" t="str">
        <f>HYPERLINK("https://www.nba.com/game/...-vs-...-0041800217/play-by-play?watchFullGame=true", "TOR vs PHI - Q4 08:37.00")</f>
        <v>TOR vs PHI - Q4 08:37.00</v>
      </c>
      <c r="M3913">
        <v>11</v>
      </c>
      <c r="N3913">
        <v>100</v>
      </c>
      <c r="O3913">
        <v>53</v>
      </c>
      <c r="P3913">
        <v>100</v>
      </c>
      <c r="Q3913">
        <v>53</v>
      </c>
      <c r="R3913" t="s">
        <v>21</v>
      </c>
      <c r="S3913" t="s">
        <v>21</v>
      </c>
    </row>
    <row r="3914" spans="1:19" hidden="1" x14ac:dyDescent="0.25">
      <c r="A3914">
        <v>21800549</v>
      </c>
      <c r="B3914" t="s">
        <v>18</v>
      </c>
      <c r="C3914" t="s">
        <v>38</v>
      </c>
      <c r="D3914">
        <v>62</v>
      </c>
      <c r="E3914">
        <v>55</v>
      </c>
      <c r="F3914">
        <v>7</v>
      </c>
      <c r="G3914">
        <v>3</v>
      </c>
      <c r="H3914" s="1">
        <v>6.122685185185185E-3</v>
      </c>
      <c r="I3914">
        <v>2018</v>
      </c>
      <c r="J3914" t="s">
        <v>48</v>
      </c>
      <c r="K3914" s="2" t="str">
        <f>HYPERLINK("https://www.nba.com/stats/events?CFID=&amp;CFPARAMS=&amp;GameEventID=338&amp;GameID=0021800549&amp;Season=2018-19&amp;flag=1&amp;title=Leonard%2011'%20Turnaround%20Fadeaway%20(17%20PTS)", "Leonard 11' Turnaround Fadeaway (17 PTS)")</f>
        <v>Leonard 11' Turnaround Fadeaway (17 PTS)</v>
      </c>
      <c r="L3914" s="2" t="str">
        <f>HYPERLINK("https://www.nba.com/game/...-vs-...-0021800549/play-by-play?watchFullGame=true", "TOR vs UTA - Q3 08:49.00")</f>
        <v>TOR vs UTA - Q3 08:49.00</v>
      </c>
      <c r="M3914">
        <v>11</v>
      </c>
      <c r="N3914">
        <v>-106</v>
      </c>
      <c r="O3914">
        <v>22</v>
      </c>
      <c r="P3914">
        <v>-106</v>
      </c>
      <c r="Q3914">
        <v>22</v>
      </c>
      <c r="R3914" t="s">
        <v>21</v>
      </c>
      <c r="S3914" t="s">
        <v>21</v>
      </c>
    </row>
    <row r="3915" spans="1:19" hidden="1" x14ac:dyDescent="0.25">
      <c r="A3915">
        <v>21700428</v>
      </c>
      <c r="B3915" t="s">
        <v>18</v>
      </c>
      <c r="C3915" t="s">
        <v>34</v>
      </c>
      <c r="D3915">
        <v>6</v>
      </c>
      <c r="E3915">
        <v>9</v>
      </c>
      <c r="F3915">
        <v>3</v>
      </c>
      <c r="G3915">
        <v>1</v>
      </c>
      <c r="H3915" s="1">
        <v>6.2962962962962964E-3</v>
      </c>
      <c r="I3915">
        <v>2017</v>
      </c>
      <c r="J3915" t="s">
        <v>20</v>
      </c>
      <c r="K3915" s="2" t="str">
        <f>HYPERLINK("https://www.nba.com/stats/events?CFID=&amp;CFPARAMS=&amp;GameEventID=38&amp;GameID=0021700428&amp;Season=2017-18&amp;flag=1&amp;title=Leonard%2011'%20Turnaround%20Jump%20Shot%20(4%20PTS)", "Leonard 11' Turnaround Jump Shot (4 PTS)")</f>
        <v>Leonard 11' Turnaround Jump Shot (4 PTS)</v>
      </c>
      <c r="L3915" s="2" t="str">
        <f>HYPERLINK("https://www.nba.com/game/...-vs-...-0021700428/play-by-play?watchFullGame=true", "SAS vs HOU - Q1 09:04.00")</f>
        <v>SAS vs HOU - Q1 09:04.00</v>
      </c>
      <c r="M3915">
        <v>11</v>
      </c>
      <c r="N3915">
        <v>-85</v>
      </c>
      <c r="O3915">
        <v>67</v>
      </c>
      <c r="P3915">
        <v>-85</v>
      </c>
      <c r="Q3915">
        <v>67</v>
      </c>
      <c r="R3915" t="s">
        <v>21</v>
      </c>
      <c r="S3915" t="s">
        <v>21</v>
      </c>
    </row>
    <row r="3916" spans="1:19" hidden="1" x14ac:dyDescent="0.25">
      <c r="A3916">
        <v>21800316</v>
      </c>
      <c r="B3916" t="s">
        <v>18</v>
      </c>
      <c r="C3916" t="s">
        <v>38</v>
      </c>
      <c r="D3916">
        <v>9</v>
      </c>
      <c r="E3916">
        <v>6</v>
      </c>
      <c r="F3916">
        <v>3</v>
      </c>
      <c r="G3916">
        <v>1</v>
      </c>
      <c r="H3916" s="1">
        <v>6.5509259259259262E-3</v>
      </c>
      <c r="I3916">
        <v>2018</v>
      </c>
      <c r="J3916" t="s">
        <v>48</v>
      </c>
      <c r="K3916" s="2" t="str">
        <f>HYPERLINK("https://www.nba.com/stats/events?CFID=&amp;CFPARAMS=&amp;GameEventID=22&amp;GameID=0021800316&amp;Season=2018-19&amp;flag=1&amp;title=Leonard%2011'%20Turnaround%20Fadeaway%20(2%20PTS)", "Leonard 11' Turnaround Fadeaway (2 PTS)")</f>
        <v>Leonard 11' Turnaround Fadeaway (2 PTS)</v>
      </c>
      <c r="L3916" s="2" t="str">
        <f>HYPERLINK("https://www.nba.com/game/...-vs-...-0021800316/play-by-play?watchFullGame=true", "TOR vs GSW - Q1 09:26.00")</f>
        <v>TOR vs GSW - Q1 09:26.00</v>
      </c>
      <c r="M3916">
        <v>11</v>
      </c>
      <c r="N3916">
        <v>108</v>
      </c>
      <c r="O3916">
        <v>31</v>
      </c>
      <c r="P3916">
        <v>108</v>
      </c>
      <c r="Q3916">
        <v>31</v>
      </c>
      <c r="R3916" t="s">
        <v>21</v>
      </c>
      <c r="S3916" t="s">
        <v>21</v>
      </c>
    </row>
    <row r="3917" spans="1:19" hidden="1" x14ac:dyDescent="0.25">
      <c r="A3917">
        <v>21800303</v>
      </c>
      <c r="B3917" t="s">
        <v>18</v>
      </c>
      <c r="C3917" t="s">
        <v>42</v>
      </c>
      <c r="D3917">
        <v>10</v>
      </c>
      <c r="E3917">
        <v>4</v>
      </c>
      <c r="F3917">
        <v>6</v>
      </c>
      <c r="G3917">
        <v>1</v>
      </c>
      <c r="H3917" s="1">
        <v>6.5856481481481478E-3</v>
      </c>
      <c r="I3917">
        <v>2018</v>
      </c>
      <c r="J3917" t="s">
        <v>48</v>
      </c>
      <c r="K3917" s="2" t="str">
        <f>HYPERLINK("https://www.nba.com/stats/events?CFID=&amp;CFPARAMS=&amp;GameEventID=30&amp;GameID=0021800303&amp;Season=2018-19&amp;flag=1&amp;title=Leonard%2011'%20Driving%20Floating%20Jump%20Shot%20(2%20PTS)", "Leonard 11' Driving Floating Jump Shot (2 PTS)")</f>
        <v>Leonard 11' Driving Floating Jump Shot (2 PTS)</v>
      </c>
      <c r="L3917" s="2" t="str">
        <f>HYPERLINK("https://www.nba.com/game/...-vs-...-0021800303/play-by-play?watchFullGame=true", "TOR vs MEM - Q1 09:29.00")</f>
        <v>TOR vs MEM - Q1 09:29.00</v>
      </c>
      <c r="M3917">
        <v>11</v>
      </c>
      <c r="N3917">
        <v>-43</v>
      </c>
      <c r="O3917">
        <v>96</v>
      </c>
      <c r="P3917">
        <v>-43</v>
      </c>
      <c r="Q3917">
        <v>96</v>
      </c>
      <c r="R3917" t="s">
        <v>21</v>
      </c>
      <c r="S3917" t="s">
        <v>21</v>
      </c>
    </row>
    <row r="3918" spans="1:19" hidden="1" x14ac:dyDescent="0.25">
      <c r="A3918">
        <v>21800192</v>
      </c>
      <c r="B3918" t="s">
        <v>18</v>
      </c>
      <c r="C3918" t="s">
        <v>37</v>
      </c>
      <c r="D3918">
        <v>7</v>
      </c>
      <c r="E3918">
        <v>8</v>
      </c>
      <c r="F3918">
        <v>1</v>
      </c>
      <c r="G3918">
        <v>1</v>
      </c>
      <c r="H3918" s="1">
        <v>6.6319444444444446E-3</v>
      </c>
      <c r="I3918">
        <v>2018</v>
      </c>
      <c r="J3918" t="s">
        <v>48</v>
      </c>
      <c r="K3918" s="2" t="str">
        <f>HYPERLINK("https://www.nba.com/stats/events?CFID=&amp;CFPARAMS=&amp;GameEventID=33&amp;GameID=0021800192&amp;Season=2018-19&amp;flag=1&amp;title=Leonard%2011'%20Fadeaway%20Jumper%20(2%20PTS)", "Leonard 11' Fadeaway Jumper (2 PTS)")</f>
        <v>Leonard 11' Fadeaway Jumper (2 PTS)</v>
      </c>
      <c r="L3918" s="2" t="str">
        <f>HYPERLINK("https://www.nba.com/game/...-vs-...-0021800192/play-by-play?watchFullGame=true", "TOR vs NOP - Q1 09:33.00")</f>
        <v>TOR vs NOP - Q1 09:33.00</v>
      </c>
      <c r="M3918">
        <v>11</v>
      </c>
      <c r="N3918">
        <v>107</v>
      </c>
      <c r="O3918">
        <v>-8</v>
      </c>
      <c r="P3918">
        <v>107</v>
      </c>
      <c r="Q3918">
        <v>-8</v>
      </c>
      <c r="R3918" t="s">
        <v>21</v>
      </c>
      <c r="S3918" t="s">
        <v>21</v>
      </c>
    </row>
    <row r="3919" spans="1:19" hidden="1" x14ac:dyDescent="0.25">
      <c r="A3919">
        <v>21301030</v>
      </c>
      <c r="B3919" t="s">
        <v>18</v>
      </c>
      <c r="C3919" t="s">
        <v>19</v>
      </c>
      <c r="D3919">
        <v>6</v>
      </c>
      <c r="E3919">
        <v>4</v>
      </c>
      <c r="F3919">
        <v>2</v>
      </c>
      <c r="G3919">
        <v>1</v>
      </c>
      <c r="H3919" s="1">
        <v>6.7939814814814816E-3</v>
      </c>
      <c r="I3919">
        <v>2013</v>
      </c>
      <c r="J3919" t="s">
        <v>20</v>
      </c>
      <c r="K3919" s="2" t="str">
        <f>HYPERLINK("https://www.nba.com/stats/events?CFID=&amp;CFPARAMS=&amp;GameEventID=16&amp;GameID=0021301030&amp;Season=2013-14&amp;flag=1&amp;title=Leonard%2011'%20Jump%20Shot%20(4%20PTS)", "Leonard 11' Jump Shot (4 PTS)")</f>
        <v>Leonard 11' Jump Shot (4 PTS)</v>
      </c>
      <c r="L3919" s="2" t="str">
        <f>HYPERLINK("https://www.nba.com/game/...-vs-...-0021301030/play-by-play?watchFullGame=true", "SAS vs SAC - Q1 09:47.00")</f>
        <v>SAS vs SAC - Q1 09:47.00</v>
      </c>
      <c r="M3919">
        <v>11</v>
      </c>
      <c r="N3919">
        <v>-8</v>
      </c>
      <c r="O3919">
        <v>107</v>
      </c>
      <c r="P3919">
        <v>-8</v>
      </c>
      <c r="Q3919">
        <v>107</v>
      </c>
      <c r="R3919" t="s">
        <v>21</v>
      </c>
      <c r="S3919" t="s">
        <v>21</v>
      </c>
    </row>
    <row r="3920" spans="1:19" hidden="1" x14ac:dyDescent="0.25">
      <c r="A3920">
        <v>21401150</v>
      </c>
      <c r="B3920" t="s">
        <v>18</v>
      </c>
      <c r="C3920" t="s">
        <v>38</v>
      </c>
      <c r="D3920">
        <v>6</v>
      </c>
      <c r="E3920">
        <v>1</v>
      </c>
      <c r="F3920">
        <v>5</v>
      </c>
      <c r="G3920">
        <v>1</v>
      </c>
      <c r="H3920" s="1">
        <v>6.8171296296296296E-3</v>
      </c>
      <c r="I3920">
        <v>2014</v>
      </c>
      <c r="J3920" t="s">
        <v>20</v>
      </c>
      <c r="K3920" s="2" t="str">
        <f>HYPERLINK("https://www.nba.com/stats/events?CFID=&amp;CFPARAMS=&amp;GameEventID=18&amp;GameID=0021401150&amp;Season=2014-15&amp;flag=1&amp;title=Leonard%2011'%20Turnaround%20Fadeaway%20(4%20PTS)", "Leonard 11' Turnaround Fadeaway (4 PTS)")</f>
        <v>Leonard 11' Turnaround Fadeaway (4 PTS)</v>
      </c>
      <c r="L3920" s="2" t="str">
        <f>HYPERLINK("https://www.nba.com/game/...-vs-...-0021401150/play-by-play?watchFullGame=true", "SAS vs GSW - Q1 09:49.00")</f>
        <v>SAS vs GSW - Q1 09:49.00</v>
      </c>
      <c r="M3920">
        <v>11</v>
      </c>
      <c r="N3920">
        <v>-111</v>
      </c>
      <c r="O3920">
        <v>9</v>
      </c>
      <c r="P3920">
        <v>-111</v>
      </c>
      <c r="Q3920">
        <v>9</v>
      </c>
      <c r="R3920" t="s">
        <v>21</v>
      </c>
      <c r="S3920" t="s">
        <v>21</v>
      </c>
    </row>
    <row r="3921" spans="1:19" hidden="1" x14ac:dyDescent="0.25">
      <c r="A3921">
        <v>21501161</v>
      </c>
      <c r="B3921" t="s">
        <v>18</v>
      </c>
      <c r="C3921" t="s">
        <v>34</v>
      </c>
      <c r="D3921">
        <v>31</v>
      </c>
      <c r="E3921">
        <v>20</v>
      </c>
      <c r="F3921">
        <v>11</v>
      </c>
      <c r="G3921">
        <v>2</v>
      </c>
      <c r="H3921" s="1">
        <v>6.875E-3</v>
      </c>
      <c r="I3921">
        <v>2015</v>
      </c>
      <c r="J3921" t="s">
        <v>20</v>
      </c>
      <c r="K3921" s="2" t="str">
        <f>HYPERLINK("https://www.nba.com/stats/events?CFID=&amp;CFPARAMS=&amp;GameEventID=115&amp;GameID=0021501161&amp;Season=2015-16&amp;flag=1&amp;title=Leonard%2011'%20Turnaround%20Jump%20Shot%20(6%20PTS)", "Leonard 11' Turnaround Jump Shot (6 PTS)")</f>
        <v>Leonard 11' Turnaround Jump Shot (6 PTS)</v>
      </c>
      <c r="L3921" s="2" t="str">
        <f>HYPERLINK("https://www.nba.com/game/...-vs-...-0021501161/play-by-play?watchFullGame=true", "SAS vs UTA - Q2 09:54.00")</f>
        <v>SAS vs UTA - Q2 09:54.00</v>
      </c>
      <c r="M3921">
        <v>11</v>
      </c>
      <c r="N3921">
        <v>105</v>
      </c>
      <c r="O3921">
        <v>0</v>
      </c>
      <c r="P3921">
        <v>105</v>
      </c>
      <c r="Q3921">
        <v>0</v>
      </c>
      <c r="R3921" t="s">
        <v>21</v>
      </c>
      <c r="S3921" t="s">
        <v>21</v>
      </c>
    </row>
    <row r="3922" spans="1:19" hidden="1" x14ac:dyDescent="0.25">
      <c r="A3922">
        <v>21400102</v>
      </c>
      <c r="B3922" t="s">
        <v>18</v>
      </c>
      <c r="C3922" t="s">
        <v>19</v>
      </c>
      <c r="D3922">
        <v>2</v>
      </c>
      <c r="E3922">
        <v>4</v>
      </c>
      <c r="F3922">
        <v>2</v>
      </c>
      <c r="G3922">
        <v>1</v>
      </c>
      <c r="H3922" s="1">
        <v>6.898148148148148E-3</v>
      </c>
      <c r="I3922">
        <v>2014</v>
      </c>
      <c r="J3922" t="s">
        <v>20</v>
      </c>
      <c r="K3922" s="2" t="str">
        <f>HYPERLINK("https://www.nba.com/stats/events?CFID=&amp;CFPARAMS=&amp;GameEventID=17&amp;GameID=0021400102&amp;Season=2014-15&amp;flag=1&amp;title=Leonard%2011'%20Jump%20Shot%20(2%20PTS)%20(Parker%201%20AST)", "Leonard 11' Jump Shot (2 PTS) (Parker 1 AST)")</f>
        <v>Leonard 11' Jump Shot (2 PTS) (Parker 1 AST)</v>
      </c>
      <c r="L3922" s="2" t="str">
        <f>HYPERLINK("https://www.nba.com/game/...-vs-...-0021400102/play-by-play?watchFullGame=true", "SAS vs LAC - Q1 09:56.00")</f>
        <v>SAS vs LAC - Q1 09:56.00</v>
      </c>
      <c r="M3922">
        <v>11</v>
      </c>
      <c r="N3922">
        <v>70</v>
      </c>
      <c r="O3922">
        <v>80</v>
      </c>
      <c r="P3922">
        <v>70</v>
      </c>
      <c r="Q3922">
        <v>80</v>
      </c>
      <c r="R3922" t="s">
        <v>21</v>
      </c>
      <c r="S3922" t="s">
        <v>21</v>
      </c>
    </row>
    <row r="3923" spans="1:19" hidden="1" x14ac:dyDescent="0.25">
      <c r="A3923">
        <v>21800639</v>
      </c>
      <c r="B3923" t="s">
        <v>18</v>
      </c>
      <c r="C3923" t="s">
        <v>36</v>
      </c>
      <c r="D3923">
        <v>68</v>
      </c>
      <c r="E3923">
        <v>53</v>
      </c>
      <c r="F3923">
        <v>15</v>
      </c>
      <c r="G3923">
        <v>3</v>
      </c>
      <c r="H3923" s="1">
        <v>6.9212962962962961E-3</v>
      </c>
      <c r="I3923">
        <v>2018</v>
      </c>
      <c r="J3923" t="s">
        <v>48</v>
      </c>
      <c r="K3923" s="2" t="str">
        <f>HYPERLINK("https://www.nba.com/stats/events?CFID=&amp;CFPARAMS=&amp;GameEventID=374&amp;GameID=0021800639&amp;Season=2018-19&amp;flag=1&amp;title=Leonard%2011'%20Pullup%20Jump%20Shot%20(16%20PTS)", "Leonard 11' Pullup Jump Shot (16 PTS)")</f>
        <v>Leonard 11' Pullup Jump Shot (16 PTS)</v>
      </c>
      <c r="L3923" s="2" t="str">
        <f>HYPERLINK("https://www.nba.com/game/...-vs-...-0021800639/play-by-play?watchFullGame=true", "TOR vs WAS - Q3 09:58.00")</f>
        <v>TOR vs WAS - Q3 09:58.00</v>
      </c>
      <c r="M3923">
        <v>11</v>
      </c>
      <c r="N3923">
        <v>106</v>
      </c>
      <c r="O3923">
        <v>6</v>
      </c>
      <c r="P3923">
        <v>106</v>
      </c>
      <c r="Q3923">
        <v>6</v>
      </c>
      <c r="R3923" t="s">
        <v>21</v>
      </c>
      <c r="S3923" t="s">
        <v>21</v>
      </c>
    </row>
    <row r="3924" spans="1:19" hidden="1" x14ac:dyDescent="0.25">
      <c r="A3924">
        <v>21500546</v>
      </c>
      <c r="B3924" t="s">
        <v>18</v>
      </c>
      <c r="C3924" t="s">
        <v>38</v>
      </c>
      <c r="D3924">
        <v>2</v>
      </c>
      <c r="E3924">
        <v>3</v>
      </c>
      <c r="F3924">
        <v>1</v>
      </c>
      <c r="G3924">
        <v>1</v>
      </c>
      <c r="H3924" s="1">
        <v>6.9907407407407409E-3</v>
      </c>
      <c r="I3924">
        <v>2015</v>
      </c>
      <c r="J3924" t="s">
        <v>20</v>
      </c>
      <c r="K3924" s="2" t="str">
        <f>HYPERLINK("https://www.nba.com/stats/events?CFID=&amp;CFPARAMS=&amp;GameEventID=17&amp;GameID=0021500546&amp;Season=2015-16&amp;flag=1&amp;title=Leonard%2011'%20Turnaround%20Fadeaway%20(2%20PTS)", "Leonard 11' Turnaround Fadeaway (2 PTS)")</f>
        <v>Leonard 11' Turnaround Fadeaway (2 PTS)</v>
      </c>
      <c r="L3924" s="2" t="str">
        <f>HYPERLINK("https://www.nba.com/game/...-vs-...-0021500546/play-by-play?watchFullGame=true", "SAS vs NYK - Q1 10:04.00")</f>
        <v>SAS vs NYK - Q1 10:04.00</v>
      </c>
      <c r="M3924">
        <v>11</v>
      </c>
      <c r="N3924">
        <v>107</v>
      </c>
      <c r="O3924">
        <v>-1</v>
      </c>
      <c r="P3924">
        <v>107</v>
      </c>
      <c r="Q3924">
        <v>-1</v>
      </c>
      <c r="R3924" t="s">
        <v>21</v>
      </c>
      <c r="S3924" t="s">
        <v>21</v>
      </c>
    </row>
    <row r="3925" spans="1:19" hidden="1" x14ac:dyDescent="0.25">
      <c r="A3925">
        <v>21800123</v>
      </c>
      <c r="B3925" t="s">
        <v>18</v>
      </c>
      <c r="C3925" t="s">
        <v>49</v>
      </c>
      <c r="D3925">
        <v>55</v>
      </c>
      <c r="E3925">
        <v>54</v>
      </c>
      <c r="F3925">
        <v>1</v>
      </c>
      <c r="G3925">
        <v>3</v>
      </c>
      <c r="H3925" s="1">
        <v>7.2453703703703708E-3</v>
      </c>
      <c r="I3925">
        <v>2018</v>
      </c>
      <c r="J3925" t="s">
        <v>48</v>
      </c>
      <c r="K3925" s="2" t="str">
        <f>HYPERLINK("https://www.nba.com/stats/events?CFID=&amp;CFPARAMS=&amp;GameEventID=361&amp;GameID=0021800123&amp;Season=2018-19&amp;flag=1&amp;title=Leonard%2011'%20Driving%20Floating%20Bank%20Jump%20Shot%20(16%20PTS)", "Leonard 11' Driving Floating Bank Jump Shot (16 PTS)")</f>
        <v>Leonard 11' Driving Floating Bank Jump Shot (16 PTS)</v>
      </c>
      <c r="L3925" s="2" t="str">
        <f>HYPERLINK("https://www.nba.com/game/...-vs-...-0021800123/play-by-play?watchFullGame=true", "TOR vs PHX - Q3 10:26.00")</f>
        <v>TOR vs PHX - Q3 10:26.00</v>
      </c>
      <c r="M3925">
        <v>11</v>
      </c>
      <c r="N3925">
        <v>6</v>
      </c>
      <c r="O3925">
        <v>110</v>
      </c>
      <c r="P3925">
        <v>6</v>
      </c>
      <c r="Q3925">
        <v>110</v>
      </c>
      <c r="R3925" t="s">
        <v>21</v>
      </c>
      <c r="S3925" t="s">
        <v>21</v>
      </c>
    </row>
    <row r="3926" spans="1:19" hidden="1" x14ac:dyDescent="0.25">
      <c r="A3926">
        <v>21500416</v>
      </c>
      <c r="B3926" t="s">
        <v>18</v>
      </c>
      <c r="C3926" t="s">
        <v>36</v>
      </c>
      <c r="D3926">
        <v>83</v>
      </c>
      <c r="E3926">
        <v>73</v>
      </c>
      <c r="F3926">
        <v>10</v>
      </c>
      <c r="G3926">
        <v>4</v>
      </c>
      <c r="H3926" s="1">
        <v>7.2453703703703708E-3</v>
      </c>
      <c r="I3926">
        <v>2015</v>
      </c>
      <c r="J3926" t="s">
        <v>20</v>
      </c>
      <c r="K3926" s="2" t="str">
        <f>HYPERLINK("https://www.nba.com/stats/events?CFID=&amp;CFPARAMS=&amp;GameEventID=364&amp;GameID=0021500416&amp;Season=2015-16&amp;flag=1&amp;title=Leonard%2011'%20Pullup%20Jump%20Shot%20(23%20PTS)", "Leonard 11' Pullup Jump Shot (23 PTS)")</f>
        <v>Leonard 11' Pullup Jump Shot (23 PTS)</v>
      </c>
      <c r="L3926" s="2" t="str">
        <f>HYPERLINK("https://www.nba.com/game/...-vs-...-0021500416/play-by-play?watchFullGame=true", "SAS vs IND - Q4 10:26.00")</f>
        <v>SAS vs IND - Q4 10:26.00</v>
      </c>
      <c r="M3926">
        <v>11</v>
      </c>
      <c r="N3926">
        <v>33</v>
      </c>
      <c r="O3926">
        <v>100</v>
      </c>
      <c r="P3926">
        <v>33</v>
      </c>
      <c r="Q3926">
        <v>100</v>
      </c>
      <c r="R3926" t="s">
        <v>21</v>
      </c>
      <c r="S3926" t="s">
        <v>21</v>
      </c>
    </row>
    <row r="3927" spans="1:19" hidden="1" x14ac:dyDescent="0.25">
      <c r="A3927">
        <v>21600213</v>
      </c>
      <c r="B3927" t="s">
        <v>18</v>
      </c>
      <c r="C3927" t="s">
        <v>19</v>
      </c>
      <c r="D3927">
        <v>64</v>
      </c>
      <c r="E3927">
        <v>63</v>
      </c>
      <c r="F3927">
        <v>1</v>
      </c>
      <c r="G3927">
        <v>3</v>
      </c>
      <c r="H3927" s="1">
        <v>7.3379629629629628E-3</v>
      </c>
      <c r="I3927">
        <v>2016</v>
      </c>
      <c r="J3927" t="s">
        <v>20</v>
      </c>
      <c r="K3927" s="2" t="str">
        <f>HYPERLINK("https://www.nba.com/stats/events?CFID=&amp;CFPARAMS=&amp;GameEventID=250&amp;GameID=0021600213&amp;Season=2016-17&amp;flag=1&amp;title=Leonard%2011'%20Jump%20Shot%20(18%20PTS)", "Leonard 11' Jump Shot (18 PTS)")</f>
        <v>Leonard 11' Jump Shot (18 PTS)</v>
      </c>
      <c r="L3927" s="2" t="str">
        <f>HYPERLINK("https://www.nba.com/game/...-vs-...-0021600213/play-by-play?watchFullGame=true", "SAS vs CHA - Q3 10:34.00")</f>
        <v>SAS vs CHA - Q3 10:34.00</v>
      </c>
      <c r="M3927">
        <v>11</v>
      </c>
      <c r="N3927">
        <v>17</v>
      </c>
      <c r="O3927">
        <v>111</v>
      </c>
      <c r="P3927">
        <v>17</v>
      </c>
      <c r="Q3927">
        <v>111</v>
      </c>
      <c r="R3927" t="s">
        <v>21</v>
      </c>
      <c r="S3927" t="s">
        <v>21</v>
      </c>
    </row>
    <row r="3928" spans="1:19" hidden="1" x14ac:dyDescent="0.25">
      <c r="A3928">
        <v>21800442</v>
      </c>
      <c r="B3928" t="s">
        <v>18</v>
      </c>
      <c r="C3928" t="s">
        <v>37</v>
      </c>
      <c r="D3928">
        <v>54</v>
      </c>
      <c r="E3928">
        <v>42</v>
      </c>
      <c r="F3928">
        <v>12</v>
      </c>
      <c r="G3928">
        <v>3</v>
      </c>
      <c r="H3928" s="1">
        <v>7.4074074074074077E-3</v>
      </c>
      <c r="I3928">
        <v>2018</v>
      </c>
      <c r="J3928" t="s">
        <v>48</v>
      </c>
      <c r="K3928" s="2" t="str">
        <f>HYPERLINK("https://www.nba.com/stats/events?CFID=&amp;CFPARAMS=&amp;GameEventID=301&amp;GameID=0021800442&amp;Season=2018-19&amp;flag=1&amp;title=Leonard%2011'%20Fadeaway%20Jumper%20(14%20PTS)", "Leonard 11' Fadeaway Jumper (14 PTS)")</f>
        <v>Leonard 11' Fadeaway Jumper (14 PTS)</v>
      </c>
      <c r="L3928" s="2" t="str">
        <f>HYPERLINK("https://www.nba.com/game/...-vs-...-0021800442/play-by-play?watchFullGame=true", "TOR vs DEN - Q3 10:40.00")</f>
        <v>TOR vs DEN - Q3 10:40.00</v>
      </c>
      <c r="M3928">
        <v>11</v>
      </c>
      <c r="N3928">
        <v>0</v>
      </c>
      <c r="O3928">
        <v>105</v>
      </c>
      <c r="P3928">
        <v>0</v>
      </c>
      <c r="Q3928">
        <v>105</v>
      </c>
      <c r="R3928" t="s">
        <v>21</v>
      </c>
      <c r="S3928" t="s">
        <v>21</v>
      </c>
    </row>
    <row r="3929" spans="1:19" hidden="1" x14ac:dyDescent="0.25">
      <c r="A3929">
        <v>41200407</v>
      </c>
      <c r="B3929" t="s">
        <v>18</v>
      </c>
      <c r="C3929" t="s">
        <v>19</v>
      </c>
      <c r="D3929">
        <v>48</v>
      </c>
      <c r="E3929">
        <v>48</v>
      </c>
      <c r="F3929">
        <v>0</v>
      </c>
      <c r="G3929">
        <v>3</v>
      </c>
      <c r="H3929" s="1">
        <v>7.4421296296296293E-3</v>
      </c>
      <c r="I3929" t="s">
        <v>53</v>
      </c>
      <c r="J3929" t="s">
        <v>20</v>
      </c>
      <c r="K3929" s="2" t="str">
        <f>HYPERLINK("https://www.nba.com/stats/events?CFID=&amp;CFPARAMS=&amp;GameEventID=281&amp;GameID=0041200407&amp;Season=2012-13&amp;flag=1&amp;title=Leonard%2011'%20Jump%20Shot%20(9%20PTS)", "Leonard 11' Jump Shot (9 PTS)")</f>
        <v>Leonard 11' Jump Shot (9 PTS)</v>
      </c>
      <c r="L3929" s="2" t="str">
        <f>HYPERLINK("https://www.nba.com/game/...-vs-...-0041200407/play-by-play?watchFullGame=true", "SAS vs MIA - Q3 10:43.00")</f>
        <v>SAS vs MIA - Q3 10:43.00</v>
      </c>
      <c r="M3929">
        <v>11</v>
      </c>
      <c r="N3929">
        <v>75</v>
      </c>
      <c r="O3929">
        <v>80</v>
      </c>
      <c r="P3929">
        <v>75</v>
      </c>
      <c r="Q3929">
        <v>80</v>
      </c>
      <c r="R3929" t="s">
        <v>21</v>
      </c>
      <c r="S3929" t="s">
        <v>21</v>
      </c>
    </row>
    <row r="3930" spans="1:19" hidden="1" x14ac:dyDescent="0.25">
      <c r="A3930">
        <v>21800930</v>
      </c>
      <c r="B3930" t="s">
        <v>18</v>
      </c>
      <c r="C3930" t="s">
        <v>36</v>
      </c>
      <c r="D3930">
        <v>2</v>
      </c>
      <c r="E3930">
        <v>4</v>
      </c>
      <c r="F3930">
        <v>2</v>
      </c>
      <c r="G3930">
        <v>1</v>
      </c>
      <c r="H3930" s="1">
        <v>7.4884259259259262E-3</v>
      </c>
      <c r="I3930">
        <v>2018</v>
      </c>
      <c r="J3930" t="s">
        <v>48</v>
      </c>
      <c r="K3930" s="2" t="str">
        <f>HYPERLINK("https://www.nba.com/stats/events?CFID=&amp;CFPARAMS=&amp;GameEventID=15&amp;GameID=0021800930&amp;Season=2018-19&amp;flag=1&amp;title=Leonard%2011'%20Pullup%20Jump%20Shot%20(2%20PTS)%20(Lowry%201%20AST)", "Leonard 11' Pullup Jump Shot (2 PTS) (Lowry 1 AST)")</f>
        <v>Leonard 11' Pullup Jump Shot (2 PTS) (Lowry 1 AST)</v>
      </c>
      <c r="L3930" s="2" t="str">
        <f>HYPERLINK("https://www.nba.com/game/...-vs-...-0021800930/play-by-play?watchFullGame=true", "TOR vs POR - Q1 10:47.00")</f>
        <v>TOR vs POR - Q1 10:47.00</v>
      </c>
      <c r="M3930">
        <v>11</v>
      </c>
      <c r="N3930">
        <v>46</v>
      </c>
      <c r="O3930">
        <v>104</v>
      </c>
      <c r="P3930">
        <v>46</v>
      </c>
      <c r="Q3930">
        <v>104</v>
      </c>
      <c r="R3930" t="s">
        <v>21</v>
      </c>
      <c r="S3930" t="s">
        <v>21</v>
      </c>
    </row>
    <row r="3931" spans="1:19" hidden="1" x14ac:dyDescent="0.25">
      <c r="A3931">
        <v>21500048</v>
      </c>
      <c r="B3931" t="s">
        <v>18</v>
      </c>
      <c r="C3931" t="s">
        <v>19</v>
      </c>
      <c r="D3931">
        <v>4</v>
      </c>
      <c r="E3931">
        <v>2</v>
      </c>
      <c r="F3931">
        <v>2</v>
      </c>
      <c r="G3931">
        <v>1</v>
      </c>
      <c r="H3931" s="1">
        <v>7.6620370370370366E-3</v>
      </c>
      <c r="I3931">
        <v>2015</v>
      </c>
      <c r="J3931" t="s">
        <v>20</v>
      </c>
      <c r="K3931" s="2" t="str">
        <f>HYPERLINK("https://www.nba.com/stats/events?CFID=&amp;CFPARAMS=&amp;GameEventID=4&amp;GameID=0021500048&amp;Season=2015-16&amp;flag=1&amp;title=Leonard%2011'%20Jump%20Shot%20(2%20PTS)%20(Duncan%201%20AST)", "Leonard 11' Jump Shot (2 PTS) (Duncan 1 AST)")</f>
        <v>Leonard 11' Jump Shot (2 PTS) (Duncan 1 AST)</v>
      </c>
      <c r="L3931" s="2" t="str">
        <f>HYPERLINK("https://www.nba.com/game/...-vs-...-0021500048/play-by-play?watchFullGame=true", "SAS vs NYK - Q1 11:02.00")</f>
        <v>SAS vs NYK - Q1 11:02.00</v>
      </c>
      <c r="M3931">
        <v>11</v>
      </c>
      <c r="N3931">
        <v>74</v>
      </c>
      <c r="O3931">
        <v>85</v>
      </c>
      <c r="P3931">
        <v>74</v>
      </c>
      <c r="Q3931">
        <v>85</v>
      </c>
      <c r="R3931" t="s">
        <v>21</v>
      </c>
      <c r="S3931" t="s">
        <v>21</v>
      </c>
    </row>
    <row r="3932" spans="1:19" hidden="1" x14ac:dyDescent="0.25">
      <c r="A3932">
        <v>21801072</v>
      </c>
      <c r="B3932" t="s">
        <v>18</v>
      </c>
      <c r="C3932" t="s">
        <v>38</v>
      </c>
      <c r="D3932">
        <v>41</v>
      </c>
      <c r="E3932">
        <v>33</v>
      </c>
      <c r="F3932">
        <v>8</v>
      </c>
      <c r="G3932">
        <v>2</v>
      </c>
      <c r="H3932" s="1">
        <v>7.9976851851851858E-3</v>
      </c>
      <c r="I3932">
        <v>2018</v>
      </c>
      <c r="J3932" t="s">
        <v>48</v>
      </c>
      <c r="K3932" s="2" t="str">
        <f>HYPERLINK("https://www.nba.com/stats/events?CFID=&amp;CFPARAMS=&amp;GameEventID=164&amp;GameID=0021801072&amp;Season=2018-19&amp;flag=1&amp;title=Leonard%2011'%20Turnaround%20Fadeaway%20(5%20PTS)", "Leonard 11' Turnaround Fadeaway (5 PTS)")</f>
        <v>Leonard 11' Turnaround Fadeaway (5 PTS)</v>
      </c>
      <c r="L3932" s="2" t="str">
        <f>HYPERLINK("https://www.nba.com/game/...-vs-...-0021801072/play-by-play?watchFullGame=true", "TOR vs OKC - Q2 11:31.00")</f>
        <v>TOR vs OKC - Q2 11:31.00</v>
      </c>
      <c r="M3932">
        <v>11</v>
      </c>
      <c r="N3932">
        <v>103</v>
      </c>
      <c r="O3932">
        <v>21</v>
      </c>
      <c r="P3932">
        <v>103</v>
      </c>
      <c r="Q3932">
        <v>21</v>
      </c>
      <c r="R3932" t="s">
        <v>21</v>
      </c>
      <c r="S3932" t="s">
        <v>21</v>
      </c>
    </row>
    <row r="3933" spans="1:19" hidden="1" x14ac:dyDescent="0.25">
      <c r="A3933">
        <v>21800347</v>
      </c>
      <c r="B3933" t="s">
        <v>18</v>
      </c>
      <c r="C3933" t="s">
        <v>37</v>
      </c>
      <c r="D3933">
        <v>103</v>
      </c>
      <c r="E3933">
        <v>103</v>
      </c>
      <c r="F3933">
        <v>0</v>
      </c>
      <c r="G3933">
        <v>4</v>
      </c>
      <c r="H3933" s="1">
        <v>8.2175925925925917E-5</v>
      </c>
      <c r="I3933">
        <v>2018</v>
      </c>
      <c r="J3933" t="s">
        <v>48</v>
      </c>
      <c r="K3933" s="2" t="str">
        <f>HYPERLINK("https://www.nba.com/stats/events?CFID=&amp;CFPARAMS=&amp;GameEventID=656&amp;GameID=0021800347&amp;Season=2018-19&amp;flag=1&amp;title=Leonard%2010'%20Fadeaway%20Jumper%20(27%20PTS)", "Leonard 10' Fadeaway Jumper (27 PTS)")</f>
        <v>Leonard 10' Fadeaway Jumper (27 PTS)</v>
      </c>
      <c r="L3933" s="2" t="str">
        <f>HYPERLINK("https://www.nba.com/game/...-vs-...-0021800347/play-by-play?watchFullGame=true", "TOR vs DEN - Q4 00:07.10")</f>
        <v>TOR vs DEN - Q4 00:07.10</v>
      </c>
      <c r="M3933">
        <v>10</v>
      </c>
      <c r="N3933">
        <v>103</v>
      </c>
      <c r="O3933">
        <v>0</v>
      </c>
      <c r="P3933">
        <v>103</v>
      </c>
      <c r="Q3933">
        <v>0</v>
      </c>
      <c r="R3933" t="s">
        <v>21</v>
      </c>
      <c r="S3933" t="s">
        <v>21</v>
      </c>
    </row>
    <row r="3934" spans="1:19" hidden="1" x14ac:dyDescent="0.25">
      <c r="A3934">
        <v>21800055</v>
      </c>
      <c r="B3934" t="s">
        <v>18</v>
      </c>
      <c r="C3934" t="s">
        <v>37</v>
      </c>
      <c r="D3934">
        <v>57</v>
      </c>
      <c r="E3934">
        <v>48</v>
      </c>
      <c r="F3934">
        <v>9</v>
      </c>
      <c r="G3934">
        <v>2</v>
      </c>
      <c r="H3934" s="1">
        <v>1.585648148148148E-4</v>
      </c>
      <c r="I3934">
        <v>2018</v>
      </c>
      <c r="J3934" t="s">
        <v>48</v>
      </c>
      <c r="K3934" s="2" t="str">
        <f>HYPERLINK("https://www.nba.com/stats/events?CFID=&amp;CFPARAMS=&amp;GameEventID=335&amp;GameID=0021800055&amp;Season=2018-19&amp;flag=1&amp;title=Leonard%2010'%20Fadeaway%20Jumper%20(18%20PTS)", "Leonard 10' Fadeaway Jumper (18 PTS)")</f>
        <v>Leonard 10' Fadeaway Jumper (18 PTS)</v>
      </c>
      <c r="L3934" s="2" t="str">
        <f>HYPERLINK("https://www.nba.com/game/...-vs-...-0021800055/play-by-play?watchFullGame=true", "TOR vs MIN - Q2 00:13.70")</f>
        <v>TOR vs MIN - Q2 00:13.70</v>
      </c>
      <c r="M3934">
        <v>10</v>
      </c>
      <c r="N3934">
        <v>-13</v>
      </c>
      <c r="O3934">
        <v>100</v>
      </c>
      <c r="P3934">
        <v>-13</v>
      </c>
      <c r="Q3934">
        <v>100</v>
      </c>
      <c r="R3934" t="s">
        <v>21</v>
      </c>
      <c r="S3934" t="s">
        <v>21</v>
      </c>
    </row>
    <row r="3935" spans="1:19" hidden="1" x14ac:dyDescent="0.25">
      <c r="A3935">
        <v>21600003</v>
      </c>
      <c r="B3935" t="s">
        <v>18</v>
      </c>
      <c r="C3935" t="s">
        <v>30</v>
      </c>
      <c r="D3935">
        <v>61</v>
      </c>
      <c r="E3935">
        <v>44</v>
      </c>
      <c r="F3935">
        <v>17</v>
      </c>
      <c r="G3935">
        <v>2</v>
      </c>
      <c r="H3935" s="1">
        <v>2.2569444444444443E-4</v>
      </c>
      <c r="I3935">
        <v>2016</v>
      </c>
      <c r="J3935" t="s">
        <v>20</v>
      </c>
      <c r="K3935" s="2" t="str">
        <f>HYPERLINK("https://www.nba.com/stats/events?CFID=&amp;CFPARAMS=&amp;GameEventID=255&amp;GameID=0021600003&amp;Season=2016-17&amp;flag=1&amp;title=Leonard%2010'%20Running%20Jump%20Shot%20(18%20PTS)%20(Ginobili%201%20AST)", "Leonard 10' Running Jump Shot (18 PTS) (Ginobili 1 AST)")</f>
        <v>Leonard 10' Running Jump Shot (18 PTS) (Ginobili 1 AST)</v>
      </c>
      <c r="L3935" s="2" t="str">
        <f>HYPERLINK("https://www.nba.com/game/...-vs-...-0021600003/play-by-play?watchFullGame=true", "SAS vs GSW - Q2 00:19.50")</f>
        <v>SAS vs GSW - Q2 00:19.50</v>
      </c>
      <c r="M3935">
        <v>10</v>
      </c>
      <c r="N3935">
        <v>-102</v>
      </c>
      <c r="O3935">
        <v>21</v>
      </c>
      <c r="P3935">
        <v>-102</v>
      </c>
      <c r="Q3935">
        <v>21</v>
      </c>
      <c r="R3935" t="s">
        <v>21</v>
      </c>
      <c r="S3935" t="s">
        <v>21</v>
      </c>
    </row>
    <row r="3936" spans="1:19" hidden="1" x14ac:dyDescent="0.25">
      <c r="A3936">
        <v>21500013</v>
      </c>
      <c r="B3936" t="s">
        <v>18</v>
      </c>
      <c r="C3936" t="s">
        <v>36</v>
      </c>
      <c r="D3936">
        <v>105</v>
      </c>
      <c r="E3936">
        <v>108</v>
      </c>
      <c r="F3936">
        <v>3</v>
      </c>
      <c r="G3936">
        <v>4</v>
      </c>
      <c r="H3936" s="1">
        <v>4.861111111111111E-4</v>
      </c>
      <c r="I3936">
        <v>2015</v>
      </c>
      <c r="J3936" t="s">
        <v>20</v>
      </c>
      <c r="K3936" s="2" t="str">
        <f>HYPERLINK("https://www.nba.com/stats/events?CFID=&amp;CFPARAMS=&amp;GameEventID=522&amp;GameID=0021500013&amp;Season=2015-16&amp;flag=1&amp;title=Leonard%2010'%20Pullup%20Jump%20Shot%20(31%20PTS)", "Leonard 10' Pullup Jump Shot (31 PTS)")</f>
        <v>Leonard 10' Pullup Jump Shot (31 PTS)</v>
      </c>
      <c r="L3936" s="2" t="str">
        <f>HYPERLINK("https://www.nba.com/game/...-vs-...-0021500013/play-by-play?watchFullGame=true", "SAS vs OKC - Q4 00:42.00")</f>
        <v>SAS vs OKC - Q4 00:42.00</v>
      </c>
      <c r="M3936">
        <v>10</v>
      </c>
      <c r="N3936">
        <v>-81</v>
      </c>
      <c r="O3936">
        <v>51</v>
      </c>
      <c r="P3936">
        <v>-81</v>
      </c>
      <c r="Q3936">
        <v>51</v>
      </c>
      <c r="R3936" t="s">
        <v>21</v>
      </c>
      <c r="S3936" t="s">
        <v>21</v>
      </c>
    </row>
    <row r="3937" spans="1:19" hidden="1" x14ac:dyDescent="0.25">
      <c r="A3937">
        <v>21600168</v>
      </c>
      <c r="B3937" t="s">
        <v>18</v>
      </c>
      <c r="C3937" t="s">
        <v>36</v>
      </c>
      <c r="D3937">
        <v>55</v>
      </c>
      <c r="E3937">
        <v>41</v>
      </c>
      <c r="F3937">
        <v>14</v>
      </c>
      <c r="G3937">
        <v>2</v>
      </c>
      <c r="H3937" s="1">
        <v>6.9444444444444447E-4</v>
      </c>
      <c r="I3937">
        <v>2016</v>
      </c>
      <c r="J3937" t="s">
        <v>20</v>
      </c>
      <c r="K3937" s="2" t="str">
        <f>HYPERLINK("https://www.nba.com/stats/events?CFID=&amp;CFPARAMS=&amp;GameEventID=213&amp;GameID=0021600168&amp;Season=2016-17&amp;flag=1&amp;title=Leonard%2010'%20Pullup%20Jump%20Shot%20(10%20PTS)%20(Mills%203%20AST)", "Leonard 10' Pullup Jump Shot (10 PTS) (Mills 3 AST)")</f>
        <v>Leonard 10' Pullup Jump Shot (10 PTS) (Mills 3 AST)</v>
      </c>
      <c r="L3937" s="2" t="str">
        <f>HYPERLINK("https://www.nba.com/game/...-vs-...-0021600168/play-by-play?watchFullGame=true", "SAS vs SAC - Q2 01:00.00")</f>
        <v>SAS vs SAC - Q2 01:00.00</v>
      </c>
      <c r="M3937">
        <v>10</v>
      </c>
      <c r="N3937">
        <v>12</v>
      </c>
      <c r="O3937">
        <v>100</v>
      </c>
      <c r="P3937">
        <v>12</v>
      </c>
      <c r="Q3937">
        <v>100</v>
      </c>
      <c r="R3937" t="s">
        <v>21</v>
      </c>
      <c r="S3937" t="s">
        <v>21</v>
      </c>
    </row>
    <row r="3938" spans="1:19" hidden="1" x14ac:dyDescent="0.25">
      <c r="A3938">
        <v>21501140</v>
      </c>
      <c r="B3938" t="s">
        <v>18</v>
      </c>
      <c r="C3938" t="s">
        <v>36</v>
      </c>
      <c r="D3938">
        <v>92</v>
      </c>
      <c r="E3938">
        <v>84</v>
      </c>
      <c r="F3938">
        <v>8</v>
      </c>
      <c r="G3938">
        <v>4</v>
      </c>
      <c r="H3938" s="1">
        <v>7.6388888888888893E-4</v>
      </c>
      <c r="I3938">
        <v>2015</v>
      </c>
      <c r="J3938" t="s">
        <v>20</v>
      </c>
      <c r="K3938" s="2" t="str">
        <f>HYPERLINK("https://www.nba.com/stats/events?CFID=&amp;CFPARAMS=&amp;GameEventID=432&amp;GameID=0021501140&amp;Season=2015-16&amp;flag=1&amp;title=Leonard%2010'%20Pullup%20Jump%20Shot%20(27%20PTS)", "Leonard 10' Pullup Jump Shot (27 PTS)")</f>
        <v>Leonard 10' Pullup Jump Shot (27 PTS)</v>
      </c>
      <c r="L3938" s="2" t="str">
        <f>HYPERLINK("https://www.nba.com/game/...-vs-...-0021501140/play-by-play?watchFullGame=true", "SAS vs TOR - Q4 01:06.00")</f>
        <v>SAS vs TOR - Q4 01:06.00</v>
      </c>
      <c r="M3938">
        <v>10</v>
      </c>
      <c r="N3938">
        <v>4</v>
      </c>
      <c r="O3938">
        <v>95</v>
      </c>
      <c r="P3938">
        <v>4</v>
      </c>
      <c r="Q3938">
        <v>95</v>
      </c>
      <c r="R3938" t="s">
        <v>21</v>
      </c>
      <c r="S3938" t="s">
        <v>21</v>
      </c>
    </row>
    <row r="3939" spans="1:19" hidden="1" x14ac:dyDescent="0.25">
      <c r="A3939">
        <v>41300313</v>
      </c>
      <c r="B3939" t="s">
        <v>18</v>
      </c>
      <c r="C3939" t="s">
        <v>19</v>
      </c>
      <c r="D3939">
        <v>47</v>
      </c>
      <c r="E3939">
        <v>51</v>
      </c>
      <c r="F3939">
        <v>4</v>
      </c>
      <c r="G3939">
        <v>2</v>
      </c>
      <c r="H3939" s="1">
        <v>8.1018518518518516E-4</v>
      </c>
      <c r="I3939" t="s">
        <v>55</v>
      </c>
      <c r="J3939" t="s">
        <v>20</v>
      </c>
      <c r="K3939" s="2" t="str">
        <f>HYPERLINK("https://www.nba.com/stats/events?CFID=&amp;CFPARAMS=&amp;GameEventID=239&amp;GameID=0041300313&amp;Season=2013-14&amp;flag=1&amp;title=Leonard%2010'%20Jump%20Shot%20(6%20PTS)", "Leonard 10' Jump Shot (6 PTS)")</f>
        <v>Leonard 10' Jump Shot (6 PTS)</v>
      </c>
      <c r="L3939" s="2" t="str">
        <f>HYPERLINK("https://www.nba.com/game/...-vs-...-0041300313/play-by-play?watchFullGame=true", "SAS vs OKC - Q2 01:10.00")</f>
        <v>SAS vs OKC - Q2 01:10.00</v>
      </c>
      <c r="M3939">
        <v>10</v>
      </c>
      <c r="N3939">
        <v>100</v>
      </c>
      <c r="O3939">
        <v>0</v>
      </c>
      <c r="P3939">
        <v>100</v>
      </c>
      <c r="Q3939">
        <v>0</v>
      </c>
      <c r="R3939" t="s">
        <v>21</v>
      </c>
      <c r="S3939" t="s">
        <v>21</v>
      </c>
    </row>
    <row r="3940" spans="1:19" hidden="1" x14ac:dyDescent="0.25">
      <c r="A3940">
        <v>21800766</v>
      </c>
      <c r="B3940" t="s">
        <v>18</v>
      </c>
      <c r="C3940" t="s">
        <v>37</v>
      </c>
      <c r="D3940">
        <v>47</v>
      </c>
      <c r="E3940">
        <v>55</v>
      </c>
      <c r="F3940">
        <v>8</v>
      </c>
      <c r="G3940">
        <v>2</v>
      </c>
      <c r="H3940" s="1">
        <v>8.4490740740740739E-4</v>
      </c>
      <c r="I3940">
        <v>2018</v>
      </c>
      <c r="J3940" t="s">
        <v>48</v>
      </c>
      <c r="K3940" s="2" t="str">
        <f>HYPERLINK("https://www.nba.com/stats/events?CFID=&amp;CFPARAMS=&amp;GameEventID=302&amp;GameID=0021800766&amp;Season=2018-19&amp;flag=1&amp;title=Leonard%2010'%20Fadeaway%20Jumper%20(10%20PTS)", "Leonard 10' Fadeaway Jumper (10 PTS)")</f>
        <v>Leonard 10' Fadeaway Jumper (10 PTS)</v>
      </c>
      <c r="L3940" s="2" t="str">
        <f>HYPERLINK("https://www.nba.com/game/...-vs-...-0021800766/play-by-play?watchFullGame=true", "TOR vs MIL - Q2 01:13.00")</f>
        <v>TOR vs MIL - Q2 01:13.00</v>
      </c>
      <c r="M3940">
        <v>10</v>
      </c>
      <c r="N3940">
        <v>13</v>
      </c>
      <c r="O3940">
        <v>99</v>
      </c>
      <c r="P3940">
        <v>13</v>
      </c>
      <c r="Q3940">
        <v>99</v>
      </c>
      <c r="R3940" t="s">
        <v>21</v>
      </c>
      <c r="S3940" t="s">
        <v>21</v>
      </c>
    </row>
    <row r="3941" spans="1:19" hidden="1" x14ac:dyDescent="0.25">
      <c r="A3941">
        <v>21400964</v>
      </c>
      <c r="B3941" t="s">
        <v>18</v>
      </c>
      <c r="C3941" t="s">
        <v>19</v>
      </c>
      <c r="D3941">
        <v>58</v>
      </c>
      <c r="E3941">
        <v>58</v>
      </c>
      <c r="F3941">
        <v>0</v>
      </c>
      <c r="G3941">
        <v>2</v>
      </c>
      <c r="H3941" s="1">
        <v>8.9120370370370373E-4</v>
      </c>
      <c r="I3941">
        <v>2014</v>
      </c>
      <c r="J3941" t="s">
        <v>20</v>
      </c>
      <c r="K3941" s="2" t="str">
        <f>HYPERLINK("https://www.nba.com/stats/events?CFID=&amp;CFPARAMS=&amp;GameEventID=232&amp;GameID=0021400964&amp;Season=2014-15&amp;flag=1&amp;title=Leonard%2010'%20Jump%20Shot%20(14%20PTS)%20(Parker%204%20AST)", "Leonard 10' Jump Shot (14 PTS) (Parker 4 AST)")</f>
        <v>Leonard 10' Jump Shot (14 PTS) (Parker 4 AST)</v>
      </c>
      <c r="L3941" s="2" t="str">
        <f>HYPERLINK("https://www.nba.com/game/...-vs-...-0021400964/play-by-play?watchFullGame=true", "SAS vs CLE - Q2 01:17.00")</f>
        <v>SAS vs CLE - Q2 01:17.00</v>
      </c>
      <c r="M3941">
        <v>10</v>
      </c>
      <c r="N3941">
        <v>91</v>
      </c>
      <c r="O3941">
        <v>30</v>
      </c>
      <c r="P3941">
        <v>91</v>
      </c>
      <c r="Q3941">
        <v>30</v>
      </c>
      <c r="R3941" t="s">
        <v>21</v>
      </c>
      <c r="S3941" t="s">
        <v>21</v>
      </c>
    </row>
    <row r="3942" spans="1:19" hidden="1" x14ac:dyDescent="0.25">
      <c r="A3942">
        <v>21401039</v>
      </c>
      <c r="B3942" t="s">
        <v>18</v>
      </c>
      <c r="C3942" t="s">
        <v>29</v>
      </c>
      <c r="D3942">
        <v>57</v>
      </c>
      <c r="E3942">
        <v>37</v>
      </c>
      <c r="F3942">
        <v>20</v>
      </c>
      <c r="G3942">
        <v>2</v>
      </c>
      <c r="H3942" s="1">
        <v>9.0277777777777774E-4</v>
      </c>
      <c r="I3942">
        <v>2014</v>
      </c>
      <c r="J3942" t="s">
        <v>20</v>
      </c>
      <c r="K3942" s="2" t="str">
        <f>HYPERLINK("https://www.nba.com/stats/events?CFID=&amp;CFPARAMS=&amp;GameEventID=227&amp;GameID=0021401039&amp;Season=2014-15&amp;flag=1&amp;title=Leonard%2010'%20Jump%20Bank%20Shot%20(13%20PTS)", "Leonard 10' Jump Bank Shot (13 PTS)")</f>
        <v>Leonard 10' Jump Bank Shot (13 PTS)</v>
      </c>
      <c r="L3942" s="2" t="str">
        <f>HYPERLINK("https://www.nba.com/game/...-vs-...-0021401039/play-by-play?watchFullGame=true", "SAS vs ATL - Q2 01:18.00")</f>
        <v>SAS vs ATL - Q2 01:18.00</v>
      </c>
      <c r="M3942">
        <v>10</v>
      </c>
      <c r="N3942">
        <v>95</v>
      </c>
      <c r="O3942">
        <v>22</v>
      </c>
      <c r="P3942">
        <v>95</v>
      </c>
      <c r="Q3942">
        <v>22</v>
      </c>
      <c r="R3942" t="s">
        <v>21</v>
      </c>
      <c r="S3942" t="s">
        <v>21</v>
      </c>
    </row>
    <row r="3943" spans="1:19" hidden="1" x14ac:dyDescent="0.25">
      <c r="A3943">
        <v>21800983</v>
      </c>
      <c r="B3943" t="s">
        <v>18</v>
      </c>
      <c r="C3943" t="s">
        <v>38</v>
      </c>
      <c r="D3943">
        <v>58</v>
      </c>
      <c r="E3943">
        <v>57</v>
      </c>
      <c r="F3943">
        <v>1</v>
      </c>
      <c r="G3943">
        <v>2</v>
      </c>
      <c r="H3943" s="1">
        <v>1.1226851851851851E-3</v>
      </c>
      <c r="I3943">
        <v>2018</v>
      </c>
      <c r="J3943" t="s">
        <v>48</v>
      </c>
      <c r="K3943" s="2" t="str">
        <f>HYPERLINK("https://www.nba.com/stats/events?CFID=&amp;CFPARAMS=&amp;GameEventID=300&amp;GameID=0021800983&amp;Season=2018-19&amp;flag=1&amp;title=Leonard%2010'%20Turnaround%20Fadeaway%20(22%20PTS)%20(Gasol%201%20AST)", "Leonard 10' Turnaround Fadeaway (22 PTS) (Gasol 1 AST)")</f>
        <v>Leonard 10' Turnaround Fadeaway (22 PTS) (Gasol 1 AST)</v>
      </c>
      <c r="L3943" s="2" t="str">
        <f>HYPERLINK("https://www.nba.com/game/...-vs-...-0021800983/play-by-play?watchFullGame=true", "TOR vs NOP - Q2 01:37.00")</f>
        <v>TOR vs NOP - Q2 01:37.00</v>
      </c>
      <c r="M3943">
        <v>10</v>
      </c>
      <c r="N3943">
        <v>14</v>
      </c>
      <c r="O3943">
        <v>100</v>
      </c>
      <c r="P3943">
        <v>14</v>
      </c>
      <c r="Q3943">
        <v>100</v>
      </c>
      <c r="R3943" t="s">
        <v>21</v>
      </c>
      <c r="S3943" t="s">
        <v>21</v>
      </c>
    </row>
    <row r="3944" spans="1:19" hidden="1" x14ac:dyDescent="0.25">
      <c r="A3944">
        <v>21500689</v>
      </c>
      <c r="B3944" t="s">
        <v>18</v>
      </c>
      <c r="C3944" t="s">
        <v>19</v>
      </c>
      <c r="D3944">
        <v>66</v>
      </c>
      <c r="E3944">
        <v>49</v>
      </c>
      <c r="F3944">
        <v>17</v>
      </c>
      <c r="G3944">
        <v>2</v>
      </c>
      <c r="H3944" s="1">
        <v>1.2152777777777778E-3</v>
      </c>
      <c r="I3944">
        <v>2015</v>
      </c>
      <c r="J3944" t="s">
        <v>20</v>
      </c>
      <c r="K3944" s="2" t="str">
        <f>HYPERLINK("https://www.nba.com/stats/events?CFID=&amp;CFPARAMS=&amp;GameEventID=291&amp;GameID=0021500689&amp;Season=2015-16&amp;flag=1&amp;title=Leonard%2010'%20Jump%20Shot%20(14%20PTS)%20(Parker%205%20AST)", "Leonard 10' Jump Shot (14 PTS) (Parker 5 AST)")</f>
        <v>Leonard 10' Jump Shot (14 PTS) (Parker 5 AST)</v>
      </c>
      <c r="L3944" s="2" t="str">
        <f>HYPERLINK("https://www.nba.com/game/...-vs-...-0021500689/play-by-play?watchFullGame=true", "SAS vs HOU - Q2 01:45.00")</f>
        <v>SAS vs HOU - Q2 01:45.00</v>
      </c>
      <c r="M3944">
        <v>10</v>
      </c>
      <c r="N3944">
        <v>-104</v>
      </c>
      <c r="O3944">
        <v>3</v>
      </c>
      <c r="P3944">
        <v>-104</v>
      </c>
      <c r="Q3944">
        <v>3</v>
      </c>
      <c r="R3944" t="s">
        <v>21</v>
      </c>
      <c r="S3944" t="s">
        <v>21</v>
      </c>
    </row>
    <row r="3945" spans="1:19" hidden="1" x14ac:dyDescent="0.25">
      <c r="A3945">
        <v>41800306</v>
      </c>
      <c r="B3945" t="s">
        <v>18</v>
      </c>
      <c r="C3945" t="s">
        <v>59</v>
      </c>
      <c r="D3945">
        <v>63</v>
      </c>
      <c r="E3945">
        <v>76</v>
      </c>
      <c r="F3945">
        <v>13</v>
      </c>
      <c r="G3945">
        <v>3</v>
      </c>
      <c r="H3945" s="1">
        <v>1.4004629629629629E-3</v>
      </c>
      <c r="I3945" t="s">
        <v>60</v>
      </c>
      <c r="J3945" t="s">
        <v>48</v>
      </c>
      <c r="K3945" s="2" t="str">
        <f>HYPERLINK("https://www.nba.com/stats/events?CFID=&amp;CFPARAMS=&amp;GameEventID=460&amp;GameID=0041800306&amp;Season=2018-19&amp;flag=1&amp;title=Leonard%2010'%20Floating%20Jump%20Shot%20(14%20PTS)", "Leonard 10' Floating Jump Shot (14 PTS)")</f>
        <v>Leonard 10' Floating Jump Shot (14 PTS)</v>
      </c>
      <c r="L3945" s="2" t="str">
        <f>HYPERLINK("https://www.nba.com/game/...-vs-...-0041800306/play-by-play?watchFullGame=true", "TOR vs MIL - Q3 02:01.00")</f>
        <v>TOR vs MIL - Q3 02:01.00</v>
      </c>
      <c r="M3945">
        <v>10</v>
      </c>
      <c r="N3945">
        <v>14</v>
      </c>
      <c r="O3945">
        <v>99</v>
      </c>
      <c r="P3945">
        <v>14</v>
      </c>
      <c r="Q3945">
        <v>99</v>
      </c>
      <c r="R3945" t="s">
        <v>21</v>
      </c>
      <c r="S3945" t="s">
        <v>21</v>
      </c>
    </row>
    <row r="3946" spans="1:19" hidden="1" x14ac:dyDescent="0.25">
      <c r="A3946">
        <v>41600233</v>
      </c>
      <c r="B3946" t="s">
        <v>18</v>
      </c>
      <c r="C3946" t="s">
        <v>34</v>
      </c>
      <c r="D3946">
        <v>39</v>
      </c>
      <c r="E3946">
        <v>37</v>
      </c>
      <c r="F3946">
        <v>2</v>
      </c>
      <c r="G3946">
        <v>2</v>
      </c>
      <c r="H3946" s="1">
        <v>1.4930555555555556E-3</v>
      </c>
      <c r="I3946" t="s">
        <v>58</v>
      </c>
      <c r="J3946" t="s">
        <v>20</v>
      </c>
      <c r="K3946" s="2" t="str">
        <f>HYPERLINK("https://www.nba.com/stats/events?CFID=&amp;CFPARAMS=&amp;GameEventID=230&amp;GameID=0041600233&amp;Season=2016-17&amp;flag=1&amp;title=Leonard%2010'%20Turnaround%20Jump%20Shot%20(6%20PTS)", "Leonard 10' Turnaround Jump Shot (6 PTS)")</f>
        <v>Leonard 10' Turnaround Jump Shot (6 PTS)</v>
      </c>
      <c r="L3946" s="2" t="str">
        <f>HYPERLINK("https://www.nba.com/game/...-vs-...-0041600233/play-by-play?watchFullGame=true", "SAS vs HOU - Q2 02:09.00")</f>
        <v>SAS vs HOU - Q2 02:09.00</v>
      </c>
      <c r="M3946">
        <v>10</v>
      </c>
      <c r="N3946">
        <v>101</v>
      </c>
      <c r="O3946">
        <v>21</v>
      </c>
      <c r="P3946">
        <v>101</v>
      </c>
      <c r="Q3946">
        <v>21</v>
      </c>
      <c r="R3946" t="s">
        <v>21</v>
      </c>
      <c r="S3946" t="s">
        <v>21</v>
      </c>
    </row>
    <row r="3947" spans="1:19" hidden="1" x14ac:dyDescent="0.25">
      <c r="A3947">
        <v>41600155</v>
      </c>
      <c r="B3947" t="s">
        <v>18</v>
      </c>
      <c r="C3947" t="s">
        <v>36</v>
      </c>
      <c r="D3947">
        <v>21</v>
      </c>
      <c r="E3947">
        <v>16</v>
      </c>
      <c r="F3947">
        <v>5</v>
      </c>
      <c r="G3947">
        <v>1</v>
      </c>
      <c r="H3947" s="1">
        <v>1.5162037037037036E-3</v>
      </c>
      <c r="I3947" t="s">
        <v>58</v>
      </c>
      <c r="J3947" t="s">
        <v>20</v>
      </c>
      <c r="K3947" s="2" t="str">
        <f>HYPERLINK("https://www.nba.com/stats/events?CFID=&amp;CFPARAMS=&amp;GameEventID=98&amp;GameID=0041600155&amp;Season=2016-17&amp;flag=1&amp;title=Leonard%2010'%20Pullup%20Jump%20Shot%20(5%20PTS)", "Leonard 10' Pullup Jump Shot (5 PTS)")</f>
        <v>Leonard 10' Pullup Jump Shot (5 PTS)</v>
      </c>
      <c r="L3947" s="2" t="str">
        <f>HYPERLINK("https://www.nba.com/game/...-vs-...-0041600155/play-by-play?watchFullGame=true", "SAS vs MEM - Q1 02:11.00")</f>
        <v>SAS vs MEM - Q1 02:11.00</v>
      </c>
      <c r="M3947">
        <v>10</v>
      </c>
      <c r="N3947">
        <v>9</v>
      </c>
      <c r="O3947">
        <v>100</v>
      </c>
      <c r="P3947">
        <v>9</v>
      </c>
      <c r="Q3947">
        <v>100</v>
      </c>
      <c r="R3947" t="s">
        <v>21</v>
      </c>
      <c r="S3947" t="s">
        <v>21</v>
      </c>
    </row>
    <row r="3948" spans="1:19" hidden="1" x14ac:dyDescent="0.25">
      <c r="A3948">
        <v>21500872</v>
      </c>
      <c r="B3948" t="s">
        <v>18</v>
      </c>
      <c r="C3948" t="s">
        <v>38</v>
      </c>
      <c r="D3948">
        <v>20</v>
      </c>
      <c r="E3948">
        <v>9</v>
      </c>
      <c r="F3948">
        <v>11</v>
      </c>
      <c r="G3948">
        <v>1</v>
      </c>
      <c r="H3948" s="1">
        <v>1.7708333333333332E-3</v>
      </c>
      <c r="I3948">
        <v>2015</v>
      </c>
      <c r="J3948" t="s">
        <v>20</v>
      </c>
      <c r="K3948" s="2" t="str">
        <f>HYPERLINK("https://www.nba.com/stats/events?CFID=&amp;CFPARAMS=&amp;GameEventID=80&amp;GameID=0021500872&amp;Season=2015-16&amp;flag=1&amp;title=Leonard%2010'%20Turnaround%20Fadeaway%20(8%20PTS)", "Leonard 10' Turnaround Fadeaway (8 PTS)")</f>
        <v>Leonard 10' Turnaround Fadeaway (8 PTS)</v>
      </c>
      <c r="L3948" s="2" t="str">
        <f>HYPERLINK("https://www.nba.com/game/...-vs-...-0021500872/play-by-play?watchFullGame=true", "SAS vs HOU - Q1 02:33.00")</f>
        <v>SAS vs HOU - Q1 02:33.00</v>
      </c>
      <c r="M3948">
        <v>10</v>
      </c>
      <c r="N3948">
        <v>-58</v>
      </c>
      <c r="O3948">
        <v>80</v>
      </c>
      <c r="P3948">
        <v>-58</v>
      </c>
      <c r="Q3948">
        <v>80</v>
      </c>
      <c r="R3948" t="s">
        <v>21</v>
      </c>
      <c r="S3948" t="s">
        <v>21</v>
      </c>
    </row>
    <row r="3949" spans="1:19" hidden="1" x14ac:dyDescent="0.25">
      <c r="A3949">
        <v>21300859</v>
      </c>
      <c r="B3949" t="s">
        <v>18</v>
      </c>
      <c r="C3949" t="s">
        <v>34</v>
      </c>
      <c r="D3949">
        <v>49</v>
      </c>
      <c r="E3949">
        <v>53</v>
      </c>
      <c r="F3949">
        <v>4</v>
      </c>
      <c r="G3949">
        <v>2</v>
      </c>
      <c r="H3949" s="1">
        <v>2.0601851851851853E-3</v>
      </c>
      <c r="I3949">
        <v>2013</v>
      </c>
      <c r="J3949" t="s">
        <v>20</v>
      </c>
      <c r="K3949" s="2" t="str">
        <f>HYPERLINK("https://www.nba.com/stats/events?CFID=&amp;CFPARAMS=&amp;GameEventID=218&amp;GameID=0021300859&amp;Season=2013-14&amp;flag=1&amp;title=Leonard%2010'%20Turnaround%20Jump%20Shot%20(9%20PTS)", "Leonard 10' Turnaround Jump Shot (9 PTS)")</f>
        <v>Leonard 10' Turnaround Jump Shot (9 PTS)</v>
      </c>
      <c r="L3949" s="2" t="str">
        <f>HYPERLINK("https://www.nba.com/game/...-vs-...-0021300859/play-by-play?watchFullGame=true", "SAS vs DET - Q2 02:58.00")</f>
        <v>SAS vs DET - Q2 02:58.00</v>
      </c>
      <c r="M3949">
        <v>10</v>
      </c>
      <c r="N3949">
        <v>77</v>
      </c>
      <c r="O3949">
        <v>56</v>
      </c>
      <c r="P3949">
        <v>77</v>
      </c>
      <c r="Q3949">
        <v>56</v>
      </c>
      <c r="R3949" t="s">
        <v>21</v>
      </c>
      <c r="S3949" t="s">
        <v>21</v>
      </c>
    </row>
    <row r="3950" spans="1:19" hidden="1" x14ac:dyDescent="0.25">
      <c r="A3950">
        <v>21600383</v>
      </c>
      <c r="B3950" t="s">
        <v>18</v>
      </c>
      <c r="C3950" t="s">
        <v>37</v>
      </c>
      <c r="D3950">
        <v>24</v>
      </c>
      <c r="E3950">
        <v>19</v>
      </c>
      <c r="F3950">
        <v>5</v>
      </c>
      <c r="G3950">
        <v>1</v>
      </c>
      <c r="H3950" s="1">
        <v>2.2453703703703702E-3</v>
      </c>
      <c r="I3950">
        <v>2016</v>
      </c>
      <c r="J3950" t="s">
        <v>20</v>
      </c>
      <c r="K3950" s="2" t="str">
        <f>HYPERLINK("https://www.nba.com/stats/events?CFID=&amp;CFPARAMS=&amp;GameEventID=81&amp;GameID=0021600383&amp;Season=2016-17&amp;flag=1&amp;title=Leonard%2010'%20Fadeaway%20Jumper%20(9%20PTS)", "Leonard 10' Fadeaway Jumper (9 PTS)")</f>
        <v>Leonard 10' Fadeaway Jumper (9 PTS)</v>
      </c>
      <c r="L3950" s="2" t="str">
        <f>HYPERLINK("https://www.nba.com/game/...-vs-...-0021600383/play-by-play?watchFullGame=true", "SAS vs BOS - Q1 03:14.00")</f>
        <v>SAS vs BOS - Q1 03:14.00</v>
      </c>
      <c r="M3950">
        <v>10</v>
      </c>
      <c r="N3950">
        <v>1</v>
      </c>
      <c r="O3950">
        <v>95</v>
      </c>
      <c r="P3950">
        <v>1</v>
      </c>
      <c r="Q3950">
        <v>95</v>
      </c>
      <c r="R3950" t="s">
        <v>21</v>
      </c>
      <c r="S3950" t="s">
        <v>21</v>
      </c>
    </row>
    <row r="3951" spans="1:19" hidden="1" x14ac:dyDescent="0.25">
      <c r="A3951">
        <v>41800211</v>
      </c>
      <c r="B3951" t="s">
        <v>18</v>
      </c>
      <c r="C3951" t="s">
        <v>38</v>
      </c>
      <c r="D3951">
        <v>30</v>
      </c>
      <c r="E3951">
        <v>18</v>
      </c>
      <c r="F3951">
        <v>12</v>
      </c>
      <c r="G3951">
        <v>1</v>
      </c>
      <c r="H3951" s="1">
        <v>2.4074074074074076E-3</v>
      </c>
      <c r="I3951" t="s">
        <v>60</v>
      </c>
      <c r="J3951" t="s">
        <v>48</v>
      </c>
      <c r="K3951" s="2" t="str">
        <f>HYPERLINK("https://www.nba.com/stats/events?CFID=&amp;CFPARAMS=&amp;GameEventID=87&amp;GameID=0041800211&amp;Season=2018-19&amp;flag=1&amp;title=Leonard%2010'%20Turnaround%20Fadeaway%20(15%20PTS)", "Leonard 10' Turnaround Fadeaway (15 PTS)")</f>
        <v>Leonard 10' Turnaround Fadeaway (15 PTS)</v>
      </c>
      <c r="L3951" s="2" t="str">
        <f>HYPERLINK("https://www.nba.com/game/...-vs-...-0041800211/play-by-play?watchFullGame=true", "TOR vs PHI - Q1 03:28.00")</f>
        <v>TOR vs PHI - Q1 03:28.00</v>
      </c>
      <c r="M3951">
        <v>10</v>
      </c>
      <c r="N3951">
        <v>35</v>
      </c>
      <c r="O3951">
        <v>95</v>
      </c>
      <c r="P3951">
        <v>35</v>
      </c>
      <c r="Q3951">
        <v>95</v>
      </c>
      <c r="R3951" t="s">
        <v>21</v>
      </c>
      <c r="S3951" t="s">
        <v>21</v>
      </c>
    </row>
    <row r="3952" spans="1:19" hidden="1" x14ac:dyDescent="0.25">
      <c r="A3952">
        <v>41800212</v>
      </c>
      <c r="B3952" t="s">
        <v>18</v>
      </c>
      <c r="C3952" t="s">
        <v>49</v>
      </c>
      <c r="D3952">
        <v>77</v>
      </c>
      <c r="E3952">
        <v>83</v>
      </c>
      <c r="F3952">
        <v>6</v>
      </c>
      <c r="G3952">
        <v>4</v>
      </c>
      <c r="H3952" s="1">
        <v>2.4305555555555556E-3</v>
      </c>
      <c r="I3952" t="s">
        <v>60</v>
      </c>
      <c r="J3952" t="s">
        <v>48</v>
      </c>
      <c r="K3952" s="2" t="str">
        <f>HYPERLINK("https://www.nba.com/stats/events?CFID=&amp;CFPARAMS=&amp;GameEventID=608&amp;GameID=0041800212&amp;Season=2018-19&amp;flag=1&amp;title=Leonard%2010'%20Driving%20Floating%20Bank%20Jump%20Shot%20(34%20PTS)", "Leonard 10' Driving Floating Bank Jump Shot (34 PTS)")</f>
        <v>Leonard 10' Driving Floating Bank Jump Shot (34 PTS)</v>
      </c>
      <c r="L3952" s="2" t="str">
        <f>HYPERLINK("https://www.nba.com/game/...-vs-...-0041800212/play-by-play?watchFullGame=true", "TOR vs PHI - Q4 03:30.00")</f>
        <v>TOR vs PHI - Q4 03:30.00</v>
      </c>
      <c r="M3952">
        <v>10</v>
      </c>
      <c r="N3952">
        <v>-3</v>
      </c>
      <c r="O3952">
        <v>100</v>
      </c>
      <c r="P3952">
        <v>-3</v>
      </c>
      <c r="Q3952">
        <v>100</v>
      </c>
      <c r="R3952" t="s">
        <v>21</v>
      </c>
      <c r="S3952" t="s">
        <v>21</v>
      </c>
    </row>
    <row r="3953" spans="1:19" hidden="1" x14ac:dyDescent="0.25">
      <c r="A3953">
        <v>21600801</v>
      </c>
      <c r="B3953" t="s">
        <v>18</v>
      </c>
      <c r="C3953" t="s">
        <v>37</v>
      </c>
      <c r="D3953">
        <v>74</v>
      </c>
      <c r="E3953">
        <v>57</v>
      </c>
      <c r="F3953">
        <v>17</v>
      </c>
      <c r="G3953">
        <v>3</v>
      </c>
      <c r="H3953" s="1">
        <v>2.6041666666666665E-3</v>
      </c>
      <c r="I3953">
        <v>2016</v>
      </c>
      <c r="J3953" t="s">
        <v>20</v>
      </c>
      <c r="K3953" s="2" t="str">
        <f>HYPERLINK("https://www.nba.com/stats/events?CFID=&amp;CFPARAMS=&amp;GameEventID=318&amp;GameID=0021600801&amp;Season=2016-17&amp;flag=1&amp;title=Leonard%2010'%20Fadeaway%20Jumper%20(25%20PTS)", "Leonard 10' Fadeaway Jumper (25 PTS)")</f>
        <v>Leonard 10' Fadeaway Jumper (25 PTS)</v>
      </c>
      <c r="L3953" s="2" t="str">
        <f>HYPERLINK("https://www.nba.com/game/...-vs-...-0021600801/play-by-play?watchFullGame=true", "SAS vs DET - Q3 03:45.00")</f>
        <v>SAS vs DET - Q3 03:45.00</v>
      </c>
      <c r="M3953">
        <v>10</v>
      </c>
      <c r="N3953">
        <v>-92</v>
      </c>
      <c r="O3953">
        <v>26</v>
      </c>
      <c r="P3953">
        <v>-92</v>
      </c>
      <c r="Q3953">
        <v>26</v>
      </c>
      <c r="R3953" t="s">
        <v>21</v>
      </c>
      <c r="S3953" t="s">
        <v>21</v>
      </c>
    </row>
    <row r="3954" spans="1:19" hidden="1" x14ac:dyDescent="0.25">
      <c r="A3954">
        <v>21600639</v>
      </c>
      <c r="B3954" t="s">
        <v>18</v>
      </c>
      <c r="C3954" t="s">
        <v>36</v>
      </c>
      <c r="D3954">
        <v>110</v>
      </c>
      <c r="E3954">
        <v>98</v>
      </c>
      <c r="F3954">
        <v>12</v>
      </c>
      <c r="G3954">
        <v>4</v>
      </c>
      <c r="H3954" s="1">
        <v>2.627314814814815E-3</v>
      </c>
      <c r="I3954">
        <v>2016</v>
      </c>
      <c r="J3954" t="s">
        <v>20</v>
      </c>
      <c r="K3954" s="2" t="str">
        <f>HYPERLINK("https://www.nba.com/stats/events?CFID=&amp;CFPARAMS=&amp;GameEventID=500&amp;GameID=0021600639&amp;Season=2016-17&amp;flag=1&amp;title=Leonard%2010'%20Pullup%20Jump%20Shot%20(29%20PTS)", "Leonard 10' Pullup Jump Shot (29 PTS)")</f>
        <v>Leonard 10' Pullup Jump Shot (29 PTS)</v>
      </c>
      <c r="L3954" s="2" t="str">
        <f>HYPERLINK("https://www.nba.com/game/...-vs-...-0021600639/play-by-play?watchFullGame=true", "SAS vs DEN - Q4 03:47.00")</f>
        <v>SAS vs DEN - Q4 03:47.00</v>
      </c>
      <c r="M3954">
        <v>10</v>
      </c>
      <c r="N3954">
        <v>27</v>
      </c>
      <c r="O3954">
        <v>100</v>
      </c>
      <c r="P3954">
        <v>27</v>
      </c>
      <c r="Q3954">
        <v>100</v>
      </c>
      <c r="R3954" t="s">
        <v>21</v>
      </c>
      <c r="S3954" t="s">
        <v>21</v>
      </c>
    </row>
    <row r="3955" spans="1:19" hidden="1" x14ac:dyDescent="0.25">
      <c r="A3955">
        <v>21800602</v>
      </c>
      <c r="B3955" t="s">
        <v>18</v>
      </c>
      <c r="C3955" t="s">
        <v>36</v>
      </c>
      <c r="D3955">
        <v>17</v>
      </c>
      <c r="E3955">
        <v>19</v>
      </c>
      <c r="F3955">
        <v>2</v>
      </c>
      <c r="G3955">
        <v>1</v>
      </c>
      <c r="H3955" s="1">
        <v>2.685185185185185E-3</v>
      </c>
      <c r="I3955">
        <v>2018</v>
      </c>
      <c r="J3955" t="s">
        <v>48</v>
      </c>
      <c r="K3955" s="2" t="str">
        <f>HYPERLINK("https://www.nba.com/stats/events?CFID=&amp;CFPARAMS=&amp;GameEventID=107&amp;GameID=0021800602&amp;Season=2018-19&amp;flag=1&amp;title=Leonard%2010'%20Pullup%20Jump%20Shot%20(7%20PTS)", "Leonard 10' Pullup Jump Shot (7 PTS)")</f>
        <v>Leonard 10' Pullup Jump Shot (7 PTS)</v>
      </c>
      <c r="L3955" s="2" t="str">
        <f>HYPERLINK("https://www.nba.com/game/...-vs-...-0021800602/play-by-play?watchFullGame=true", "TOR vs ATL - Q1 03:52.00")</f>
        <v>TOR vs ATL - Q1 03:52.00</v>
      </c>
      <c r="M3955">
        <v>10</v>
      </c>
      <c r="N3955">
        <v>97</v>
      </c>
      <c r="O3955">
        <v>33</v>
      </c>
      <c r="P3955">
        <v>97</v>
      </c>
      <c r="Q3955">
        <v>33</v>
      </c>
      <c r="R3955" t="s">
        <v>21</v>
      </c>
      <c r="S3955" t="s">
        <v>21</v>
      </c>
    </row>
    <row r="3956" spans="1:19" hidden="1" x14ac:dyDescent="0.25">
      <c r="A3956">
        <v>41500236</v>
      </c>
      <c r="B3956" t="s">
        <v>18</v>
      </c>
      <c r="C3956" t="s">
        <v>36</v>
      </c>
      <c r="D3956">
        <v>29</v>
      </c>
      <c r="E3956">
        <v>38</v>
      </c>
      <c r="F3956">
        <v>9</v>
      </c>
      <c r="G3956">
        <v>2</v>
      </c>
      <c r="H3956" s="1">
        <v>2.8703703703703703E-3</v>
      </c>
      <c r="I3956" t="s">
        <v>57</v>
      </c>
      <c r="J3956" t="s">
        <v>20</v>
      </c>
      <c r="K3956" s="2" t="str">
        <f>HYPERLINK("https://www.nba.com/stats/events?CFID=&amp;CFPARAMS=&amp;GameEventID=181&amp;GameID=0041500236&amp;Season=2015-16&amp;flag=1&amp;title=Leonard%2010'%20Pullup%20Jump%20Shot%20(7%20PTS)", "Leonard 10' Pullup Jump Shot (7 PTS)")</f>
        <v>Leonard 10' Pullup Jump Shot (7 PTS)</v>
      </c>
      <c r="L3956" s="2" t="str">
        <f>HYPERLINK("https://www.nba.com/game/...-vs-...-0041500236/play-by-play?watchFullGame=true", "SAS vs OKC - Q2 04:08.00")</f>
        <v>SAS vs OKC - Q2 04:08.00</v>
      </c>
      <c r="M3956">
        <v>10</v>
      </c>
      <c r="N3956">
        <v>-86</v>
      </c>
      <c r="O3956">
        <v>51</v>
      </c>
      <c r="P3956">
        <v>-86</v>
      </c>
      <c r="Q3956">
        <v>51</v>
      </c>
      <c r="R3956" t="s">
        <v>21</v>
      </c>
      <c r="S3956" t="s">
        <v>21</v>
      </c>
    </row>
    <row r="3957" spans="1:19" hidden="1" x14ac:dyDescent="0.25">
      <c r="A3957">
        <v>21500040</v>
      </c>
      <c r="B3957" t="s">
        <v>18</v>
      </c>
      <c r="C3957" t="s">
        <v>38</v>
      </c>
      <c r="D3957">
        <v>58</v>
      </c>
      <c r="E3957">
        <v>46</v>
      </c>
      <c r="F3957">
        <v>12</v>
      </c>
      <c r="G3957">
        <v>3</v>
      </c>
      <c r="H3957" s="1">
        <v>2.8819444444444444E-3</v>
      </c>
      <c r="I3957">
        <v>2015</v>
      </c>
      <c r="J3957" t="s">
        <v>20</v>
      </c>
      <c r="K3957" s="2" t="str">
        <f>HYPERLINK("https://www.nba.com/stats/events?CFID=&amp;CFPARAMS=&amp;GameEventID=385&amp;GameID=0021500040&amp;Season=2015-16&amp;flag=1&amp;title=Leonard%2010'%20Turnaround%20Fadeaway%20(12%20PTS)", "Leonard 10' Turnaround Fadeaway (12 PTS)")</f>
        <v>Leonard 10' Turnaround Fadeaway (12 PTS)</v>
      </c>
      <c r="L3957" s="2" t="str">
        <f>HYPERLINK("https://www.nba.com/game/...-vs-...-0021500040/play-by-play?watchFullGame=true", "SAS vs BOS - Q3 04:09.00")</f>
        <v>SAS vs BOS - Q3 04:09.00</v>
      </c>
      <c r="M3957">
        <v>10</v>
      </c>
      <c r="N3957">
        <v>101</v>
      </c>
      <c r="O3957">
        <v>7</v>
      </c>
      <c r="P3957">
        <v>101</v>
      </c>
      <c r="Q3957">
        <v>7</v>
      </c>
      <c r="R3957" t="s">
        <v>21</v>
      </c>
      <c r="S3957" t="s">
        <v>21</v>
      </c>
    </row>
    <row r="3958" spans="1:19" hidden="1" x14ac:dyDescent="0.25">
      <c r="A3958">
        <v>21500784</v>
      </c>
      <c r="B3958" t="s">
        <v>18</v>
      </c>
      <c r="C3958" t="s">
        <v>34</v>
      </c>
      <c r="D3958">
        <v>75</v>
      </c>
      <c r="E3958">
        <v>61</v>
      </c>
      <c r="F3958">
        <v>14</v>
      </c>
      <c r="G3958">
        <v>3</v>
      </c>
      <c r="H3958" s="1">
        <v>2.9166666666666668E-3</v>
      </c>
      <c r="I3958">
        <v>2015</v>
      </c>
      <c r="J3958" t="s">
        <v>20</v>
      </c>
      <c r="K3958" s="2" t="str">
        <f>HYPERLINK("https://www.nba.com/stats/events?CFID=&amp;CFPARAMS=&amp;GameEventID=325&amp;GameID=0021500784&amp;Season=2015-16&amp;flag=1&amp;title=Leonard%2010'%20Turnaround%20Jump%20Shot%20(15%20PTS)", "Leonard 10' Turnaround Jump Shot (15 PTS)")</f>
        <v>Leonard 10' Turnaround Jump Shot (15 PTS)</v>
      </c>
      <c r="L3958" s="2" t="str">
        <f>HYPERLINK("https://www.nba.com/game/...-vs-...-0021500784/play-by-play?watchFullGame=true", "SAS vs MIA - Q3 04:12.00")</f>
        <v>SAS vs MIA - Q3 04:12.00</v>
      </c>
      <c r="M3958">
        <v>10</v>
      </c>
      <c r="N3958">
        <v>40</v>
      </c>
      <c r="O3958">
        <v>95</v>
      </c>
      <c r="P3958">
        <v>40</v>
      </c>
      <c r="Q3958">
        <v>95</v>
      </c>
      <c r="R3958" t="s">
        <v>21</v>
      </c>
      <c r="S3958" t="s">
        <v>21</v>
      </c>
    </row>
    <row r="3959" spans="1:19" hidden="1" x14ac:dyDescent="0.25">
      <c r="A3959">
        <v>21300421</v>
      </c>
      <c r="B3959" t="s">
        <v>18</v>
      </c>
      <c r="C3959" t="s">
        <v>19</v>
      </c>
      <c r="D3959">
        <v>69</v>
      </c>
      <c r="E3959">
        <v>73</v>
      </c>
      <c r="F3959">
        <v>4</v>
      </c>
      <c r="G3959">
        <v>3</v>
      </c>
      <c r="H3959" s="1">
        <v>2.9513888888888888E-3</v>
      </c>
      <c r="I3959">
        <v>2013</v>
      </c>
      <c r="J3959" t="s">
        <v>20</v>
      </c>
      <c r="K3959" s="2" t="str">
        <f>HYPERLINK("https://www.nba.com/stats/events?CFID=&amp;CFPARAMS=&amp;GameEventID=325&amp;GameID=0021300421&amp;Season=2013-14&amp;flag=1&amp;title=Leonard%2010'%20Jump%20Shot%20(11%20PTS)", "Leonard 10' Jump Shot (11 PTS)")</f>
        <v>Leonard 10' Jump Shot (11 PTS)</v>
      </c>
      <c r="L3959" s="2" t="str">
        <f>HYPERLINK("https://www.nba.com/game/...-vs-...-0021300421/play-by-play?watchFullGame=true", "SAS vs HOU - Q3 04:15.00")</f>
        <v>SAS vs HOU - Q3 04:15.00</v>
      </c>
      <c r="M3959">
        <v>10</v>
      </c>
      <c r="N3959">
        <v>21</v>
      </c>
      <c r="O3959">
        <v>93</v>
      </c>
      <c r="P3959">
        <v>21</v>
      </c>
      <c r="Q3959">
        <v>93</v>
      </c>
      <c r="R3959" t="s">
        <v>21</v>
      </c>
      <c r="S3959" t="s">
        <v>21</v>
      </c>
    </row>
    <row r="3960" spans="1:19" hidden="1" x14ac:dyDescent="0.25">
      <c r="A3960">
        <v>21800069</v>
      </c>
      <c r="B3960" t="s">
        <v>18</v>
      </c>
      <c r="C3960" t="s">
        <v>38</v>
      </c>
      <c r="D3960">
        <v>22</v>
      </c>
      <c r="E3960">
        <v>11</v>
      </c>
      <c r="F3960">
        <v>11</v>
      </c>
      <c r="G3960">
        <v>1</v>
      </c>
      <c r="H3960" s="1">
        <v>3.1250000000000002E-3</v>
      </c>
      <c r="I3960">
        <v>2018</v>
      </c>
      <c r="J3960" t="s">
        <v>48</v>
      </c>
      <c r="K3960" s="2" t="str">
        <f>HYPERLINK("https://www.nba.com/stats/events?CFID=&amp;CFPARAMS=&amp;GameEventID=94&amp;GameID=0021800069&amp;Season=2018-19&amp;flag=1&amp;title=Leonard%2010'%20Turnaround%20Fadeaway%20(4%20PTS)", "Leonard 10' Turnaround Fadeaway (4 PTS)")</f>
        <v>Leonard 10' Turnaround Fadeaway (4 PTS)</v>
      </c>
      <c r="L3960" s="2" t="str">
        <f>HYPERLINK("https://www.nba.com/game/...-vs-...-0021800069/play-by-play?watchFullGame=true", "TOR vs DAL - Q1 04:30.00")</f>
        <v>TOR vs DAL - Q1 04:30.00</v>
      </c>
      <c r="M3960">
        <v>10</v>
      </c>
      <c r="N3960">
        <v>-67</v>
      </c>
      <c r="O3960">
        <v>78</v>
      </c>
      <c r="P3960">
        <v>-67</v>
      </c>
      <c r="Q3960">
        <v>78</v>
      </c>
      <c r="R3960" t="s">
        <v>21</v>
      </c>
      <c r="S3960" t="s">
        <v>21</v>
      </c>
    </row>
    <row r="3961" spans="1:19" hidden="1" x14ac:dyDescent="0.25">
      <c r="A3961">
        <v>21500928</v>
      </c>
      <c r="B3961" t="s">
        <v>18</v>
      </c>
      <c r="C3961" t="s">
        <v>67</v>
      </c>
      <c r="D3961">
        <v>43</v>
      </c>
      <c r="E3961">
        <v>41</v>
      </c>
      <c r="F3961">
        <v>2</v>
      </c>
      <c r="G3961">
        <v>2</v>
      </c>
      <c r="H3961" s="1">
        <v>3.1250000000000002E-3</v>
      </c>
      <c r="I3961">
        <v>2015</v>
      </c>
      <c r="J3961" t="s">
        <v>20</v>
      </c>
      <c r="K3961" s="2" t="str">
        <f>HYPERLINK("https://www.nba.com/stats/events?CFID=&amp;CFPARAMS=&amp;GameEventID=210&amp;GameID=0021500928&amp;Season=2015-16&amp;flag=1&amp;title=Leonard%2010'%20Turnaround%20Hook%20Shot%20(7%20PTS)", "Leonard 10' Turnaround Hook Shot (7 PTS)")</f>
        <v>Leonard 10' Turnaround Hook Shot (7 PTS)</v>
      </c>
      <c r="L3961" s="2" t="str">
        <f>HYPERLINK("https://www.nba.com/game/...-vs-...-0021500928/play-by-play?watchFullGame=true", "SAS vs SAC - Q2 04:30.00")</f>
        <v>SAS vs SAC - Q2 04:30.00</v>
      </c>
      <c r="M3961">
        <v>10</v>
      </c>
      <c r="N3961">
        <v>-7</v>
      </c>
      <c r="O3961">
        <v>97</v>
      </c>
      <c r="P3961">
        <v>-7</v>
      </c>
      <c r="Q3961">
        <v>97</v>
      </c>
      <c r="R3961" t="s">
        <v>21</v>
      </c>
      <c r="S3961" t="s">
        <v>21</v>
      </c>
    </row>
    <row r="3962" spans="1:19" hidden="1" x14ac:dyDescent="0.25">
      <c r="A3962">
        <v>21401168</v>
      </c>
      <c r="B3962" t="s">
        <v>18</v>
      </c>
      <c r="C3962" t="s">
        <v>30</v>
      </c>
      <c r="D3962">
        <v>45</v>
      </c>
      <c r="E3962">
        <v>49</v>
      </c>
      <c r="F3962">
        <v>4</v>
      </c>
      <c r="G3962">
        <v>2</v>
      </c>
      <c r="H3962" s="1">
        <v>3.2175925925925926E-3</v>
      </c>
      <c r="I3962">
        <v>2014</v>
      </c>
      <c r="J3962" t="s">
        <v>20</v>
      </c>
      <c r="K3962" s="2" t="str">
        <f>HYPERLINK("https://www.nba.com/stats/events?CFID=&amp;CFPARAMS=&amp;GameEventID=208&amp;GameID=0021401168&amp;Season=2014-15&amp;flag=1&amp;title=Leonard%2010'%20Running%20Jump%20Shot%20(6%20PTS)", "Leonard 10' Running Jump Shot (6 PTS)")</f>
        <v>Leonard 10' Running Jump Shot (6 PTS)</v>
      </c>
      <c r="L3962" s="2" t="str">
        <f>HYPERLINK("https://www.nba.com/game/...-vs-...-0021401168/play-by-play?watchFullGame=true", "SAS vs HOU - Q2 04:38.00")</f>
        <v>SAS vs HOU - Q2 04:38.00</v>
      </c>
      <c r="M3962">
        <v>10</v>
      </c>
      <c r="N3962">
        <v>2</v>
      </c>
      <c r="O3962">
        <v>96</v>
      </c>
      <c r="P3962">
        <v>2</v>
      </c>
      <c r="Q3962">
        <v>96</v>
      </c>
      <c r="R3962" t="s">
        <v>21</v>
      </c>
      <c r="S3962" t="s">
        <v>21</v>
      </c>
    </row>
    <row r="3963" spans="1:19" hidden="1" x14ac:dyDescent="0.25">
      <c r="A3963">
        <v>41800301</v>
      </c>
      <c r="B3963" t="s">
        <v>18</v>
      </c>
      <c r="C3963" t="s">
        <v>42</v>
      </c>
      <c r="D3963">
        <v>24</v>
      </c>
      <c r="E3963">
        <v>13</v>
      </c>
      <c r="F3963">
        <v>11</v>
      </c>
      <c r="G3963">
        <v>1</v>
      </c>
      <c r="H3963" s="1">
        <v>3.2291666666666666E-3</v>
      </c>
      <c r="I3963" t="s">
        <v>60</v>
      </c>
      <c r="J3963" t="s">
        <v>48</v>
      </c>
      <c r="K3963" s="2" t="str">
        <f>HYPERLINK("https://www.nba.com/stats/events?CFID=&amp;CFPARAMS=&amp;GameEventID=94&amp;GameID=0041800301&amp;Season=2018-19&amp;flag=1&amp;title=Leonard%2010'%20Driving%20Floating%20Jump%20Shot%20(7%20PTS)", "Leonard 10' Driving Floating Jump Shot (7 PTS)")</f>
        <v>Leonard 10' Driving Floating Jump Shot (7 PTS)</v>
      </c>
      <c r="L3963" s="2" t="str">
        <f>HYPERLINK("https://www.nba.com/game/...-vs-...-0041800301/play-by-play?watchFullGame=true", "TOR vs MIL - Q1 04:39.00")</f>
        <v>TOR vs MIL - Q1 04:39.00</v>
      </c>
      <c r="M3963">
        <v>10</v>
      </c>
      <c r="N3963">
        <v>23</v>
      </c>
      <c r="O3963">
        <v>94</v>
      </c>
      <c r="P3963">
        <v>23</v>
      </c>
      <c r="Q3963">
        <v>94</v>
      </c>
      <c r="R3963" t="s">
        <v>21</v>
      </c>
      <c r="S3963" t="s">
        <v>21</v>
      </c>
    </row>
    <row r="3964" spans="1:19" hidden="1" x14ac:dyDescent="0.25">
      <c r="A3964">
        <v>21300032</v>
      </c>
      <c r="B3964" t="s">
        <v>18</v>
      </c>
      <c r="C3964" t="s">
        <v>38</v>
      </c>
      <c r="D3964">
        <v>56</v>
      </c>
      <c r="E3964">
        <v>55</v>
      </c>
      <c r="F3964">
        <v>1</v>
      </c>
      <c r="G3964">
        <v>3</v>
      </c>
      <c r="H3964" s="1">
        <v>3.2870370370370371E-3</v>
      </c>
      <c r="I3964">
        <v>2013</v>
      </c>
      <c r="J3964" t="s">
        <v>20</v>
      </c>
      <c r="K3964" s="2" t="str">
        <f>HYPERLINK("https://www.nba.com/stats/events?CFID=&amp;CFPARAMS=&amp;GameEventID=335&amp;GameID=0021300032&amp;Season=2013-14&amp;flag=1&amp;title=Leonard%2010'%20Turnaround%20Fadeaway%20(13%20PTS)", "Leonard 10' Turnaround Fadeaway (13 PTS)")</f>
        <v>Leonard 10' Turnaround Fadeaway (13 PTS)</v>
      </c>
      <c r="L3964" s="2" t="str">
        <f>HYPERLINK("https://www.nba.com/game/...-vs-...-0021300032/play-by-play?watchFullGame=true", "SAS vs LAL - Q3 04:44.00")</f>
        <v>SAS vs LAL - Q3 04:44.00</v>
      </c>
      <c r="M3964">
        <v>10</v>
      </c>
      <c r="N3964">
        <v>102</v>
      </c>
      <c r="O3964">
        <v>-17</v>
      </c>
      <c r="P3964">
        <v>102</v>
      </c>
      <c r="Q3964">
        <v>-17</v>
      </c>
      <c r="R3964" t="s">
        <v>21</v>
      </c>
      <c r="S3964" t="s">
        <v>21</v>
      </c>
    </row>
    <row r="3965" spans="1:19" hidden="1" x14ac:dyDescent="0.25">
      <c r="A3965">
        <v>41800217</v>
      </c>
      <c r="B3965" t="s">
        <v>18</v>
      </c>
      <c r="C3965" t="s">
        <v>42</v>
      </c>
      <c r="D3965">
        <v>84</v>
      </c>
      <c r="E3965">
        <v>80</v>
      </c>
      <c r="F3965">
        <v>4</v>
      </c>
      <c r="G3965">
        <v>4</v>
      </c>
      <c r="H3965" s="1">
        <v>3.3333333333333335E-3</v>
      </c>
      <c r="I3965" t="s">
        <v>60</v>
      </c>
      <c r="J3965" t="s">
        <v>48</v>
      </c>
      <c r="K3965" s="2" t="str">
        <f>HYPERLINK("https://www.nba.com/stats/events?CFID=&amp;CFPARAMS=&amp;GameEventID=534&amp;GameID=0041800217&amp;Season=2018-19&amp;flag=1&amp;title=Leonard%2010'%20Driving%20Floating%20Jump%20Shot%20(35%20PTS)", "Leonard 10' Driving Floating Jump Shot (35 PTS)")</f>
        <v>Leonard 10' Driving Floating Jump Shot (35 PTS)</v>
      </c>
      <c r="L3965" s="2" t="str">
        <f>HYPERLINK("https://www.nba.com/game/...-vs-...-0041800217/play-by-play?watchFullGame=true", "TOR vs PHI - Q4 04:48.00")</f>
        <v>TOR vs PHI - Q4 04:48.00</v>
      </c>
      <c r="M3965">
        <v>10</v>
      </c>
      <c r="N3965">
        <v>97</v>
      </c>
      <c r="O3965">
        <v>26</v>
      </c>
      <c r="P3965">
        <v>97</v>
      </c>
      <c r="Q3965">
        <v>26</v>
      </c>
      <c r="R3965" t="s">
        <v>21</v>
      </c>
      <c r="S3965" t="s">
        <v>21</v>
      </c>
    </row>
    <row r="3966" spans="1:19" hidden="1" x14ac:dyDescent="0.25">
      <c r="A3966">
        <v>41500235</v>
      </c>
      <c r="B3966" t="s">
        <v>18</v>
      </c>
      <c r="C3966" t="s">
        <v>34</v>
      </c>
      <c r="D3966">
        <v>85</v>
      </c>
      <c r="E3966">
        <v>80</v>
      </c>
      <c r="F3966">
        <v>5</v>
      </c>
      <c r="G3966">
        <v>4</v>
      </c>
      <c r="H3966" s="1">
        <v>3.3912037037037036E-3</v>
      </c>
      <c r="I3966" t="s">
        <v>57</v>
      </c>
      <c r="J3966" t="s">
        <v>20</v>
      </c>
      <c r="K3966" s="2" t="str">
        <f>HYPERLINK("https://www.nba.com/stats/events?CFID=&amp;CFPARAMS=&amp;GameEventID=467&amp;GameID=0041500235&amp;Season=2015-16&amp;flag=1&amp;title=Leonard%2010'%20Turnaround%20Jump%20Shot%20(23%20PTS)", "Leonard 10' Turnaround Jump Shot (23 PTS)")</f>
        <v>Leonard 10' Turnaround Jump Shot (23 PTS)</v>
      </c>
      <c r="L3966" s="2" t="str">
        <f>HYPERLINK("https://www.nba.com/game/...-vs-...-0041500235/play-by-play?watchFullGame=true", "SAS vs OKC - Q4 04:53.00")</f>
        <v>SAS vs OKC - Q4 04:53.00</v>
      </c>
      <c r="M3966">
        <v>10</v>
      </c>
      <c r="N3966">
        <v>-94</v>
      </c>
      <c r="O3966">
        <v>-15</v>
      </c>
      <c r="P3966">
        <v>-94</v>
      </c>
      <c r="Q3966">
        <v>-15</v>
      </c>
      <c r="R3966" t="s">
        <v>21</v>
      </c>
      <c r="S3966" t="s">
        <v>21</v>
      </c>
    </row>
    <row r="3967" spans="1:19" hidden="1" x14ac:dyDescent="0.25">
      <c r="A3967">
        <v>41800403</v>
      </c>
      <c r="B3967" t="s">
        <v>18</v>
      </c>
      <c r="C3967" t="s">
        <v>19</v>
      </c>
      <c r="D3967">
        <v>113</v>
      </c>
      <c r="E3967">
        <v>97</v>
      </c>
      <c r="F3967">
        <v>16</v>
      </c>
      <c r="G3967">
        <v>4</v>
      </c>
      <c r="H3967" s="1">
        <v>3.4837962962962965E-3</v>
      </c>
      <c r="I3967" t="s">
        <v>60</v>
      </c>
      <c r="J3967" t="s">
        <v>48</v>
      </c>
      <c r="K3967" s="2" t="str">
        <f>HYPERLINK("https://www.nba.com/stats/events?CFID=&amp;CFPARAMS=&amp;GameEventID=606&amp;GameID=0041800403&amp;Season=2018-19&amp;flag=1&amp;title=Leonard%2010'%20Jump%20Shot%20(30%20PTS)%20(Lowry%207%20AST)", "Leonard 10' Jump Shot (30 PTS) (Lowry 7 AST)")</f>
        <v>Leonard 10' Jump Shot (30 PTS) (Lowry 7 AST)</v>
      </c>
      <c r="L3967" s="2" t="str">
        <f>HYPERLINK("https://www.nba.com/game/...-vs-...-0041800403/play-by-play?watchFullGame=true", "TOR vs GSW - Q4 05:01.00")</f>
        <v>TOR vs GSW - Q4 05:01.00</v>
      </c>
      <c r="M3967">
        <v>10</v>
      </c>
      <c r="N3967">
        <v>-98</v>
      </c>
      <c r="O3967">
        <v>11</v>
      </c>
      <c r="P3967">
        <v>-98</v>
      </c>
      <c r="Q3967">
        <v>11</v>
      </c>
      <c r="R3967" t="s">
        <v>21</v>
      </c>
      <c r="S3967" t="s">
        <v>21</v>
      </c>
    </row>
    <row r="3968" spans="1:19" hidden="1" x14ac:dyDescent="0.25">
      <c r="A3968">
        <v>21501001</v>
      </c>
      <c r="B3968" t="s">
        <v>18</v>
      </c>
      <c r="C3968" t="s">
        <v>36</v>
      </c>
      <c r="D3968">
        <v>60</v>
      </c>
      <c r="E3968">
        <v>54</v>
      </c>
      <c r="F3968">
        <v>6</v>
      </c>
      <c r="G3968">
        <v>3</v>
      </c>
      <c r="H3968" s="1">
        <v>3.5763888888888889E-3</v>
      </c>
      <c r="I3968">
        <v>2015</v>
      </c>
      <c r="J3968" t="s">
        <v>20</v>
      </c>
      <c r="K3968" s="2" t="str">
        <f>HYPERLINK("https://www.nba.com/stats/events?CFID=&amp;CFPARAMS=&amp;GameEventID=309&amp;GameID=0021501001&amp;Season=2015-16&amp;flag=1&amp;title=Leonard%2010'%20Pullup%20Jump%20Shot%20(16%20PTS)%20(Aldridge%201%20AST)", "Leonard 10' Pullup Jump Shot (16 PTS) (Aldridge 1 AST)")</f>
        <v>Leonard 10' Pullup Jump Shot (16 PTS) (Aldridge 1 AST)</v>
      </c>
      <c r="L3968" s="2" t="str">
        <f>HYPERLINK("https://www.nba.com/game/...-vs-...-0021501001/play-by-play?watchFullGame=true", "SAS vs LAC - Q3 05:09.00")</f>
        <v>SAS vs LAC - Q3 05:09.00</v>
      </c>
      <c r="M3968">
        <v>10</v>
      </c>
      <c r="N3968">
        <v>-99</v>
      </c>
      <c r="O3968">
        <v>11</v>
      </c>
      <c r="P3968">
        <v>-99</v>
      </c>
      <c r="Q3968">
        <v>11</v>
      </c>
      <c r="R3968" t="s">
        <v>21</v>
      </c>
      <c r="S3968" t="s">
        <v>21</v>
      </c>
    </row>
    <row r="3969" spans="1:19" hidden="1" x14ac:dyDescent="0.25">
      <c r="A3969">
        <v>21600639</v>
      </c>
      <c r="B3969" t="s">
        <v>18</v>
      </c>
      <c r="C3969" t="s">
        <v>38</v>
      </c>
      <c r="D3969">
        <v>106</v>
      </c>
      <c r="E3969">
        <v>96</v>
      </c>
      <c r="F3969">
        <v>10</v>
      </c>
      <c r="G3969">
        <v>4</v>
      </c>
      <c r="H3969" s="1">
        <v>3.7152777777777778E-3</v>
      </c>
      <c r="I3969">
        <v>2016</v>
      </c>
      <c r="J3969" t="s">
        <v>20</v>
      </c>
      <c r="K3969" s="2" t="str">
        <f>HYPERLINK("https://www.nba.com/stats/events?CFID=&amp;CFPARAMS=&amp;GameEventID=491&amp;GameID=0021600639&amp;Season=2016-17&amp;flag=1&amp;title=Leonard%2010'%20Turnaround%20Fadeaway%20(27%20PTS)", "Leonard 10' Turnaround Fadeaway (27 PTS)")</f>
        <v>Leonard 10' Turnaround Fadeaway (27 PTS)</v>
      </c>
      <c r="L3969" s="2" t="str">
        <f>HYPERLINK("https://www.nba.com/game/...-vs-...-0021600639/play-by-play?watchFullGame=true", "SAS vs DEN - Q4 05:21.00")</f>
        <v>SAS vs DEN - Q4 05:21.00</v>
      </c>
      <c r="M3969">
        <v>10</v>
      </c>
      <c r="N3969">
        <v>2</v>
      </c>
      <c r="O3969">
        <v>97</v>
      </c>
      <c r="P3969">
        <v>2</v>
      </c>
      <c r="Q3969">
        <v>97</v>
      </c>
      <c r="R3969" t="s">
        <v>21</v>
      </c>
      <c r="S3969" t="s">
        <v>21</v>
      </c>
    </row>
    <row r="3970" spans="1:19" hidden="1" x14ac:dyDescent="0.25">
      <c r="A3970">
        <v>21600150</v>
      </c>
      <c r="B3970" t="s">
        <v>18</v>
      </c>
      <c r="C3970" t="s">
        <v>37</v>
      </c>
      <c r="D3970">
        <v>17</v>
      </c>
      <c r="E3970">
        <v>8</v>
      </c>
      <c r="F3970">
        <v>9</v>
      </c>
      <c r="G3970">
        <v>1</v>
      </c>
      <c r="H3970" s="1">
        <v>3.8541666666666668E-3</v>
      </c>
      <c r="I3970">
        <v>2016</v>
      </c>
      <c r="J3970" t="s">
        <v>20</v>
      </c>
      <c r="K3970" s="2" t="str">
        <f>HYPERLINK("https://www.nba.com/stats/events?CFID=&amp;CFPARAMS=&amp;GameEventID=58&amp;GameID=0021600150&amp;Season=2016-17&amp;flag=1&amp;title=Leonard%2010'%20Fadeaway%20Jumper%20(4%20PTS)", "Leonard 10' Fadeaway Jumper (4 PTS)")</f>
        <v>Leonard 10' Fadeaway Jumper (4 PTS)</v>
      </c>
      <c r="L3970" s="2" t="str">
        <f>HYPERLINK("https://www.nba.com/game/...-vs-...-0021600150/play-by-play?watchFullGame=true", "SAS vs MIA - Q1 05:33.00")</f>
        <v>SAS vs MIA - Q1 05:33.00</v>
      </c>
      <c r="M3970">
        <v>10</v>
      </c>
      <c r="N3970">
        <v>-71</v>
      </c>
      <c r="O3970">
        <v>77</v>
      </c>
      <c r="P3970">
        <v>-71</v>
      </c>
      <c r="Q3970">
        <v>77</v>
      </c>
      <c r="R3970" t="s">
        <v>21</v>
      </c>
      <c r="S3970" t="s">
        <v>21</v>
      </c>
    </row>
    <row r="3971" spans="1:19" hidden="1" x14ac:dyDescent="0.25">
      <c r="A3971">
        <v>41200154</v>
      </c>
      <c r="B3971" t="s">
        <v>18</v>
      </c>
      <c r="C3971" t="s">
        <v>19</v>
      </c>
      <c r="D3971">
        <v>42</v>
      </c>
      <c r="E3971">
        <v>29</v>
      </c>
      <c r="F3971">
        <v>13</v>
      </c>
      <c r="G3971">
        <v>2</v>
      </c>
      <c r="H3971" s="1">
        <v>3.9467592592592592E-3</v>
      </c>
      <c r="I3971" t="s">
        <v>53</v>
      </c>
      <c r="J3971" t="s">
        <v>20</v>
      </c>
      <c r="K3971" s="2" t="str">
        <f>HYPERLINK("https://www.nba.com/stats/events?CFID=&amp;CFPARAMS=&amp;GameEventID=183&amp;GameID=0041200154&amp;Season=2012-13&amp;flag=1&amp;title=Leonard%2010'%20Jump%20Shot%20(4%20PTS)%20(Neal%201%20AST)", "Leonard 10' Jump Shot (4 PTS) (Neal 1 AST)")</f>
        <v>Leonard 10' Jump Shot (4 PTS) (Neal 1 AST)</v>
      </c>
      <c r="L3971" s="2" t="str">
        <f>HYPERLINK("https://www.nba.com/game/...-vs-...-0041200154/play-by-play?watchFullGame=true", "SAS vs LAL - Q2 05:41.00")</f>
        <v>SAS vs LAL - Q2 05:41.00</v>
      </c>
      <c r="M3971">
        <v>10</v>
      </c>
      <c r="N3971">
        <v>-103</v>
      </c>
      <c r="O3971">
        <v>12</v>
      </c>
      <c r="P3971">
        <v>-103</v>
      </c>
      <c r="Q3971">
        <v>12</v>
      </c>
      <c r="R3971" t="s">
        <v>21</v>
      </c>
      <c r="S3971" t="s">
        <v>21</v>
      </c>
    </row>
    <row r="3972" spans="1:19" hidden="1" x14ac:dyDescent="0.25">
      <c r="A3972">
        <v>21400648</v>
      </c>
      <c r="B3972" t="s">
        <v>18</v>
      </c>
      <c r="C3972" t="s">
        <v>36</v>
      </c>
      <c r="D3972">
        <v>15</v>
      </c>
      <c r="E3972">
        <v>6</v>
      </c>
      <c r="F3972">
        <v>9</v>
      </c>
      <c r="G3972">
        <v>1</v>
      </c>
      <c r="H3972" s="1">
        <v>4.0509259259259257E-3</v>
      </c>
      <c r="I3972">
        <v>2014</v>
      </c>
      <c r="J3972" t="s">
        <v>20</v>
      </c>
      <c r="K3972" s="2" t="str">
        <f>HYPERLINK("https://www.nba.com/stats/events?CFID=&amp;CFPARAMS=&amp;GameEventID=42&amp;GameID=0021400648&amp;Season=2014-15&amp;flag=1&amp;title=Leonard%2010'%20Pullup%20Jump%20Shot%20(2%20PTS)", "Leonard 10' Pullup Jump Shot (2 PTS)")</f>
        <v>Leonard 10' Pullup Jump Shot (2 PTS)</v>
      </c>
      <c r="L3972" s="2" t="str">
        <f>HYPERLINK("https://www.nba.com/game/...-vs-...-0021400648/play-by-play?watchFullGame=true", "SAS vs LAL - Q1 05:50.00")</f>
        <v>SAS vs LAL - Q1 05:50.00</v>
      </c>
      <c r="M3972">
        <v>10</v>
      </c>
      <c r="N3972">
        <v>75</v>
      </c>
      <c r="O3972">
        <v>72</v>
      </c>
      <c r="P3972">
        <v>75</v>
      </c>
      <c r="Q3972">
        <v>72</v>
      </c>
      <c r="R3972" t="s">
        <v>21</v>
      </c>
      <c r="S3972" t="s">
        <v>21</v>
      </c>
    </row>
    <row r="3973" spans="1:19" hidden="1" x14ac:dyDescent="0.25">
      <c r="A3973">
        <v>21600003</v>
      </c>
      <c r="B3973" t="s">
        <v>18</v>
      </c>
      <c r="C3973" t="s">
        <v>31</v>
      </c>
      <c r="D3973">
        <v>80</v>
      </c>
      <c r="E3973">
        <v>64</v>
      </c>
      <c r="F3973">
        <v>16</v>
      </c>
      <c r="G3973">
        <v>3</v>
      </c>
      <c r="H3973" s="1">
        <v>4.0972222222222226E-3</v>
      </c>
      <c r="I3973">
        <v>2016</v>
      </c>
      <c r="J3973" t="s">
        <v>20</v>
      </c>
      <c r="K3973" s="2" t="str">
        <f>HYPERLINK("https://www.nba.com/stats/events?CFID=&amp;CFPARAMS=&amp;GameEventID=316&amp;GameID=0021600003&amp;Season=2016-17&amp;flag=1&amp;title=Leonard%2010'%20Driving%20Hook%20Shot%20(23%20PTS)%20(Simmons%202%20AST)", "Leonard 10' Driving Hook Shot (23 PTS) (Simmons 2 AST)")</f>
        <v>Leonard 10' Driving Hook Shot (23 PTS) (Simmons 2 AST)</v>
      </c>
      <c r="L3973" s="2" t="str">
        <f>HYPERLINK("https://www.nba.com/game/...-vs-...-0021600003/play-by-play?watchFullGame=true", "SAS vs GSW - Q3 05:54.00")</f>
        <v>SAS vs GSW - Q3 05:54.00</v>
      </c>
      <c r="M3973">
        <v>10</v>
      </c>
      <c r="N3973">
        <v>-1</v>
      </c>
      <c r="O3973">
        <v>100</v>
      </c>
      <c r="P3973">
        <v>-1</v>
      </c>
      <c r="Q3973">
        <v>100</v>
      </c>
      <c r="R3973" t="s">
        <v>21</v>
      </c>
      <c r="S3973" t="s">
        <v>21</v>
      </c>
    </row>
    <row r="3974" spans="1:19" hidden="1" x14ac:dyDescent="0.25">
      <c r="A3974">
        <v>21800161</v>
      </c>
      <c r="B3974" t="s">
        <v>18</v>
      </c>
      <c r="C3974" t="s">
        <v>19</v>
      </c>
      <c r="D3974">
        <v>106</v>
      </c>
      <c r="E3974">
        <v>93</v>
      </c>
      <c r="F3974">
        <v>13</v>
      </c>
      <c r="G3974">
        <v>4</v>
      </c>
      <c r="H3974" s="1">
        <v>4.178240740740741E-3</v>
      </c>
      <c r="I3974">
        <v>2018</v>
      </c>
      <c r="J3974" t="s">
        <v>48</v>
      </c>
      <c r="K3974" s="2" t="str">
        <f>HYPERLINK("https://www.nba.com/stats/events?CFID=&amp;CFPARAMS=&amp;GameEventID=594&amp;GameID=0021800161&amp;Season=2018-19&amp;flag=1&amp;title=Leonard%2010'%20Jump%20Shot%20(22%20PTS)", "Leonard 10' Jump Shot (22 PTS)")</f>
        <v>Leonard 10' Jump Shot (22 PTS)</v>
      </c>
      <c r="L3974" s="2" t="str">
        <f>HYPERLINK("https://www.nba.com/game/...-vs-...-0021800161/play-by-play?watchFullGame=true", "TOR vs SAC - Q4 06:01.00")</f>
        <v>TOR vs SAC - Q4 06:01.00</v>
      </c>
      <c r="M3974">
        <v>10</v>
      </c>
      <c r="N3974">
        <v>95</v>
      </c>
      <c r="O3974">
        <v>-4</v>
      </c>
      <c r="P3974">
        <v>95</v>
      </c>
      <c r="Q3974">
        <v>-4</v>
      </c>
      <c r="R3974" t="s">
        <v>21</v>
      </c>
      <c r="S3974" t="s">
        <v>21</v>
      </c>
    </row>
    <row r="3975" spans="1:19" hidden="1" x14ac:dyDescent="0.25">
      <c r="A3975">
        <v>21400814</v>
      </c>
      <c r="B3975" t="s">
        <v>18</v>
      </c>
      <c r="C3975" t="s">
        <v>36</v>
      </c>
      <c r="D3975">
        <v>11</v>
      </c>
      <c r="E3975">
        <v>12</v>
      </c>
      <c r="F3975">
        <v>1</v>
      </c>
      <c r="G3975">
        <v>1</v>
      </c>
      <c r="H3975" s="1">
        <v>4.2824074074074075E-3</v>
      </c>
      <c r="I3975">
        <v>2014</v>
      </c>
      <c r="J3975" t="s">
        <v>20</v>
      </c>
      <c r="K3975" s="2" t="str">
        <f>HYPERLINK("https://www.nba.com/stats/events?CFID=&amp;CFPARAMS=&amp;GameEventID=51&amp;GameID=0021400814&amp;Season=2014-15&amp;flag=1&amp;title=Leonard%2010'%20Pullup%20Jump%20Shot%20(6%20PTS)%20(Ginobili%201%20AST)", "Leonard 10' Pullup Jump Shot (6 PTS) (Ginobili 1 AST)")</f>
        <v>Leonard 10' Pullup Jump Shot (6 PTS) (Ginobili 1 AST)</v>
      </c>
      <c r="L3975" s="2" t="str">
        <f>HYPERLINK("https://www.nba.com/game/...-vs-...-0021400814/play-by-play?watchFullGame=true", "SAS vs GSW - Q1 06:10.00")</f>
        <v>SAS vs GSW - Q1 06:10.00</v>
      </c>
      <c r="M3975">
        <v>10</v>
      </c>
      <c r="N3975">
        <v>-40</v>
      </c>
      <c r="O3975">
        <v>89</v>
      </c>
      <c r="P3975">
        <v>-40</v>
      </c>
      <c r="Q3975">
        <v>89</v>
      </c>
      <c r="R3975" t="s">
        <v>21</v>
      </c>
      <c r="S3975" t="s">
        <v>21</v>
      </c>
    </row>
    <row r="3976" spans="1:19" hidden="1" x14ac:dyDescent="0.25">
      <c r="A3976">
        <v>21400648</v>
      </c>
      <c r="B3976" t="s">
        <v>18</v>
      </c>
      <c r="C3976" t="s">
        <v>37</v>
      </c>
      <c r="D3976">
        <v>88</v>
      </c>
      <c r="E3976">
        <v>71</v>
      </c>
      <c r="F3976">
        <v>17</v>
      </c>
      <c r="G3976">
        <v>4</v>
      </c>
      <c r="H3976" s="1">
        <v>4.3981481481481484E-3</v>
      </c>
      <c r="I3976">
        <v>2014</v>
      </c>
      <c r="J3976" t="s">
        <v>20</v>
      </c>
      <c r="K3976" s="2" t="str">
        <f>HYPERLINK("https://www.nba.com/stats/events?CFID=&amp;CFPARAMS=&amp;GameEventID=437&amp;GameID=0021400648&amp;Season=2014-15&amp;flag=1&amp;title=Leonard%2010'%20Fadeaway%20Jumper%20(15%20PTS)", "Leonard 10' Fadeaway Jumper (15 PTS)")</f>
        <v>Leonard 10' Fadeaway Jumper (15 PTS)</v>
      </c>
      <c r="L3976" s="2" t="str">
        <f>HYPERLINK("https://www.nba.com/game/...-vs-...-0021400648/play-by-play?watchFullGame=true", "SAS vs LAL - Q4 06:20.00")</f>
        <v>SAS vs LAL - Q4 06:20.00</v>
      </c>
      <c r="M3976">
        <v>10</v>
      </c>
      <c r="N3976">
        <v>72</v>
      </c>
      <c r="O3976">
        <v>66</v>
      </c>
      <c r="P3976">
        <v>72</v>
      </c>
      <c r="Q3976">
        <v>66</v>
      </c>
      <c r="R3976" t="s">
        <v>21</v>
      </c>
      <c r="S3976" t="s">
        <v>21</v>
      </c>
    </row>
    <row r="3977" spans="1:19" hidden="1" x14ac:dyDescent="0.25">
      <c r="A3977">
        <v>21501043</v>
      </c>
      <c r="B3977" t="s">
        <v>18</v>
      </c>
      <c r="C3977" t="s">
        <v>34</v>
      </c>
      <c r="D3977">
        <v>34</v>
      </c>
      <c r="E3977">
        <v>20</v>
      </c>
      <c r="F3977">
        <v>14</v>
      </c>
      <c r="G3977">
        <v>2</v>
      </c>
      <c r="H3977" s="1">
        <v>4.5138888888888885E-3</v>
      </c>
      <c r="I3977">
        <v>2015</v>
      </c>
      <c r="J3977" t="s">
        <v>20</v>
      </c>
      <c r="K3977" s="2" t="str">
        <f>HYPERLINK("https://www.nba.com/stats/events?CFID=&amp;CFPARAMS=&amp;GameEventID=194&amp;GameID=0021501043&amp;Season=2015-16&amp;flag=1&amp;title=Leonard%2010'%20Turnaround%20Jump%20Shot%20(5%20PTS)", "Leonard 10' Turnaround Jump Shot (5 PTS)")</f>
        <v>Leonard 10' Turnaround Jump Shot (5 PTS)</v>
      </c>
      <c r="L3977" s="2" t="str">
        <f>HYPERLINK("https://www.nba.com/game/...-vs-...-0021501043/play-by-play?watchFullGame=true", "SAS vs CHA - Q2 06:30.00")</f>
        <v>SAS vs CHA - Q2 06:30.00</v>
      </c>
      <c r="M3977">
        <v>10</v>
      </c>
      <c r="N3977">
        <v>-14</v>
      </c>
      <c r="O3977">
        <v>95</v>
      </c>
      <c r="P3977">
        <v>-14</v>
      </c>
      <c r="Q3977">
        <v>95</v>
      </c>
      <c r="R3977" t="s">
        <v>21</v>
      </c>
      <c r="S3977" t="s">
        <v>21</v>
      </c>
    </row>
    <row r="3978" spans="1:19" hidden="1" x14ac:dyDescent="0.25">
      <c r="A3978">
        <v>21800316</v>
      </c>
      <c r="B3978" t="s">
        <v>18</v>
      </c>
      <c r="C3978" t="s">
        <v>37</v>
      </c>
      <c r="D3978">
        <v>22</v>
      </c>
      <c r="E3978">
        <v>8</v>
      </c>
      <c r="F3978">
        <v>14</v>
      </c>
      <c r="G3978">
        <v>1</v>
      </c>
      <c r="H3978" s="1">
        <v>4.7222222222222223E-3</v>
      </c>
      <c r="I3978">
        <v>2018</v>
      </c>
      <c r="J3978" t="s">
        <v>48</v>
      </c>
      <c r="K3978" s="2" t="str">
        <f>HYPERLINK("https://www.nba.com/stats/events?CFID=&amp;CFPARAMS=&amp;GameEventID=46&amp;GameID=0021800316&amp;Season=2018-19&amp;flag=1&amp;title=Leonard%2010'%20Fadeaway%20Jumper%20(7%20PTS)", "Leonard 10' Fadeaway Jumper (7 PTS)")</f>
        <v>Leonard 10' Fadeaway Jumper (7 PTS)</v>
      </c>
      <c r="L3978" s="2" t="str">
        <f>HYPERLINK("https://www.nba.com/game/...-vs-...-0021800316/play-by-play?watchFullGame=true", "TOR vs GSW - Q1 06:48.00")</f>
        <v>TOR vs GSW - Q1 06:48.00</v>
      </c>
      <c r="M3978">
        <v>10</v>
      </c>
      <c r="N3978">
        <v>97</v>
      </c>
      <c r="O3978">
        <v>18</v>
      </c>
      <c r="P3978">
        <v>97</v>
      </c>
      <c r="Q3978">
        <v>18</v>
      </c>
      <c r="R3978" t="s">
        <v>21</v>
      </c>
      <c r="S3978" t="s">
        <v>21</v>
      </c>
    </row>
    <row r="3979" spans="1:19" hidden="1" x14ac:dyDescent="0.25">
      <c r="A3979">
        <v>21700402</v>
      </c>
      <c r="B3979" t="s">
        <v>18</v>
      </c>
      <c r="C3979" t="s">
        <v>19</v>
      </c>
      <c r="D3979">
        <v>55</v>
      </c>
      <c r="E3979">
        <v>50</v>
      </c>
      <c r="F3979">
        <v>5</v>
      </c>
      <c r="G3979">
        <v>3</v>
      </c>
      <c r="H3979" s="1">
        <v>4.7800925925925927E-3</v>
      </c>
      <c r="I3979">
        <v>2017</v>
      </c>
      <c r="J3979" t="s">
        <v>20</v>
      </c>
      <c r="K3979" s="2" t="str">
        <f>HYPERLINK("https://www.nba.com/stats/events?CFID=&amp;CFPARAMS=&amp;GameEventID=362&amp;GameID=0021700402&amp;Season=2017-18&amp;flag=1&amp;title=Leonard%2010'%20Jump%20Shot%20(13%20PTS)", "Leonard 10' Jump Shot (13 PTS)")</f>
        <v>Leonard 10' Jump Shot (13 PTS)</v>
      </c>
      <c r="L3979" s="2" t="str">
        <f>HYPERLINK("https://www.nba.com/game/...-vs-...-0021700402/play-by-play?watchFullGame=true", "SAS vs DAL - Q3 06:53.00")</f>
        <v>SAS vs DAL - Q3 06:53.00</v>
      </c>
      <c r="M3979">
        <v>10</v>
      </c>
      <c r="N3979">
        <v>-96</v>
      </c>
      <c r="O3979">
        <v>14</v>
      </c>
      <c r="P3979">
        <v>-96</v>
      </c>
      <c r="Q3979">
        <v>14</v>
      </c>
      <c r="R3979" t="s">
        <v>21</v>
      </c>
      <c r="S3979" t="s">
        <v>21</v>
      </c>
    </row>
    <row r="3980" spans="1:19" hidden="1" x14ac:dyDescent="0.25">
      <c r="A3980">
        <v>41800212</v>
      </c>
      <c r="B3980" t="s">
        <v>18</v>
      </c>
      <c r="C3980" t="s">
        <v>37</v>
      </c>
      <c r="D3980">
        <v>9</v>
      </c>
      <c r="E3980">
        <v>8</v>
      </c>
      <c r="F3980">
        <v>1</v>
      </c>
      <c r="G3980">
        <v>1</v>
      </c>
      <c r="H3980" s="1">
        <v>4.7800925925925927E-3</v>
      </c>
      <c r="I3980" t="s">
        <v>60</v>
      </c>
      <c r="J3980" t="s">
        <v>48</v>
      </c>
      <c r="K3980" s="2" t="str">
        <f>HYPERLINK("https://www.nba.com/stats/events?CFID=&amp;CFPARAMS=&amp;GameEventID=51&amp;GameID=0041800212&amp;Season=2018-19&amp;flag=1&amp;title=Leonard%2010'%20Fadeaway%20Jumper%20(2%20PTS)", "Leonard 10' Fadeaway Jumper (2 PTS)")</f>
        <v>Leonard 10' Fadeaway Jumper (2 PTS)</v>
      </c>
      <c r="L3980" s="2" t="str">
        <f>HYPERLINK("https://www.nba.com/game/...-vs-...-0041800212/play-by-play?watchFullGame=true", "TOR vs PHI - Q1 06:53.00")</f>
        <v>TOR vs PHI - Q1 06:53.00</v>
      </c>
      <c r="M3980">
        <v>10</v>
      </c>
      <c r="N3980">
        <v>45</v>
      </c>
      <c r="O3980">
        <v>85</v>
      </c>
      <c r="P3980">
        <v>45</v>
      </c>
      <c r="Q3980">
        <v>85</v>
      </c>
      <c r="R3980" t="s">
        <v>21</v>
      </c>
      <c r="S3980" t="s">
        <v>21</v>
      </c>
    </row>
    <row r="3981" spans="1:19" hidden="1" x14ac:dyDescent="0.25">
      <c r="A3981">
        <v>41200231</v>
      </c>
      <c r="B3981" t="s">
        <v>18</v>
      </c>
      <c r="C3981" t="s">
        <v>19</v>
      </c>
      <c r="D3981">
        <v>33</v>
      </c>
      <c r="E3981">
        <v>36</v>
      </c>
      <c r="F3981">
        <v>3</v>
      </c>
      <c r="G3981">
        <v>2</v>
      </c>
      <c r="H3981" s="1">
        <v>5.115740740740741E-3</v>
      </c>
      <c r="I3981" t="s">
        <v>53</v>
      </c>
      <c r="J3981" t="s">
        <v>20</v>
      </c>
      <c r="K3981" s="2" t="str">
        <f>HYPERLINK("https://www.nba.com/stats/events?CFID=&amp;CFPARAMS=&amp;GameEventID=165&amp;GameID=0041200231&amp;Season=2012-13&amp;flag=1&amp;title=Leonard%2010'%20Jump%20Shot%20(2%20PTS)", "Leonard 10' Jump Shot (2 PTS)")</f>
        <v>Leonard 10' Jump Shot (2 PTS)</v>
      </c>
      <c r="L3981" s="2" t="str">
        <f>HYPERLINK("https://www.nba.com/game/...-vs-...-0041200231/play-by-play?watchFullGame=true", "SAS vs GSW - Q2 07:22.00")</f>
        <v>SAS vs GSW - Q2 07:22.00</v>
      </c>
      <c r="M3981">
        <v>10</v>
      </c>
      <c r="N3981">
        <v>-100</v>
      </c>
      <c r="O3981">
        <v>-3</v>
      </c>
      <c r="P3981">
        <v>-100</v>
      </c>
      <c r="Q3981">
        <v>-3</v>
      </c>
      <c r="R3981" t="s">
        <v>21</v>
      </c>
      <c r="S3981" t="s">
        <v>21</v>
      </c>
    </row>
    <row r="3982" spans="1:19" hidden="1" x14ac:dyDescent="0.25">
      <c r="A3982">
        <v>21500347</v>
      </c>
      <c r="B3982" t="s">
        <v>18</v>
      </c>
      <c r="C3982" t="s">
        <v>36</v>
      </c>
      <c r="D3982">
        <v>29</v>
      </c>
      <c r="E3982">
        <v>18</v>
      </c>
      <c r="F3982">
        <v>11</v>
      </c>
      <c r="G3982">
        <v>2</v>
      </c>
      <c r="H3982" s="1">
        <v>5.1273148148148146E-3</v>
      </c>
      <c r="I3982">
        <v>2015</v>
      </c>
      <c r="J3982" t="s">
        <v>20</v>
      </c>
      <c r="K3982" s="2" t="str">
        <f>HYPERLINK("https://www.nba.com/stats/events?CFID=&amp;CFPARAMS=&amp;GameEventID=173&amp;GameID=0021500347&amp;Season=2015-16&amp;flag=1&amp;title=Leonard%2010'%20Pullup%20Jump%20Shot%20(9%20PTS)%20(Simmons%201%20AST)", "Leonard 10' Pullup Jump Shot (9 PTS) (Simmons 1 AST)")</f>
        <v>Leonard 10' Pullup Jump Shot (9 PTS) (Simmons 1 AST)</v>
      </c>
      <c r="L3982" s="2" t="str">
        <f>HYPERLINK("https://www.nba.com/game/...-vs-...-0021500347/play-by-play?watchFullGame=true", "SAS vs ATL - Q2 07:23.00")</f>
        <v>SAS vs ATL - Q2 07:23.00</v>
      </c>
      <c r="M3982">
        <v>10</v>
      </c>
      <c r="N3982">
        <v>20</v>
      </c>
      <c r="O3982">
        <v>97</v>
      </c>
      <c r="P3982">
        <v>20</v>
      </c>
      <c r="Q3982">
        <v>97</v>
      </c>
      <c r="R3982" t="s">
        <v>21</v>
      </c>
      <c r="S3982" t="s">
        <v>21</v>
      </c>
    </row>
    <row r="3983" spans="1:19" hidden="1" x14ac:dyDescent="0.25">
      <c r="A3983">
        <v>21500784</v>
      </c>
      <c r="B3983" t="s">
        <v>18</v>
      </c>
      <c r="C3983" t="s">
        <v>34</v>
      </c>
      <c r="D3983">
        <v>65</v>
      </c>
      <c r="E3983">
        <v>58</v>
      </c>
      <c r="F3983">
        <v>7</v>
      </c>
      <c r="G3983">
        <v>3</v>
      </c>
      <c r="H3983" s="1">
        <v>5.2314814814814811E-3</v>
      </c>
      <c r="I3983">
        <v>2015</v>
      </c>
      <c r="J3983" t="s">
        <v>20</v>
      </c>
      <c r="K3983" s="2" t="str">
        <f>HYPERLINK("https://www.nba.com/stats/events?CFID=&amp;CFPARAMS=&amp;GameEventID=287&amp;GameID=0021500784&amp;Season=2015-16&amp;flag=1&amp;title=Leonard%2010'%20Turnaround%20Jump%20Shot%20(13%20PTS)", "Leonard 10' Turnaround Jump Shot (13 PTS)")</f>
        <v>Leonard 10' Turnaround Jump Shot (13 PTS)</v>
      </c>
      <c r="L3983" s="2" t="str">
        <f>HYPERLINK("https://www.nba.com/game/...-vs-...-0021500784/play-by-play?watchFullGame=true", "SAS vs MIA - Q3 07:32.00")</f>
        <v>SAS vs MIA - Q3 07:32.00</v>
      </c>
      <c r="M3983">
        <v>10</v>
      </c>
      <c r="N3983">
        <v>-97</v>
      </c>
      <c r="O3983">
        <v>26</v>
      </c>
      <c r="P3983">
        <v>-97</v>
      </c>
      <c r="Q3983">
        <v>26</v>
      </c>
      <c r="R3983" t="s">
        <v>21</v>
      </c>
      <c r="S3983" t="s">
        <v>21</v>
      </c>
    </row>
    <row r="3984" spans="1:19" hidden="1" x14ac:dyDescent="0.25">
      <c r="A3984">
        <v>41800214</v>
      </c>
      <c r="B3984" t="s">
        <v>18</v>
      </c>
      <c r="C3984" t="s">
        <v>59</v>
      </c>
      <c r="D3984">
        <v>11</v>
      </c>
      <c r="E3984">
        <v>11</v>
      </c>
      <c r="F3984">
        <v>0</v>
      </c>
      <c r="G3984">
        <v>1</v>
      </c>
      <c r="H3984" s="1">
        <v>5.2314814814814811E-3</v>
      </c>
      <c r="I3984" t="s">
        <v>60</v>
      </c>
      <c r="J3984" t="s">
        <v>48</v>
      </c>
      <c r="K3984" s="2" t="str">
        <f>HYPERLINK("https://www.nba.com/stats/events?CFID=&amp;CFPARAMS=&amp;GameEventID=46&amp;GameID=0041800214&amp;Season=2018-19&amp;flag=1&amp;title=Leonard%2010'%20Floating%20Jump%20Shot%20(2%20PTS)%20(Siakam%201%20AST)", "Leonard 10' Floating Jump Shot (2 PTS) (Siakam 1 AST)")</f>
        <v>Leonard 10' Floating Jump Shot (2 PTS) (Siakam 1 AST)</v>
      </c>
      <c r="L3984" s="2" t="str">
        <f>HYPERLINK("https://www.nba.com/game/...-vs-...-0041800214/play-by-play?watchFullGame=true", "TOR vs PHI - Q1 07:32.00")</f>
        <v>TOR vs PHI - Q1 07:32.00</v>
      </c>
      <c r="M3984">
        <v>10</v>
      </c>
      <c r="N3984">
        <v>65</v>
      </c>
      <c r="O3984">
        <v>72</v>
      </c>
      <c r="P3984">
        <v>65</v>
      </c>
      <c r="Q3984">
        <v>72</v>
      </c>
      <c r="R3984" t="s">
        <v>21</v>
      </c>
      <c r="S3984" t="s">
        <v>21</v>
      </c>
    </row>
    <row r="3985" spans="1:19" hidden="1" x14ac:dyDescent="0.25">
      <c r="A3985">
        <v>41200314</v>
      </c>
      <c r="B3985" t="s">
        <v>18</v>
      </c>
      <c r="C3985" t="s">
        <v>30</v>
      </c>
      <c r="D3985">
        <v>6</v>
      </c>
      <c r="E3985">
        <v>6</v>
      </c>
      <c r="F3985">
        <v>0</v>
      </c>
      <c r="G3985">
        <v>1</v>
      </c>
      <c r="H3985" s="1">
        <v>5.2430555555555555E-3</v>
      </c>
      <c r="I3985" t="s">
        <v>53</v>
      </c>
      <c r="J3985" t="s">
        <v>20</v>
      </c>
      <c r="K3985" s="2" t="str">
        <f>HYPERLINK("https://www.nba.com/stats/events?CFID=&amp;CFPARAMS=&amp;GameEventID=32&amp;GameID=0041200314&amp;Season=2012-13&amp;flag=1&amp;title=Leonard%2010'%20Running%20Jump%20Shot%20(2%20PTS)%20(Parker%201%20AST)", "Leonard 10' Running Jump Shot (2 PTS) (Parker 1 AST)")</f>
        <v>Leonard 10' Running Jump Shot (2 PTS) (Parker 1 AST)</v>
      </c>
      <c r="L3985" s="2" t="str">
        <f>HYPERLINK("https://www.nba.com/game/...-vs-...-0041200314/play-by-play?watchFullGame=true", "SAS vs MEM - Q1 07:33.00")</f>
        <v>SAS vs MEM - Q1 07:33.00</v>
      </c>
      <c r="M3985">
        <v>10</v>
      </c>
      <c r="N3985">
        <v>99</v>
      </c>
      <c r="O3985">
        <v>3</v>
      </c>
      <c r="P3985">
        <v>99</v>
      </c>
      <c r="Q3985">
        <v>3</v>
      </c>
      <c r="R3985" t="s">
        <v>21</v>
      </c>
      <c r="S3985" t="s">
        <v>21</v>
      </c>
    </row>
    <row r="3986" spans="1:19" hidden="1" x14ac:dyDescent="0.25">
      <c r="A3986">
        <v>21400814</v>
      </c>
      <c r="B3986" t="s">
        <v>18</v>
      </c>
      <c r="C3986" t="s">
        <v>36</v>
      </c>
      <c r="D3986">
        <v>60</v>
      </c>
      <c r="E3986">
        <v>71</v>
      </c>
      <c r="F3986">
        <v>11</v>
      </c>
      <c r="G3986">
        <v>3</v>
      </c>
      <c r="H3986" s="1">
        <v>5.3819444444444444E-3</v>
      </c>
      <c r="I3986">
        <v>2014</v>
      </c>
      <c r="J3986" t="s">
        <v>20</v>
      </c>
      <c r="K3986" s="2" t="str">
        <f>HYPERLINK("https://www.nba.com/stats/events?CFID=&amp;CFPARAMS=&amp;GameEventID=293&amp;GameID=0021400814&amp;Season=2014-15&amp;flag=1&amp;title=Leonard%2010'%20Pullup%20Jump%20Shot%20(12%20PTS)", "Leonard 10' Pullup Jump Shot (12 PTS)")</f>
        <v>Leonard 10' Pullup Jump Shot (12 PTS)</v>
      </c>
      <c r="L3986" s="2" t="str">
        <f>HYPERLINK("https://www.nba.com/game/...-vs-...-0021400814/play-by-play?watchFullGame=true", "SAS vs GSW - Q3 07:45.00")</f>
        <v>SAS vs GSW - Q3 07:45.00</v>
      </c>
      <c r="M3986">
        <v>10</v>
      </c>
      <c r="N3986">
        <v>4</v>
      </c>
      <c r="O3986">
        <v>104</v>
      </c>
      <c r="P3986">
        <v>4</v>
      </c>
      <c r="Q3986">
        <v>104</v>
      </c>
      <c r="R3986" t="s">
        <v>21</v>
      </c>
      <c r="S3986" t="s">
        <v>21</v>
      </c>
    </row>
    <row r="3987" spans="1:19" hidden="1" x14ac:dyDescent="0.25">
      <c r="A3987">
        <v>41800303</v>
      </c>
      <c r="B3987" t="s">
        <v>18</v>
      </c>
      <c r="C3987" t="s">
        <v>42</v>
      </c>
      <c r="D3987">
        <v>35</v>
      </c>
      <c r="E3987">
        <v>29</v>
      </c>
      <c r="F3987">
        <v>6</v>
      </c>
      <c r="G3987">
        <v>2</v>
      </c>
      <c r="H3987" s="1">
        <v>5.4976851851851853E-3</v>
      </c>
      <c r="I3987" t="s">
        <v>60</v>
      </c>
      <c r="J3987" t="s">
        <v>48</v>
      </c>
      <c r="K3987" s="2" t="str">
        <f>HYPERLINK("https://www.nba.com/stats/events?CFID=&amp;CFPARAMS=&amp;GameEventID=238&amp;GameID=0041800303&amp;Season=2018-19&amp;flag=1&amp;title=Leonard%2010'%20Driving%20Floating%20Jump%20Shot%20(7%20PTS)%20(VanVleet%203%20AST)", "Leonard 10' Driving Floating Jump Shot (7 PTS) (VanVleet 3 AST)")</f>
        <v>Leonard 10' Driving Floating Jump Shot (7 PTS) (VanVleet 3 AST)</v>
      </c>
      <c r="L3987" s="2" t="str">
        <f>HYPERLINK("https://www.nba.com/game/...-vs-...-0041800303/play-by-play?watchFullGame=true", "TOR vs MIL - Q2 07:55.00")</f>
        <v>TOR vs MIL - Q2 07:55.00</v>
      </c>
      <c r="M3987">
        <v>10</v>
      </c>
      <c r="N3987">
        <v>22</v>
      </c>
      <c r="O3987">
        <v>95</v>
      </c>
      <c r="P3987">
        <v>22</v>
      </c>
      <c r="Q3987">
        <v>95</v>
      </c>
      <c r="R3987" t="s">
        <v>21</v>
      </c>
      <c r="S3987" t="s">
        <v>21</v>
      </c>
    </row>
    <row r="3988" spans="1:19" hidden="1" x14ac:dyDescent="0.25">
      <c r="A3988">
        <v>21300378</v>
      </c>
      <c r="B3988" t="s">
        <v>18</v>
      </c>
      <c r="C3988" t="s">
        <v>47</v>
      </c>
      <c r="D3988">
        <v>11</v>
      </c>
      <c r="E3988">
        <v>13</v>
      </c>
      <c r="F3988">
        <v>2</v>
      </c>
      <c r="G3988">
        <v>1</v>
      </c>
      <c r="H3988" s="1">
        <v>5.5208333333333333E-3</v>
      </c>
      <c r="I3988">
        <v>2013</v>
      </c>
      <c r="J3988" t="s">
        <v>20</v>
      </c>
      <c r="K3988" s="2" t="str">
        <f>HYPERLINK("https://www.nba.com/stats/events?CFID=&amp;CFPARAMS=&amp;GameEventID=40&amp;GameID=0021300378&amp;Season=2013-14&amp;flag=1&amp;title=Leonard%2010'%20Hook%20Shot%20(2%20PTS)", "Leonard 10' Hook Shot (2 PTS)")</f>
        <v>Leonard 10' Hook Shot (2 PTS)</v>
      </c>
      <c r="L3988" s="2" t="str">
        <f>HYPERLINK("https://www.nba.com/game/...-vs-...-0021300378/play-by-play?watchFullGame=true", "SAS vs PHX - Q1 07:57.00")</f>
        <v>SAS vs PHX - Q1 07:57.00</v>
      </c>
      <c r="M3988">
        <v>10</v>
      </c>
      <c r="N3988">
        <v>-84</v>
      </c>
      <c r="O3988">
        <v>52</v>
      </c>
      <c r="P3988">
        <v>-84</v>
      </c>
      <c r="Q3988">
        <v>52</v>
      </c>
      <c r="R3988" t="s">
        <v>21</v>
      </c>
      <c r="S3988" t="s">
        <v>21</v>
      </c>
    </row>
    <row r="3989" spans="1:19" hidden="1" x14ac:dyDescent="0.25">
      <c r="A3989">
        <v>41600235</v>
      </c>
      <c r="B3989" t="s">
        <v>18</v>
      </c>
      <c r="C3989" t="s">
        <v>59</v>
      </c>
      <c r="D3989">
        <v>40</v>
      </c>
      <c r="E3989">
        <v>39</v>
      </c>
      <c r="F3989">
        <v>1</v>
      </c>
      <c r="G3989">
        <v>2</v>
      </c>
      <c r="H3989" s="1">
        <v>5.5787037037037038E-3</v>
      </c>
      <c r="I3989" t="s">
        <v>58</v>
      </c>
      <c r="J3989" t="s">
        <v>20</v>
      </c>
      <c r="K3989" s="2" t="str">
        <f>HYPERLINK("https://www.nba.com/stats/events?CFID=&amp;CFPARAMS=&amp;GameEventID=166&amp;GameID=0041600235&amp;Season=2016-17&amp;flag=1&amp;title=Leonard%2010'%20Floating%20Jump%20Shot%20(7%20PTS)", "Leonard 10' Floating Jump Shot (7 PTS)")</f>
        <v>Leonard 10' Floating Jump Shot (7 PTS)</v>
      </c>
      <c r="L3989" s="2" t="str">
        <f>HYPERLINK("https://www.nba.com/game/...-vs-...-0041600235/play-by-play?watchFullGame=true", "SAS vs HOU - Q2 08:02.00")</f>
        <v>SAS vs HOU - Q2 08:02.00</v>
      </c>
      <c r="M3989">
        <v>10</v>
      </c>
      <c r="N3989">
        <v>24</v>
      </c>
      <c r="O3989">
        <v>95</v>
      </c>
      <c r="P3989">
        <v>24</v>
      </c>
      <c r="Q3989">
        <v>95</v>
      </c>
      <c r="R3989" t="s">
        <v>21</v>
      </c>
      <c r="S3989" t="s">
        <v>21</v>
      </c>
    </row>
    <row r="3990" spans="1:19" hidden="1" x14ac:dyDescent="0.25">
      <c r="A3990">
        <v>21800388</v>
      </c>
      <c r="B3990" t="s">
        <v>18</v>
      </c>
      <c r="C3990" t="s">
        <v>59</v>
      </c>
      <c r="D3990">
        <v>57</v>
      </c>
      <c r="E3990">
        <v>61</v>
      </c>
      <c r="F3990">
        <v>4</v>
      </c>
      <c r="G3990">
        <v>3</v>
      </c>
      <c r="H3990" s="1">
        <v>5.5902777777777773E-3</v>
      </c>
      <c r="I3990">
        <v>2018</v>
      </c>
      <c r="J3990" t="s">
        <v>48</v>
      </c>
      <c r="K3990" s="2" t="str">
        <f>HYPERLINK("https://www.nba.com/stats/events?CFID=&amp;CFPARAMS=&amp;GameEventID=377&amp;GameID=0021800388&amp;Season=2018-19&amp;flag=1&amp;title=Leonard%2010'%20Floating%20Jump%20Shot%20(10%20PTS)", "Leonard 10' Floating Jump Shot (10 PTS)")</f>
        <v>Leonard 10' Floating Jump Shot (10 PTS)</v>
      </c>
      <c r="L3990" s="2" t="str">
        <f>HYPERLINK("https://www.nba.com/game/...-vs-...-0021800388/play-by-play?watchFullGame=true", "TOR vs MIL - Q3 08:03.00")</f>
        <v>TOR vs MIL - Q3 08:03.00</v>
      </c>
      <c r="M3990">
        <v>10</v>
      </c>
      <c r="N3990">
        <v>-100</v>
      </c>
      <c r="O3990">
        <v>11</v>
      </c>
      <c r="P3990">
        <v>-100</v>
      </c>
      <c r="Q3990">
        <v>11</v>
      </c>
      <c r="R3990" t="s">
        <v>21</v>
      </c>
      <c r="S3990" t="s">
        <v>21</v>
      </c>
    </row>
    <row r="3991" spans="1:19" hidden="1" x14ac:dyDescent="0.25">
      <c r="A3991">
        <v>21401223</v>
      </c>
      <c r="B3991" t="s">
        <v>18</v>
      </c>
      <c r="C3991" t="s">
        <v>36</v>
      </c>
      <c r="D3991">
        <v>27</v>
      </c>
      <c r="E3991">
        <v>43</v>
      </c>
      <c r="F3991">
        <v>16</v>
      </c>
      <c r="G3991">
        <v>2</v>
      </c>
      <c r="H3991" s="1">
        <v>5.6944444444444447E-3</v>
      </c>
      <c r="I3991">
        <v>2014</v>
      </c>
      <c r="J3991" t="s">
        <v>20</v>
      </c>
      <c r="K3991" s="2" t="str">
        <f>HYPERLINK("https://www.nba.com/stats/events?CFID=&amp;CFPARAMS=&amp;GameEventID=136&amp;GameID=0021401223&amp;Season=2014-15&amp;flag=1&amp;title=Leonard%2010'%20Pullup%20Jump%20Shot%20(4%20PTS)", "Leonard 10' Pullup Jump Shot (4 PTS)")</f>
        <v>Leonard 10' Pullup Jump Shot (4 PTS)</v>
      </c>
      <c r="L3991" s="2" t="str">
        <f>HYPERLINK("https://www.nba.com/game/...-vs-...-0021401223/play-by-play?watchFullGame=true", "SAS vs NOP - Q2 08:12.00")</f>
        <v>SAS vs NOP - Q2 08:12.00</v>
      </c>
      <c r="M3991">
        <v>10</v>
      </c>
      <c r="N3991">
        <v>4</v>
      </c>
      <c r="O3991">
        <v>97</v>
      </c>
      <c r="P3991">
        <v>4</v>
      </c>
      <c r="Q3991">
        <v>97</v>
      </c>
      <c r="R3991" t="s">
        <v>21</v>
      </c>
      <c r="S3991" t="s">
        <v>21</v>
      </c>
    </row>
    <row r="3992" spans="1:19" hidden="1" x14ac:dyDescent="0.25">
      <c r="A3992">
        <v>21500242</v>
      </c>
      <c r="B3992" t="s">
        <v>18</v>
      </c>
      <c r="C3992" t="s">
        <v>37</v>
      </c>
      <c r="D3992">
        <v>66</v>
      </c>
      <c r="E3992">
        <v>45</v>
      </c>
      <c r="F3992">
        <v>21</v>
      </c>
      <c r="G3992">
        <v>3</v>
      </c>
      <c r="H3992" s="1">
        <v>5.7407407407407407E-3</v>
      </c>
      <c r="I3992">
        <v>2015</v>
      </c>
      <c r="J3992" t="s">
        <v>20</v>
      </c>
      <c r="K3992" s="2" t="str">
        <f>HYPERLINK("https://www.nba.com/stats/events?CFID=&amp;CFPARAMS=&amp;GameEventID=308&amp;GameID=0021500242&amp;Season=2015-16&amp;flag=1&amp;title=Leonard%2010'%20Fadeaway%20Jumper%20(20%20PTS)%20(Aldridge%201%20AST)", "Leonard 10' Fadeaway Jumper (20 PTS) (Aldridge 1 AST)")</f>
        <v>Leonard 10' Fadeaway Jumper (20 PTS) (Aldridge 1 AST)</v>
      </c>
      <c r="L3992" s="2" t="str">
        <f>HYPERLINK("https://www.nba.com/game/...-vs-...-0021500242/play-by-play?watchFullGame=true", "SAS vs ATL - Q3 08:16.00")</f>
        <v>SAS vs ATL - Q3 08:16.00</v>
      </c>
      <c r="M3992">
        <v>10</v>
      </c>
      <c r="N3992">
        <v>102</v>
      </c>
      <c r="O3992">
        <v>7</v>
      </c>
      <c r="P3992">
        <v>102</v>
      </c>
      <c r="Q3992">
        <v>7</v>
      </c>
      <c r="R3992" t="s">
        <v>21</v>
      </c>
      <c r="S3992" t="s">
        <v>21</v>
      </c>
    </row>
    <row r="3993" spans="1:19" hidden="1" x14ac:dyDescent="0.25">
      <c r="A3993">
        <v>21801169</v>
      </c>
      <c r="B3993" t="s">
        <v>18</v>
      </c>
      <c r="C3993" t="s">
        <v>36</v>
      </c>
      <c r="D3993">
        <v>73</v>
      </c>
      <c r="E3993">
        <v>61</v>
      </c>
      <c r="F3993">
        <v>12</v>
      </c>
      <c r="G3993">
        <v>3</v>
      </c>
      <c r="H3993" s="1">
        <v>5.7523148148148151E-3</v>
      </c>
      <c r="I3993">
        <v>2018</v>
      </c>
      <c r="J3993" t="s">
        <v>48</v>
      </c>
      <c r="K3993" s="2" t="str">
        <f>HYPERLINK("https://www.nba.com/stats/events?CFID=&amp;CFPARAMS=&amp;GameEventID=375&amp;GameID=0021801169&amp;Season=2018-19&amp;flag=1&amp;title=Leonard%2010'%20Pullup%20Jump%20Shot%20(21%20PTS)", "Leonard 10' Pullup Jump Shot (21 PTS)")</f>
        <v>Leonard 10' Pullup Jump Shot (21 PTS)</v>
      </c>
      <c r="L3993" s="2" t="str">
        <f>HYPERLINK("https://www.nba.com/game/...-vs-...-0021801169/play-by-play?watchFullGame=true", "TOR vs BKN - Q3 08:17.00")</f>
        <v>TOR vs BKN - Q3 08:17.00</v>
      </c>
      <c r="M3993">
        <v>10</v>
      </c>
      <c r="N3993">
        <v>3</v>
      </c>
      <c r="O3993">
        <v>99</v>
      </c>
      <c r="P3993">
        <v>3</v>
      </c>
      <c r="Q3993">
        <v>99</v>
      </c>
      <c r="R3993" t="s">
        <v>21</v>
      </c>
      <c r="S3993" t="s">
        <v>21</v>
      </c>
    </row>
    <row r="3994" spans="1:19" hidden="1" x14ac:dyDescent="0.25">
      <c r="A3994">
        <v>21301154</v>
      </c>
      <c r="B3994" t="s">
        <v>18</v>
      </c>
      <c r="C3994" t="s">
        <v>19</v>
      </c>
      <c r="D3994">
        <v>65</v>
      </c>
      <c r="E3994">
        <v>45</v>
      </c>
      <c r="F3994">
        <v>20</v>
      </c>
      <c r="G3994">
        <v>3</v>
      </c>
      <c r="H3994" s="1">
        <v>5.8217592592592592E-3</v>
      </c>
      <c r="I3994">
        <v>2013</v>
      </c>
      <c r="J3994" t="s">
        <v>20</v>
      </c>
      <c r="K3994" s="2" t="str">
        <f>HYPERLINK("https://www.nba.com/stats/events?CFID=&amp;CFPARAMS=&amp;GameEventID=274&amp;GameID=0021301154&amp;Season=2013-14&amp;flag=1&amp;title=Leonard%2010'%20Jump%20Shot%20(17%20PTS)%20(Joseph%202%20AST)", "Leonard 10' Jump Shot (17 PTS) (Joseph 2 AST)")</f>
        <v>Leonard 10' Jump Shot (17 PTS) (Joseph 2 AST)</v>
      </c>
      <c r="L3994" s="2" t="str">
        <f>HYPERLINK("https://www.nba.com/game/...-vs-...-0021301154/play-by-play?watchFullGame=true", "SAS vs MEM - Q3 08:23.00")</f>
        <v>SAS vs MEM - Q3 08:23.00</v>
      </c>
      <c r="M3994">
        <v>10</v>
      </c>
      <c r="N3994">
        <v>69</v>
      </c>
      <c r="O3994">
        <v>74</v>
      </c>
      <c r="P3994">
        <v>69</v>
      </c>
      <c r="Q3994">
        <v>74</v>
      </c>
      <c r="R3994" t="s">
        <v>21</v>
      </c>
      <c r="S3994" t="s">
        <v>21</v>
      </c>
    </row>
    <row r="3995" spans="1:19" hidden="1" x14ac:dyDescent="0.25">
      <c r="A3995">
        <v>41800404</v>
      </c>
      <c r="B3995" t="s">
        <v>18</v>
      </c>
      <c r="C3995" t="s">
        <v>38</v>
      </c>
      <c r="D3995">
        <v>3</v>
      </c>
      <c r="E3995">
        <v>4</v>
      </c>
      <c r="F3995">
        <v>1</v>
      </c>
      <c r="G3995">
        <v>1</v>
      </c>
      <c r="H3995" s="1">
        <v>5.9722222222222225E-3</v>
      </c>
      <c r="I3995" t="s">
        <v>60</v>
      </c>
      <c r="J3995" t="s">
        <v>48</v>
      </c>
      <c r="K3995" s="2" t="str">
        <f>HYPERLINK("https://www.nba.com/stats/events?CFID=&amp;CFPARAMS=&amp;GameEventID=49&amp;GameID=0041800404&amp;Season=2018-19&amp;flag=1&amp;title=Leonard%2010'%20Turnaround%20Fadeaway%20(2%20PTS)", "Leonard 10' Turnaround Fadeaway (2 PTS)")</f>
        <v>Leonard 10' Turnaround Fadeaway (2 PTS)</v>
      </c>
      <c r="L3995" s="2" t="str">
        <f>HYPERLINK("https://www.nba.com/game/...-vs-...-0041800404/play-by-play?watchFullGame=true", "TOR vs GSW - Q1 08:36.00")</f>
        <v>TOR vs GSW - Q1 08:36.00</v>
      </c>
      <c r="M3995">
        <v>10</v>
      </c>
      <c r="N3995">
        <v>-3</v>
      </c>
      <c r="O3995">
        <v>99</v>
      </c>
      <c r="P3995">
        <v>-3</v>
      </c>
      <c r="Q3995">
        <v>99</v>
      </c>
      <c r="R3995" t="s">
        <v>21</v>
      </c>
      <c r="S3995" t="s">
        <v>21</v>
      </c>
    </row>
    <row r="3996" spans="1:19" hidden="1" x14ac:dyDescent="0.25">
      <c r="A3996">
        <v>21800983</v>
      </c>
      <c r="B3996" t="s">
        <v>18</v>
      </c>
      <c r="C3996" t="s">
        <v>36</v>
      </c>
      <c r="D3996">
        <v>72</v>
      </c>
      <c r="E3996">
        <v>66</v>
      </c>
      <c r="F3996">
        <v>6</v>
      </c>
      <c r="G3996">
        <v>3</v>
      </c>
      <c r="H3996" s="1">
        <v>6.3310185185185188E-3</v>
      </c>
      <c r="I3996">
        <v>2018</v>
      </c>
      <c r="J3996" t="s">
        <v>48</v>
      </c>
      <c r="K3996" s="2" t="str">
        <f>HYPERLINK("https://www.nba.com/stats/events?CFID=&amp;CFPARAMS=&amp;GameEventID=353&amp;GameID=0021800983&amp;Season=2018-19&amp;flag=1&amp;title=Leonard%2010'%20Pullup%20Jump%20Shot%20(26%20PTS)%20(Lowry%208%20AST)", "Leonard 10' Pullup Jump Shot (26 PTS) (Lowry 8 AST)")</f>
        <v>Leonard 10' Pullup Jump Shot (26 PTS) (Lowry 8 AST)</v>
      </c>
      <c r="L3996" s="2" t="str">
        <f>HYPERLINK("https://www.nba.com/game/...-vs-...-0021800983/play-by-play?watchFullGame=true", "TOR vs NOP - Q3 09:07.00")</f>
        <v>TOR vs NOP - Q3 09:07.00</v>
      </c>
      <c r="M3996">
        <v>10</v>
      </c>
      <c r="N3996">
        <v>20</v>
      </c>
      <c r="O3996">
        <v>101</v>
      </c>
      <c r="P3996">
        <v>20</v>
      </c>
      <c r="Q3996">
        <v>101</v>
      </c>
      <c r="R3996" t="s">
        <v>21</v>
      </c>
      <c r="S3996" t="s">
        <v>21</v>
      </c>
    </row>
    <row r="3997" spans="1:19" hidden="1" x14ac:dyDescent="0.25">
      <c r="A3997">
        <v>21800303</v>
      </c>
      <c r="B3997" t="s">
        <v>18</v>
      </c>
      <c r="C3997" t="s">
        <v>37</v>
      </c>
      <c r="D3997">
        <v>63</v>
      </c>
      <c r="E3997">
        <v>78</v>
      </c>
      <c r="F3997">
        <v>15</v>
      </c>
      <c r="G3997">
        <v>3</v>
      </c>
      <c r="H3997" s="1">
        <v>6.6435185185185182E-3</v>
      </c>
      <c r="I3997">
        <v>2018</v>
      </c>
      <c r="J3997" t="s">
        <v>48</v>
      </c>
      <c r="K3997" s="2" t="str">
        <f>HYPERLINK("https://www.nba.com/stats/events?CFID=&amp;CFPARAMS=&amp;GameEventID=342&amp;GameID=0021800303&amp;Season=2018-19&amp;flag=1&amp;title=Leonard%2010'%20Fadeaway%20Jumper%20(7%20PTS)", "Leonard 10' Fadeaway Jumper (7 PTS)")</f>
        <v>Leonard 10' Fadeaway Jumper (7 PTS)</v>
      </c>
      <c r="L3997" s="2" t="str">
        <f>HYPERLINK("https://www.nba.com/game/...-vs-...-0021800303/play-by-play?watchFullGame=true", "TOR vs MEM - Q3 09:34.00")</f>
        <v>TOR vs MEM - Q3 09:34.00</v>
      </c>
      <c r="M3997">
        <v>10</v>
      </c>
      <c r="N3997">
        <v>100</v>
      </c>
      <c r="O3997">
        <v>11</v>
      </c>
      <c r="P3997">
        <v>100</v>
      </c>
      <c r="Q3997">
        <v>11</v>
      </c>
      <c r="R3997" t="s">
        <v>21</v>
      </c>
      <c r="S3997" t="s">
        <v>21</v>
      </c>
    </row>
    <row r="3998" spans="1:19" hidden="1" x14ac:dyDescent="0.25">
      <c r="A3998">
        <v>21800909</v>
      </c>
      <c r="B3998" t="s">
        <v>18</v>
      </c>
      <c r="C3998" t="s">
        <v>37</v>
      </c>
      <c r="D3998">
        <v>5</v>
      </c>
      <c r="E3998">
        <v>4</v>
      </c>
      <c r="F3998">
        <v>1</v>
      </c>
      <c r="G3998">
        <v>1</v>
      </c>
      <c r="H3998" s="1">
        <v>7.1875000000000003E-3</v>
      </c>
      <c r="I3998">
        <v>2018</v>
      </c>
      <c r="J3998" t="s">
        <v>48</v>
      </c>
      <c r="K3998" s="2" t="str">
        <f>HYPERLINK("https://www.nba.com/stats/events?CFID=&amp;CFPARAMS=&amp;GameEventID=19&amp;GameID=0021800909&amp;Season=2018-19&amp;flag=1&amp;title=Leonard%2010'%20Fadeaway%20Jumper%20(2%20PTS)%20(Lowry%201%20AST)", "Leonard 10' Fadeaway Jumper (2 PTS) (Lowry 1 AST)")</f>
        <v>Leonard 10' Fadeaway Jumper (2 PTS) (Lowry 1 AST)</v>
      </c>
      <c r="L3998" s="2" t="str">
        <f>HYPERLINK("https://www.nba.com/game/...-vs-...-0021800909/play-by-play?watchFullGame=true", "TOR vs BOS - Q1 10:21.00")</f>
        <v>TOR vs BOS - Q1 10:21.00</v>
      </c>
      <c r="M3998">
        <v>10</v>
      </c>
      <c r="N3998">
        <v>-98</v>
      </c>
      <c r="O3998">
        <v>6</v>
      </c>
      <c r="P3998">
        <v>-98</v>
      </c>
      <c r="Q3998">
        <v>6</v>
      </c>
      <c r="R3998" t="s">
        <v>21</v>
      </c>
      <c r="S3998" t="s">
        <v>21</v>
      </c>
    </row>
    <row r="3999" spans="1:19" hidden="1" x14ac:dyDescent="0.25">
      <c r="A3999">
        <v>21601170</v>
      </c>
      <c r="B3999" t="s">
        <v>18</v>
      </c>
      <c r="C3999" t="s">
        <v>19</v>
      </c>
      <c r="D3999">
        <v>2</v>
      </c>
      <c r="E3999">
        <v>2</v>
      </c>
      <c r="F3999">
        <v>0</v>
      </c>
      <c r="G3999">
        <v>1</v>
      </c>
      <c r="H3999" s="1">
        <v>7.4652777777777781E-3</v>
      </c>
      <c r="I3999">
        <v>2016</v>
      </c>
      <c r="J3999" t="s">
        <v>20</v>
      </c>
      <c r="K3999" s="2" t="str">
        <f>HYPERLINK("https://www.nba.com/stats/events?CFID=&amp;CFPARAMS=&amp;GameEventID=9&amp;GameID=0021601170&amp;Season=2016-17&amp;flag=1&amp;title=Leonard%2010'%20Jump%20Shot%20(2%20PTS)", "Leonard 10' Jump Shot (2 PTS)")</f>
        <v>Leonard 10' Jump Shot (2 PTS)</v>
      </c>
      <c r="L3999" s="2" t="str">
        <f>HYPERLINK("https://www.nba.com/game/...-vs-...-0021601170/play-by-play?watchFullGame=true", "SAS vs LAL - Q1 10:45.00")</f>
        <v>SAS vs LAL - Q1 10:45.00</v>
      </c>
      <c r="M3999">
        <v>10</v>
      </c>
      <c r="N3999">
        <v>-55</v>
      </c>
      <c r="O3999">
        <v>82</v>
      </c>
      <c r="P3999">
        <v>-55</v>
      </c>
      <c r="Q3999">
        <v>82</v>
      </c>
      <c r="R3999" t="s">
        <v>21</v>
      </c>
      <c r="S3999" t="s">
        <v>21</v>
      </c>
    </row>
    <row r="4000" spans="1:19" hidden="1" x14ac:dyDescent="0.25">
      <c r="A4000">
        <v>41600233</v>
      </c>
      <c r="B4000" t="s">
        <v>18</v>
      </c>
      <c r="C4000" t="s">
        <v>34</v>
      </c>
      <c r="D4000">
        <v>47</v>
      </c>
      <c r="E4000">
        <v>41</v>
      </c>
      <c r="F4000">
        <v>6</v>
      </c>
      <c r="G4000">
        <v>3</v>
      </c>
      <c r="H4000" s="1">
        <v>7.5231481481481477E-3</v>
      </c>
      <c r="I4000" t="s">
        <v>58</v>
      </c>
      <c r="J4000" t="s">
        <v>20</v>
      </c>
      <c r="K4000" s="2" t="str">
        <f>HYPERLINK("https://www.nba.com/stats/events?CFID=&amp;CFPARAMS=&amp;GameEventID=272&amp;GameID=0041600233&amp;Season=2016-17&amp;flag=1&amp;title=Leonard%2010'%20Turnaround%20Jump%20Shot%20(12%20PTS)", "Leonard 10' Turnaround Jump Shot (12 PTS)")</f>
        <v>Leonard 10' Turnaround Jump Shot (12 PTS)</v>
      </c>
      <c r="L4000" s="2" t="str">
        <f>HYPERLINK("https://www.nba.com/game/...-vs-...-0041600233/play-by-play?watchFullGame=true", "SAS vs HOU - Q3 10:50.00")</f>
        <v>SAS vs HOU - Q3 10:50.00</v>
      </c>
      <c r="M4000">
        <v>10</v>
      </c>
      <c r="N4000">
        <v>99</v>
      </c>
      <c r="O4000">
        <v>7</v>
      </c>
      <c r="P4000">
        <v>99</v>
      </c>
      <c r="Q4000">
        <v>7</v>
      </c>
      <c r="R4000" t="s">
        <v>21</v>
      </c>
      <c r="S4000" t="s">
        <v>21</v>
      </c>
    </row>
    <row r="4001" spans="1:19" hidden="1" x14ac:dyDescent="0.25">
      <c r="A4001">
        <v>21500939</v>
      </c>
      <c r="B4001" t="s">
        <v>18</v>
      </c>
      <c r="C4001" t="s">
        <v>34</v>
      </c>
      <c r="D4001">
        <v>2</v>
      </c>
      <c r="E4001">
        <v>0</v>
      </c>
      <c r="F4001">
        <v>2</v>
      </c>
      <c r="G4001">
        <v>1</v>
      </c>
      <c r="H4001" s="1">
        <v>7.7083333333333335E-3</v>
      </c>
      <c r="I4001">
        <v>2015</v>
      </c>
      <c r="J4001" t="s">
        <v>20</v>
      </c>
      <c r="K4001" s="2" t="str">
        <f>HYPERLINK("https://www.nba.com/stats/events?CFID=&amp;CFPARAMS=&amp;GameEventID=6&amp;GameID=0021500939&amp;Season=2015-16&amp;flag=1&amp;title=Leonard%2010'%20Turnaround%20Jump%20Shot%20(2%20PTS)", "Leonard 10' Turnaround Jump Shot (2 PTS)")</f>
        <v>Leonard 10' Turnaround Jump Shot (2 PTS)</v>
      </c>
      <c r="L4001" s="2" t="str">
        <f>HYPERLINK("https://www.nba.com/game/...-vs-...-0021500939/play-by-play?watchFullGame=true", "SAS vs IND - Q1 11:06.00")</f>
        <v>SAS vs IND - Q1 11:06.00</v>
      </c>
      <c r="M4001">
        <v>10</v>
      </c>
      <c r="N4001">
        <v>-74</v>
      </c>
      <c r="O4001">
        <v>70</v>
      </c>
      <c r="P4001">
        <v>-74</v>
      </c>
      <c r="Q4001">
        <v>70</v>
      </c>
      <c r="R4001" t="s">
        <v>21</v>
      </c>
      <c r="S4001" t="s">
        <v>21</v>
      </c>
    </row>
    <row r="4002" spans="1:19" hidden="1" x14ac:dyDescent="0.25">
      <c r="A4002">
        <v>21400354</v>
      </c>
      <c r="B4002" t="s">
        <v>18</v>
      </c>
      <c r="C4002" t="s">
        <v>19</v>
      </c>
      <c r="D4002">
        <v>73</v>
      </c>
      <c r="E4002">
        <v>63</v>
      </c>
      <c r="F4002">
        <v>10</v>
      </c>
      <c r="G4002">
        <v>4</v>
      </c>
      <c r="H4002" s="1">
        <v>7.7546296296296295E-3</v>
      </c>
      <c r="I4002">
        <v>2014</v>
      </c>
      <c r="J4002" t="s">
        <v>20</v>
      </c>
      <c r="K4002" s="2" t="str">
        <f>HYPERLINK("https://www.nba.com/stats/events?CFID=&amp;CFPARAMS=&amp;GameEventID=406&amp;GameID=0021400354&amp;Season=2014-15&amp;flag=1&amp;title=Leonard%2010'%20Jump%20Shot%20(14%20PTS)%20(Ginobili%206%20AST)", "Leonard 10' Jump Shot (14 PTS) (Ginobili 6 AST)")</f>
        <v>Leonard 10' Jump Shot (14 PTS) (Ginobili 6 AST)</v>
      </c>
      <c r="L4002" s="2" t="str">
        <f>HYPERLINK("https://www.nba.com/game/...-vs-...-0021400354/play-by-play?watchFullGame=true", "SAS vs DEN - Q4 11:10.00")</f>
        <v>SAS vs DEN - Q4 11:10.00</v>
      </c>
      <c r="M4002">
        <v>10</v>
      </c>
      <c r="N4002">
        <v>-103</v>
      </c>
      <c r="O4002">
        <v>4</v>
      </c>
      <c r="P4002">
        <v>-103</v>
      </c>
      <c r="Q4002">
        <v>4</v>
      </c>
      <c r="R4002" t="s">
        <v>21</v>
      </c>
      <c r="S4002" t="s">
        <v>21</v>
      </c>
    </row>
    <row r="4003" spans="1:19" hidden="1" x14ac:dyDescent="0.25">
      <c r="A4003">
        <v>21600053</v>
      </c>
      <c r="B4003" t="s">
        <v>18</v>
      </c>
      <c r="C4003" t="s">
        <v>59</v>
      </c>
      <c r="D4003">
        <v>52</v>
      </c>
      <c r="E4003">
        <v>54</v>
      </c>
      <c r="F4003">
        <v>2</v>
      </c>
      <c r="G4003">
        <v>3</v>
      </c>
      <c r="H4003" s="1">
        <v>7.858796296296296E-3</v>
      </c>
      <c r="I4003">
        <v>2016</v>
      </c>
      <c r="J4003" t="s">
        <v>20</v>
      </c>
      <c r="K4003" s="2" t="str">
        <f>HYPERLINK("https://www.nba.com/stats/events?CFID=&amp;CFPARAMS=&amp;GameEventID=242&amp;GameID=0021600053&amp;Season=2016-17&amp;flag=1&amp;title=Leonard%2010'%20Floating%20Jump%20Shot%20(20%20PTS)", "Leonard 10' Floating Jump Shot (20 PTS)")</f>
        <v>Leonard 10' Floating Jump Shot (20 PTS)</v>
      </c>
      <c r="L4003" s="2" t="str">
        <f>HYPERLINK("https://www.nba.com/game/...-vs-...-0021600053/play-by-play?watchFullGame=true", "SAS vs UTA - Q3 11:19.00")</f>
        <v>SAS vs UTA - Q3 11:19.00</v>
      </c>
      <c r="M4003">
        <v>10</v>
      </c>
      <c r="N4003">
        <v>33</v>
      </c>
      <c r="O4003">
        <v>97</v>
      </c>
      <c r="P4003">
        <v>33</v>
      </c>
      <c r="Q4003">
        <v>97</v>
      </c>
      <c r="R4003" t="s">
        <v>21</v>
      </c>
      <c r="S4003" t="s">
        <v>21</v>
      </c>
    </row>
    <row r="4004" spans="1:19" hidden="1" x14ac:dyDescent="0.25">
      <c r="A4004">
        <v>21800459</v>
      </c>
      <c r="B4004" t="s">
        <v>18</v>
      </c>
      <c r="C4004" t="s">
        <v>59</v>
      </c>
      <c r="D4004">
        <v>48</v>
      </c>
      <c r="E4004">
        <v>57</v>
      </c>
      <c r="F4004">
        <v>9</v>
      </c>
      <c r="G4004">
        <v>2</v>
      </c>
      <c r="H4004" s="1">
        <v>3.4953703703703704E-4</v>
      </c>
      <c r="I4004">
        <v>2018</v>
      </c>
      <c r="J4004" t="s">
        <v>48</v>
      </c>
      <c r="K4004" s="2" t="str">
        <f>HYPERLINK("https://www.nba.com/stats/events?CFID=&amp;CFPARAMS=&amp;GameEventID=327&amp;GameID=0021800459&amp;Season=2018-19&amp;flag=1&amp;title=Leonard%209'%20Floating%20Jump%20Shot%20(11%20PTS)%20(VanVleet%201%20AST)", "Leonard 9' Floating Jump Shot (11 PTS) (VanVleet 1 AST)")</f>
        <v>Leonard 9' Floating Jump Shot (11 PTS) (VanVleet 1 AST)</v>
      </c>
      <c r="L4004" s="2" t="str">
        <f>HYPERLINK("https://www.nba.com/game/...-vs-...-0021800459/play-by-play?watchFullGame=true", "TOR vs IND - Q2 00:30.20")</f>
        <v>TOR vs IND - Q2 00:30.20</v>
      </c>
      <c r="M4004">
        <v>9</v>
      </c>
      <c r="N4004">
        <v>42</v>
      </c>
      <c r="O4004">
        <v>84</v>
      </c>
      <c r="P4004">
        <v>42</v>
      </c>
      <c r="Q4004">
        <v>84</v>
      </c>
      <c r="R4004" t="s">
        <v>21</v>
      </c>
      <c r="S4004" t="s">
        <v>21</v>
      </c>
    </row>
    <row r="4005" spans="1:19" hidden="1" x14ac:dyDescent="0.25">
      <c r="A4005">
        <v>21600558</v>
      </c>
      <c r="B4005" t="s">
        <v>18</v>
      </c>
      <c r="C4005" t="s">
        <v>43</v>
      </c>
      <c r="D4005">
        <v>47</v>
      </c>
      <c r="E4005">
        <v>47</v>
      </c>
      <c r="F4005">
        <v>0</v>
      </c>
      <c r="G4005">
        <v>2</v>
      </c>
      <c r="H4005" s="1">
        <v>3.9120370370370367E-4</v>
      </c>
      <c r="I4005">
        <v>2016</v>
      </c>
      <c r="J4005" t="s">
        <v>20</v>
      </c>
      <c r="K4005" s="2" t="str">
        <f>HYPERLINK("https://www.nba.com/stats/events?CFID=&amp;CFPARAMS=&amp;GameEventID=227&amp;GameID=0021600558&amp;Season=2016-17&amp;flag=1&amp;title=Leonard%209'%20Driving%20Bank%20Shot%20(15%20PTS)", "Leonard 9' Driving Bank Shot (15 PTS)")</f>
        <v>Leonard 9' Driving Bank Shot (15 PTS)</v>
      </c>
      <c r="L4005" s="2" t="str">
        <f>HYPERLINK("https://www.nba.com/game/...-vs-...-0021600558/play-by-play?watchFullGame=true", "SAS vs CHA - Q2 00:33.80")</f>
        <v>SAS vs CHA - Q2 00:33.80</v>
      </c>
      <c r="M4005">
        <v>9</v>
      </c>
      <c r="N4005">
        <v>87</v>
      </c>
      <c r="O4005">
        <v>31</v>
      </c>
      <c r="P4005">
        <v>87</v>
      </c>
      <c r="Q4005">
        <v>31</v>
      </c>
      <c r="R4005" t="s">
        <v>21</v>
      </c>
      <c r="S4005" t="s">
        <v>21</v>
      </c>
    </row>
    <row r="4006" spans="1:19" hidden="1" x14ac:dyDescent="0.25">
      <c r="A4006">
        <v>21400774</v>
      </c>
      <c r="B4006" t="s">
        <v>18</v>
      </c>
      <c r="C4006" t="s">
        <v>34</v>
      </c>
      <c r="D4006">
        <v>47</v>
      </c>
      <c r="E4006">
        <v>45</v>
      </c>
      <c r="F4006">
        <v>2</v>
      </c>
      <c r="G4006">
        <v>2</v>
      </c>
      <c r="H4006" s="1">
        <v>4.3981481481481481E-4</v>
      </c>
      <c r="I4006">
        <v>2014</v>
      </c>
      <c r="J4006" t="s">
        <v>20</v>
      </c>
      <c r="K4006" s="2" t="str">
        <f>HYPERLINK("https://www.nba.com/stats/events?CFID=&amp;CFPARAMS=&amp;GameEventID=227&amp;GameID=0021400774&amp;Season=2014-15&amp;flag=1&amp;title=Leonard%209'%20Turnaround%20Jump%20Shot%20(7%20PTS)", "Leonard 9' Turnaround Jump Shot (7 PTS)")</f>
        <v>Leonard 9' Turnaround Jump Shot (7 PTS)</v>
      </c>
      <c r="L4006" s="2" t="str">
        <f>HYPERLINK("https://www.nba.com/game/...-vs-...-0021400774/play-by-play?watchFullGame=true", "SAS vs IND - Q2 00:38.00")</f>
        <v>SAS vs IND - Q2 00:38.00</v>
      </c>
      <c r="M4006">
        <v>9</v>
      </c>
      <c r="N4006">
        <v>-87</v>
      </c>
      <c r="O4006">
        <v>28</v>
      </c>
      <c r="P4006">
        <v>-87</v>
      </c>
      <c r="Q4006">
        <v>28</v>
      </c>
      <c r="R4006" t="s">
        <v>21</v>
      </c>
      <c r="S4006" t="s">
        <v>21</v>
      </c>
    </row>
    <row r="4007" spans="1:19" hidden="1" x14ac:dyDescent="0.25">
      <c r="A4007">
        <v>21400102</v>
      </c>
      <c r="B4007" t="s">
        <v>18</v>
      </c>
      <c r="C4007" t="s">
        <v>62</v>
      </c>
      <c r="D4007">
        <v>39</v>
      </c>
      <c r="E4007">
        <v>40</v>
      </c>
      <c r="F4007">
        <v>1</v>
      </c>
      <c r="G4007">
        <v>2</v>
      </c>
      <c r="H4007" s="1">
        <v>5.6250000000000007E-4</v>
      </c>
      <c r="I4007">
        <v>2014</v>
      </c>
      <c r="J4007" t="s">
        <v>20</v>
      </c>
      <c r="K4007" s="2" t="str">
        <f>HYPERLINK("https://www.nba.com/stats/events?CFID=&amp;CFPARAMS=&amp;GameEventID=222&amp;GameID=0021400102&amp;Season=2014-15&amp;flag=1&amp;title=Leonard%209'%20Jump%20Hook%20Shot%20(14%20PTS)", "Leonard 9' Jump Hook Shot (14 PTS)")</f>
        <v>Leonard 9' Jump Hook Shot (14 PTS)</v>
      </c>
      <c r="L4007" s="2" t="str">
        <f>HYPERLINK("https://www.nba.com/game/...-vs-...-0021400102/play-by-play?watchFullGame=true", "SAS vs LAC - Q2 00:48.60")</f>
        <v>SAS vs LAC - Q2 00:48.60</v>
      </c>
      <c r="M4007">
        <v>9</v>
      </c>
      <c r="N4007">
        <v>-2</v>
      </c>
      <c r="O4007">
        <v>85</v>
      </c>
      <c r="P4007">
        <v>-2</v>
      </c>
      <c r="Q4007">
        <v>85</v>
      </c>
      <c r="R4007" t="s">
        <v>21</v>
      </c>
      <c r="S4007" t="s">
        <v>21</v>
      </c>
    </row>
    <row r="4008" spans="1:19" hidden="1" x14ac:dyDescent="0.25">
      <c r="A4008">
        <v>21700502</v>
      </c>
      <c r="B4008" t="s">
        <v>18</v>
      </c>
      <c r="C4008" t="s">
        <v>39</v>
      </c>
      <c r="D4008">
        <v>107</v>
      </c>
      <c r="E4008">
        <v>95</v>
      </c>
      <c r="F4008">
        <v>12</v>
      </c>
      <c r="G4008">
        <v>4</v>
      </c>
      <c r="H4008" s="1">
        <v>1.1574074074074073E-3</v>
      </c>
      <c r="I4008">
        <v>2017</v>
      </c>
      <c r="J4008" t="s">
        <v>20</v>
      </c>
      <c r="K4008" s="2" t="str">
        <f>HYPERLINK("https://www.nba.com/stats/events?CFID=&amp;CFPARAMS=&amp;GameEventID=602&amp;GameID=0021700502&amp;Season=2017-18&amp;flag=1&amp;title=Leonard%209'%20Step%20Back%20Jump%20Shot%20(21%20PTS)", "Leonard 9' Step Back Jump Shot (21 PTS)")</f>
        <v>Leonard 9' Step Back Jump Shot (21 PTS)</v>
      </c>
      <c r="L4008" s="2" t="str">
        <f>HYPERLINK("https://www.nba.com/game/...-vs-...-0021700502/play-by-play?watchFullGame=true", "SAS vs BKN - Q4 01:40.00")</f>
        <v>SAS vs BKN - Q4 01:40.00</v>
      </c>
      <c r="M4008">
        <v>9</v>
      </c>
      <c r="N4008">
        <v>93</v>
      </c>
      <c r="O4008">
        <v>18</v>
      </c>
      <c r="P4008">
        <v>93</v>
      </c>
      <c r="Q4008">
        <v>18</v>
      </c>
      <c r="R4008" t="s">
        <v>21</v>
      </c>
      <c r="S4008" t="s">
        <v>21</v>
      </c>
    </row>
    <row r="4009" spans="1:19" hidden="1" x14ac:dyDescent="0.25">
      <c r="A4009">
        <v>21600134</v>
      </c>
      <c r="B4009" t="s">
        <v>18</v>
      </c>
      <c r="C4009" t="s">
        <v>42</v>
      </c>
      <c r="D4009">
        <v>22</v>
      </c>
      <c r="E4009">
        <v>15</v>
      </c>
      <c r="F4009">
        <v>7</v>
      </c>
      <c r="G4009">
        <v>1</v>
      </c>
      <c r="H4009" s="1">
        <v>1.238425925925926E-3</v>
      </c>
      <c r="I4009">
        <v>2016</v>
      </c>
      <c r="J4009" t="s">
        <v>20</v>
      </c>
      <c r="K4009" s="2" t="str">
        <f>HYPERLINK("https://www.nba.com/stats/events?CFID=&amp;CFPARAMS=&amp;GameEventID=101&amp;GameID=0021600134&amp;Season=2016-17&amp;flag=1&amp;title=Leonard%209'%20Driving%20Floating%20Jump%20Shot%20(10%20PTS)", "Leonard 9' Driving Floating Jump Shot (10 PTS)")</f>
        <v>Leonard 9' Driving Floating Jump Shot (10 PTS)</v>
      </c>
      <c r="L4009" s="2" t="str">
        <f>HYPERLINK("https://www.nba.com/game/...-vs-...-0021600134/play-by-play?watchFullGame=true", "SAS vs HOU - Q1 01:47.00")</f>
        <v>SAS vs HOU - Q1 01:47.00</v>
      </c>
      <c r="M4009">
        <v>9</v>
      </c>
      <c r="N4009">
        <v>27</v>
      </c>
      <c r="O4009">
        <v>82</v>
      </c>
      <c r="P4009">
        <v>27</v>
      </c>
      <c r="Q4009">
        <v>82</v>
      </c>
      <c r="R4009" t="s">
        <v>21</v>
      </c>
      <c r="S4009" t="s">
        <v>21</v>
      </c>
    </row>
    <row r="4010" spans="1:19" hidden="1" x14ac:dyDescent="0.25">
      <c r="A4010">
        <v>41400167</v>
      </c>
      <c r="B4010" t="s">
        <v>18</v>
      </c>
      <c r="C4010" t="s">
        <v>34</v>
      </c>
      <c r="D4010">
        <v>74</v>
      </c>
      <c r="E4010">
        <v>76</v>
      </c>
      <c r="F4010">
        <v>2</v>
      </c>
      <c r="G4010">
        <v>3</v>
      </c>
      <c r="H4010" s="1">
        <v>1.2847222222222223E-3</v>
      </c>
      <c r="I4010" t="s">
        <v>56</v>
      </c>
      <c r="J4010" t="s">
        <v>20</v>
      </c>
      <c r="K4010" s="2" t="str">
        <f>HYPERLINK("https://www.nba.com/stats/events?CFID=&amp;CFPARAMS=&amp;GameEventID=370&amp;GameID=0041400167&amp;Season=2014-15&amp;flag=1&amp;title=Leonard%209'%20Turnaround%20Jump%20Shot%20(11%20PTS)", "Leonard 9' Turnaround Jump Shot (11 PTS)")</f>
        <v>Leonard 9' Turnaround Jump Shot (11 PTS)</v>
      </c>
      <c r="L4010" s="2" t="str">
        <f>HYPERLINK("https://www.nba.com/game/...-vs-...-0041400167/play-by-play?watchFullGame=true", "SAS vs LAC - Q3 01:51.00")</f>
        <v>SAS vs LAC - Q3 01:51.00</v>
      </c>
      <c r="M4010">
        <v>9</v>
      </c>
      <c r="N4010">
        <v>0</v>
      </c>
      <c r="O4010">
        <v>86</v>
      </c>
      <c r="P4010">
        <v>0</v>
      </c>
      <c r="Q4010">
        <v>86</v>
      </c>
      <c r="R4010" t="s">
        <v>21</v>
      </c>
      <c r="S4010" t="s">
        <v>21</v>
      </c>
    </row>
    <row r="4011" spans="1:19" hidden="1" x14ac:dyDescent="0.25">
      <c r="A4011">
        <v>21400191</v>
      </c>
      <c r="B4011" t="s">
        <v>18</v>
      </c>
      <c r="C4011" t="s">
        <v>19</v>
      </c>
      <c r="D4011">
        <v>96</v>
      </c>
      <c r="E4011">
        <v>81</v>
      </c>
      <c r="F4011">
        <v>15</v>
      </c>
      <c r="G4011">
        <v>4</v>
      </c>
      <c r="H4011" s="1">
        <v>1.4120370370370369E-3</v>
      </c>
      <c r="I4011">
        <v>2014</v>
      </c>
      <c r="J4011" t="s">
        <v>20</v>
      </c>
      <c r="K4011" s="2" t="str">
        <f>HYPERLINK("https://www.nba.com/stats/events?CFID=&amp;CFPARAMS=&amp;GameEventID=438&amp;GameID=0021400191&amp;Season=2014-15&amp;flag=1&amp;title=Leonard%209'%20Jump%20Shot%20(20%20PTS)", "Leonard 9' Jump Shot (20 PTS)")</f>
        <v>Leonard 9' Jump Shot (20 PTS)</v>
      </c>
      <c r="L4011" s="2" t="str">
        <f>HYPERLINK("https://www.nba.com/game/...-vs-...-0021400191/play-by-play?watchFullGame=true", "SAS vs BKN - Q4 02:02.00")</f>
        <v>SAS vs BKN - Q4 02:02.00</v>
      </c>
      <c r="M4011">
        <v>9</v>
      </c>
      <c r="N4011">
        <v>86</v>
      </c>
      <c r="O4011">
        <v>11</v>
      </c>
      <c r="P4011">
        <v>86</v>
      </c>
      <c r="Q4011">
        <v>11</v>
      </c>
      <c r="R4011" t="s">
        <v>21</v>
      </c>
      <c r="S4011" t="s">
        <v>21</v>
      </c>
    </row>
    <row r="4012" spans="1:19" hidden="1" x14ac:dyDescent="0.25">
      <c r="A4012">
        <v>21600942</v>
      </c>
      <c r="B4012" t="s">
        <v>18</v>
      </c>
      <c r="C4012" t="s">
        <v>49</v>
      </c>
      <c r="D4012">
        <v>105</v>
      </c>
      <c r="E4012">
        <v>104</v>
      </c>
      <c r="F4012">
        <v>1</v>
      </c>
      <c r="G4012">
        <v>4</v>
      </c>
      <c r="H4012" s="1">
        <v>1.8634259259259259E-3</v>
      </c>
      <c r="I4012">
        <v>2016</v>
      </c>
      <c r="J4012" t="s">
        <v>20</v>
      </c>
      <c r="K4012" s="2" t="str">
        <f>HYPERLINK("https://www.nba.com/stats/events?CFID=&amp;CFPARAMS=&amp;GameEventID=472&amp;GameID=0021600942&amp;Season=2016-17&amp;flag=1&amp;title=Leonard%209'%20Driving%20Floating%20Bank%20Jump%20Shot%20(34%20PTS)%20(Parker%203%20AST)", "Leonard 9' Driving Floating Bank Jump Shot (34 PTS) (Parker 3 AST)")</f>
        <v>Leonard 9' Driving Floating Bank Jump Shot (34 PTS) (Parker 3 AST)</v>
      </c>
      <c r="L4012" s="2" t="str">
        <f>HYPERLINK("https://www.nba.com/game/...-vs-...-0021600942/play-by-play?watchFullGame=true", "SAS vs HOU - Q4 02:41.00")</f>
        <v>SAS vs HOU - Q4 02:41.00</v>
      </c>
      <c r="M4012">
        <v>9</v>
      </c>
      <c r="N4012">
        <v>86</v>
      </c>
      <c r="O4012">
        <v>38</v>
      </c>
      <c r="P4012">
        <v>86</v>
      </c>
      <c r="Q4012">
        <v>38</v>
      </c>
      <c r="R4012" t="s">
        <v>21</v>
      </c>
      <c r="S4012" t="s">
        <v>21</v>
      </c>
    </row>
    <row r="4013" spans="1:19" hidden="1" x14ac:dyDescent="0.25">
      <c r="A4013">
        <v>21301127</v>
      </c>
      <c r="B4013" t="s">
        <v>18</v>
      </c>
      <c r="C4013" t="s">
        <v>67</v>
      </c>
      <c r="D4013">
        <v>65</v>
      </c>
      <c r="E4013">
        <v>71</v>
      </c>
      <c r="F4013">
        <v>6</v>
      </c>
      <c r="G4013">
        <v>3</v>
      </c>
      <c r="H4013" s="1">
        <v>1.8981481481481482E-3</v>
      </c>
      <c r="I4013">
        <v>2013</v>
      </c>
      <c r="J4013" t="s">
        <v>20</v>
      </c>
      <c r="K4013" s="2" t="str">
        <f>HYPERLINK("https://www.nba.com/stats/events?CFID=&amp;CFPARAMS=&amp;GameEventID=358&amp;GameID=0021301127&amp;Season=2013-14&amp;flag=1&amp;title=Leonard%209'%20Turnaround%20Hook%20Shot%20(11%20PTS)", "Leonard 9' Turnaround Hook Shot (11 PTS)")</f>
        <v>Leonard 9' Turnaround Hook Shot (11 PTS)</v>
      </c>
      <c r="L4013" s="2" t="str">
        <f>HYPERLINK("https://www.nba.com/game/...-vs-...-0021301127/play-by-play?watchFullGame=true", "SAS vs OKC - Q3 02:44.00")</f>
        <v>SAS vs OKC - Q3 02:44.00</v>
      </c>
      <c r="M4013">
        <v>9</v>
      </c>
      <c r="N4013">
        <v>-60</v>
      </c>
      <c r="O4013">
        <v>63</v>
      </c>
      <c r="P4013">
        <v>-60</v>
      </c>
      <c r="Q4013">
        <v>63</v>
      </c>
      <c r="R4013" t="s">
        <v>21</v>
      </c>
      <c r="S4013" t="s">
        <v>21</v>
      </c>
    </row>
    <row r="4014" spans="1:19" hidden="1" x14ac:dyDescent="0.25">
      <c r="A4014">
        <v>21300382</v>
      </c>
      <c r="B4014" t="s">
        <v>18</v>
      </c>
      <c r="C4014" t="s">
        <v>61</v>
      </c>
      <c r="D4014">
        <v>100</v>
      </c>
      <c r="E4014">
        <v>97</v>
      </c>
      <c r="F4014">
        <v>3</v>
      </c>
      <c r="G4014">
        <v>4</v>
      </c>
      <c r="H4014" s="1">
        <v>1.9907407407407408E-3</v>
      </c>
      <c r="I4014">
        <v>2013</v>
      </c>
      <c r="J4014" t="s">
        <v>20</v>
      </c>
      <c r="K4014" s="2" t="str">
        <f>HYPERLINK("https://www.nba.com/stats/events?CFID=&amp;CFPARAMS=&amp;GameEventID=484&amp;GameID=0021300382&amp;Season=2013-14&amp;flag=1&amp;title=Leonard%209'%20Turnaround%20Bank%20Shot%20(21%20PTS)", "Leonard 9' Turnaround Bank Shot (21 PTS)")</f>
        <v>Leonard 9' Turnaround Bank Shot (21 PTS)</v>
      </c>
      <c r="L4014" s="2" t="str">
        <f>HYPERLINK("https://www.nba.com/game/...-vs-...-0021300382/play-by-play?watchFullGame=true", "SAS vs GSW - Q4 02:52.00")</f>
        <v>SAS vs GSW - Q4 02:52.00</v>
      </c>
      <c r="M4014">
        <v>9</v>
      </c>
      <c r="N4014">
        <v>-75</v>
      </c>
      <c r="O4014">
        <v>47</v>
      </c>
      <c r="P4014">
        <v>-75</v>
      </c>
      <c r="Q4014">
        <v>47</v>
      </c>
      <c r="R4014" t="s">
        <v>21</v>
      </c>
      <c r="S4014" t="s">
        <v>21</v>
      </c>
    </row>
    <row r="4015" spans="1:19" hidden="1" x14ac:dyDescent="0.25">
      <c r="A4015">
        <v>21600625</v>
      </c>
      <c r="B4015" t="s">
        <v>18</v>
      </c>
      <c r="C4015" t="s">
        <v>36</v>
      </c>
      <c r="D4015">
        <v>20</v>
      </c>
      <c r="E4015">
        <v>18</v>
      </c>
      <c r="F4015">
        <v>2</v>
      </c>
      <c r="G4015">
        <v>1</v>
      </c>
      <c r="H4015" s="1">
        <v>2.0023148148148148E-3</v>
      </c>
      <c r="I4015">
        <v>2016</v>
      </c>
      <c r="J4015" t="s">
        <v>20</v>
      </c>
      <c r="K4015" s="2" t="str">
        <f>HYPERLINK("https://www.nba.com/stats/events?CFID=&amp;CFPARAMS=&amp;GameEventID=84&amp;GameID=0021600625&amp;Season=2016-17&amp;flag=1&amp;title=Leonard%209'%20Pullup%20Jump%20Shot%20(4%20PTS)", "Leonard 9' Pullup Jump Shot (4 PTS)")</f>
        <v>Leonard 9' Pullup Jump Shot (4 PTS)</v>
      </c>
      <c r="L4015" s="2" t="str">
        <f>HYPERLINK("https://www.nba.com/game/...-vs-...-0021600625/play-by-play?watchFullGame=true", "SAS vs MIN - Q1 02:53.00")</f>
        <v>SAS vs MIN - Q1 02:53.00</v>
      </c>
      <c r="M4015">
        <v>9</v>
      </c>
      <c r="N4015">
        <v>81</v>
      </c>
      <c r="O4015">
        <v>47</v>
      </c>
      <c r="P4015">
        <v>81</v>
      </c>
      <c r="Q4015">
        <v>47</v>
      </c>
      <c r="R4015" t="s">
        <v>21</v>
      </c>
      <c r="S4015" t="s">
        <v>21</v>
      </c>
    </row>
    <row r="4016" spans="1:19" hidden="1" x14ac:dyDescent="0.25">
      <c r="A4016">
        <v>21600825</v>
      </c>
      <c r="B4016" t="s">
        <v>18</v>
      </c>
      <c r="C4016" t="s">
        <v>19</v>
      </c>
      <c r="D4016">
        <v>100</v>
      </c>
      <c r="E4016">
        <v>97</v>
      </c>
      <c r="F4016">
        <v>3</v>
      </c>
      <c r="G4016">
        <v>4</v>
      </c>
      <c r="H4016" s="1">
        <v>2.0370370370370369E-3</v>
      </c>
      <c r="I4016">
        <v>2016</v>
      </c>
      <c r="J4016" t="s">
        <v>20</v>
      </c>
      <c r="K4016" s="2" t="str">
        <f>HYPERLINK("https://www.nba.com/stats/events?CFID=&amp;CFPARAMS=&amp;GameEventID=486&amp;GameID=0021600825&amp;Season=2016-17&amp;flag=1&amp;title=Leonard%209'%20Jump%20Shot%20(31%20PTS)", "Leonard 9' Jump Shot (31 PTS)")</f>
        <v>Leonard 9' Jump Shot (31 PTS)</v>
      </c>
      <c r="L4016" s="2" t="str">
        <f>HYPERLINK("https://www.nba.com/game/...-vs-...-0021600825/play-by-play?watchFullGame=true", "SAS vs IND - Q4 02:56.00")</f>
        <v>SAS vs IND - Q4 02:56.00</v>
      </c>
      <c r="M4016">
        <v>9</v>
      </c>
      <c r="N4016">
        <v>-29</v>
      </c>
      <c r="O4016">
        <v>82</v>
      </c>
      <c r="P4016">
        <v>-29</v>
      </c>
      <c r="Q4016">
        <v>82</v>
      </c>
      <c r="R4016" t="s">
        <v>21</v>
      </c>
      <c r="S4016" t="s">
        <v>21</v>
      </c>
    </row>
    <row r="4017" spans="1:19" hidden="1" x14ac:dyDescent="0.25">
      <c r="A4017">
        <v>21500790</v>
      </c>
      <c r="B4017" t="s">
        <v>18</v>
      </c>
      <c r="C4017" t="s">
        <v>37</v>
      </c>
      <c r="D4017">
        <v>48</v>
      </c>
      <c r="E4017">
        <v>40</v>
      </c>
      <c r="F4017">
        <v>8</v>
      </c>
      <c r="G4017">
        <v>2</v>
      </c>
      <c r="H4017" s="1">
        <v>2.1296296296296298E-3</v>
      </c>
      <c r="I4017">
        <v>2015</v>
      </c>
      <c r="J4017" t="s">
        <v>20</v>
      </c>
      <c r="K4017" s="2" t="str">
        <f>HYPERLINK("https://www.nba.com/stats/events?CFID=&amp;CFPARAMS=&amp;GameEventID=213&amp;GameID=0021500790&amp;Season=2015-16&amp;flag=1&amp;title=Leonard%209'%20Fadeaway%20Jumper%20(13%20PTS)", "Leonard 9' Fadeaway Jumper (13 PTS)")</f>
        <v>Leonard 9' Fadeaway Jumper (13 PTS)</v>
      </c>
      <c r="L4017" s="2" t="str">
        <f>HYPERLINK("https://www.nba.com/game/...-vs-...-0021500790/play-by-play?watchFullGame=true", "SAS vs ORL - Q2 03:04.00")</f>
        <v>SAS vs ORL - Q2 03:04.00</v>
      </c>
      <c r="M4017">
        <v>9</v>
      </c>
      <c r="N4017">
        <v>69</v>
      </c>
      <c r="O4017">
        <v>52</v>
      </c>
      <c r="P4017">
        <v>69</v>
      </c>
      <c r="Q4017">
        <v>52</v>
      </c>
      <c r="R4017" t="s">
        <v>21</v>
      </c>
      <c r="S4017" t="s">
        <v>21</v>
      </c>
    </row>
    <row r="4018" spans="1:19" hidden="1" x14ac:dyDescent="0.25">
      <c r="A4018">
        <v>21800602</v>
      </c>
      <c r="B4018" t="s">
        <v>18</v>
      </c>
      <c r="C4018" t="s">
        <v>36</v>
      </c>
      <c r="D4018">
        <v>21</v>
      </c>
      <c r="E4018">
        <v>19</v>
      </c>
      <c r="F4018">
        <v>2</v>
      </c>
      <c r="G4018">
        <v>1</v>
      </c>
      <c r="H4018" s="1">
        <v>2.1527777777777778E-3</v>
      </c>
      <c r="I4018">
        <v>2018</v>
      </c>
      <c r="J4018" t="s">
        <v>48</v>
      </c>
      <c r="K4018" s="2" t="str">
        <f>HYPERLINK("https://www.nba.com/stats/events?CFID=&amp;CFPARAMS=&amp;GameEventID=117&amp;GameID=0021800602&amp;Season=2018-19&amp;flag=1&amp;title=Leonard%209'%20Pullup%20Jump%20Shot%20(9%20PTS)%20(Wright%201%20AST)", "Leonard 9' Pullup Jump Shot (9 PTS) (Wright 1 AST)")</f>
        <v>Leonard 9' Pullup Jump Shot (9 PTS) (Wright 1 AST)</v>
      </c>
      <c r="L4018" s="2" t="str">
        <f>HYPERLINK("https://www.nba.com/game/...-vs-...-0021800602/play-by-play?watchFullGame=true", "TOR vs ATL - Q1 03:06.00")</f>
        <v>TOR vs ATL - Q1 03:06.00</v>
      </c>
      <c r="M4018">
        <v>9</v>
      </c>
      <c r="N4018">
        <v>79</v>
      </c>
      <c r="O4018">
        <v>52</v>
      </c>
      <c r="P4018">
        <v>79</v>
      </c>
      <c r="Q4018">
        <v>52</v>
      </c>
      <c r="R4018" t="s">
        <v>21</v>
      </c>
      <c r="S4018" t="s">
        <v>21</v>
      </c>
    </row>
    <row r="4019" spans="1:19" hidden="1" x14ac:dyDescent="0.25">
      <c r="A4019">
        <v>41200406</v>
      </c>
      <c r="B4019" t="s">
        <v>18</v>
      </c>
      <c r="C4019" t="s">
        <v>19</v>
      </c>
      <c r="D4019">
        <v>99</v>
      </c>
      <c r="E4019">
        <v>97</v>
      </c>
      <c r="F4019">
        <v>2</v>
      </c>
      <c r="G4019">
        <v>5</v>
      </c>
      <c r="H4019" s="1">
        <v>2.1759259259259258E-3</v>
      </c>
      <c r="I4019" t="s">
        <v>53</v>
      </c>
      <c r="J4019" t="s">
        <v>20</v>
      </c>
      <c r="K4019" s="2" t="str">
        <f>HYPERLINK("https://www.nba.com/stats/events?CFID=&amp;CFPARAMS=&amp;GameEventID=535&amp;GameID=0041200406&amp;Season=2012-13&amp;flag=1&amp;title=Leonard%209'%20Jump%20Shot%20(22%20PTS)%20(Diaw%202%20AST)", "Leonard 9' Jump Shot (22 PTS) (Diaw 2 AST)")</f>
        <v>Leonard 9' Jump Shot (22 PTS) (Diaw 2 AST)</v>
      </c>
      <c r="L4019" s="2" t="str">
        <f>HYPERLINK("https://www.nba.com/game/...-vs-...-0041200406/play-by-play?watchFullGame=true", "SAS vs MIA - Q5 03:08.00")</f>
        <v>SAS vs MIA - Q5 03:08.00</v>
      </c>
      <c r="M4019">
        <v>9</v>
      </c>
      <c r="N4019">
        <v>70</v>
      </c>
      <c r="O4019">
        <v>63</v>
      </c>
      <c r="P4019">
        <v>70</v>
      </c>
      <c r="Q4019">
        <v>63</v>
      </c>
      <c r="R4019" t="s">
        <v>21</v>
      </c>
      <c r="S4019" t="s">
        <v>21</v>
      </c>
    </row>
    <row r="4020" spans="1:19" hidden="1" x14ac:dyDescent="0.25">
      <c r="A4020">
        <v>21500379</v>
      </c>
      <c r="B4020" t="s">
        <v>18</v>
      </c>
      <c r="C4020" t="s">
        <v>59</v>
      </c>
      <c r="D4020">
        <v>21</v>
      </c>
      <c r="E4020">
        <v>20</v>
      </c>
      <c r="F4020">
        <v>1</v>
      </c>
      <c r="G4020">
        <v>1</v>
      </c>
      <c r="H4020" s="1">
        <v>2.2685185185185187E-3</v>
      </c>
      <c r="I4020">
        <v>2015</v>
      </c>
      <c r="J4020" t="s">
        <v>20</v>
      </c>
      <c r="K4020" s="2" t="str">
        <f>HYPERLINK("https://www.nba.com/stats/events?CFID=&amp;CFPARAMS=&amp;GameEventID=75&amp;GameID=0021500379&amp;Season=2015-16&amp;flag=1&amp;title=Leonard%209'%20Floating%20Jump%20Shot%20(9%20PTS)", "Leonard 9' Floating Jump Shot (9 PTS)")</f>
        <v>Leonard 9' Floating Jump Shot (9 PTS)</v>
      </c>
      <c r="L4020" s="2" t="str">
        <f>HYPERLINK("https://www.nba.com/game/...-vs-...-0021500379/play-by-play?watchFullGame=true", "SAS vs WAS - Q1 03:16.00")</f>
        <v>SAS vs WAS - Q1 03:16.00</v>
      </c>
      <c r="M4020">
        <v>9</v>
      </c>
      <c r="N4020">
        <v>53</v>
      </c>
      <c r="O4020">
        <v>72</v>
      </c>
      <c r="P4020">
        <v>53</v>
      </c>
      <c r="Q4020">
        <v>72</v>
      </c>
      <c r="R4020" t="s">
        <v>21</v>
      </c>
      <c r="S4020" t="s">
        <v>21</v>
      </c>
    </row>
    <row r="4021" spans="1:19" hidden="1" x14ac:dyDescent="0.25">
      <c r="A4021">
        <v>21500872</v>
      </c>
      <c r="B4021" t="s">
        <v>18</v>
      </c>
      <c r="C4021" t="s">
        <v>39</v>
      </c>
      <c r="D4021">
        <v>16</v>
      </c>
      <c r="E4021">
        <v>9</v>
      </c>
      <c r="F4021">
        <v>7</v>
      </c>
      <c r="G4021">
        <v>1</v>
      </c>
      <c r="H4021" s="1">
        <v>2.4074074074074076E-3</v>
      </c>
      <c r="I4021">
        <v>2015</v>
      </c>
      <c r="J4021" t="s">
        <v>20</v>
      </c>
      <c r="K4021" s="2" t="str">
        <f>HYPERLINK("https://www.nba.com/stats/events?CFID=&amp;CFPARAMS=&amp;GameEventID=73&amp;GameID=0021500872&amp;Season=2015-16&amp;flag=1&amp;title=Leonard%209'%20Step%20Back%20Jump%20Shot%20(6%20PTS)", "Leonard 9' Step Back Jump Shot (6 PTS)")</f>
        <v>Leonard 9' Step Back Jump Shot (6 PTS)</v>
      </c>
      <c r="L4021" s="2" t="str">
        <f>HYPERLINK("https://www.nba.com/game/...-vs-...-0021500872/play-by-play?watchFullGame=true", "SAS vs HOU - Q1 03:28.00")</f>
        <v>SAS vs HOU - Q1 03:28.00</v>
      </c>
      <c r="M4021">
        <v>9</v>
      </c>
      <c r="N4021">
        <v>-91</v>
      </c>
      <c r="O4021">
        <v>2</v>
      </c>
      <c r="P4021">
        <v>-91</v>
      </c>
      <c r="Q4021">
        <v>2</v>
      </c>
      <c r="R4021" t="s">
        <v>21</v>
      </c>
      <c r="S4021" t="s">
        <v>21</v>
      </c>
    </row>
    <row r="4022" spans="1:19" hidden="1" x14ac:dyDescent="0.25">
      <c r="A4022">
        <v>21500784</v>
      </c>
      <c r="B4022" t="s">
        <v>18</v>
      </c>
      <c r="C4022" t="s">
        <v>19</v>
      </c>
      <c r="D4022">
        <v>44</v>
      </c>
      <c r="E4022">
        <v>43</v>
      </c>
      <c r="F4022">
        <v>1</v>
      </c>
      <c r="G4022">
        <v>2</v>
      </c>
      <c r="H4022" s="1">
        <v>2.4537037037037036E-3</v>
      </c>
      <c r="I4022">
        <v>2015</v>
      </c>
      <c r="J4022" t="s">
        <v>20</v>
      </c>
      <c r="K4022" s="2" t="str">
        <f>HYPERLINK("https://www.nba.com/stats/events?CFID=&amp;CFPARAMS=&amp;GameEventID=216&amp;GameID=0021500784&amp;Season=2015-16&amp;flag=1&amp;title=Leonard%209'%20Jump%20Shot%20(6%20PTS)%20(Parker%203%20AST)", "Leonard 9' Jump Shot (6 PTS) (Parker 3 AST)")</f>
        <v>Leonard 9' Jump Shot (6 PTS) (Parker 3 AST)</v>
      </c>
      <c r="L4022" s="2" t="str">
        <f>HYPERLINK("https://www.nba.com/game/...-vs-...-0021500784/play-by-play?watchFullGame=true", "SAS vs MIA - Q2 03:32.00")</f>
        <v>SAS vs MIA - Q2 03:32.00</v>
      </c>
      <c r="M4022">
        <v>9</v>
      </c>
      <c r="N4022">
        <v>-94</v>
      </c>
      <c r="O4022">
        <v>0</v>
      </c>
      <c r="P4022">
        <v>-94</v>
      </c>
      <c r="Q4022">
        <v>0</v>
      </c>
      <c r="R4022" t="s">
        <v>21</v>
      </c>
      <c r="S4022" t="s">
        <v>21</v>
      </c>
    </row>
    <row r="4023" spans="1:19" hidden="1" x14ac:dyDescent="0.25">
      <c r="A4023">
        <v>21600454</v>
      </c>
      <c r="B4023" t="s">
        <v>18</v>
      </c>
      <c r="C4023" t="s">
        <v>37</v>
      </c>
      <c r="D4023">
        <v>105</v>
      </c>
      <c r="E4023">
        <v>87</v>
      </c>
      <c r="F4023">
        <v>18</v>
      </c>
      <c r="G4023">
        <v>4</v>
      </c>
      <c r="H4023" s="1">
        <v>2.5231481481481481E-3</v>
      </c>
      <c r="I4023">
        <v>2016</v>
      </c>
      <c r="J4023" t="s">
        <v>20</v>
      </c>
      <c r="K4023" s="2" t="str">
        <f>HYPERLINK("https://www.nba.com/stats/events?CFID=&amp;CFPARAMS=&amp;GameEventID=473&amp;GameID=0021600454&amp;Season=2016-17&amp;flag=1&amp;title=Leonard%209'%20Fadeaway%20Jumper%20(33%20PTS)", "Leonard 9' Fadeaway Jumper (33 PTS)")</f>
        <v>Leonard 9' Fadeaway Jumper (33 PTS)</v>
      </c>
      <c r="L4023" s="2" t="str">
        <f>HYPERLINK("https://www.nba.com/game/...-vs-...-0021600454/play-by-play?watchFullGame=true", "SAS vs POR - Q4 03:38.00")</f>
        <v>SAS vs POR - Q4 03:38.00</v>
      </c>
      <c r="M4023">
        <v>9</v>
      </c>
      <c r="N4023">
        <v>89</v>
      </c>
      <c r="O4023">
        <v>11</v>
      </c>
      <c r="P4023">
        <v>89</v>
      </c>
      <c r="Q4023">
        <v>11</v>
      </c>
      <c r="R4023" t="s">
        <v>21</v>
      </c>
      <c r="S4023" t="s">
        <v>21</v>
      </c>
    </row>
    <row r="4024" spans="1:19" hidden="1" x14ac:dyDescent="0.25">
      <c r="A4024">
        <v>21500123</v>
      </c>
      <c r="B4024" t="s">
        <v>18</v>
      </c>
      <c r="C4024" t="s">
        <v>38</v>
      </c>
      <c r="D4024">
        <v>47</v>
      </c>
      <c r="E4024">
        <v>37</v>
      </c>
      <c r="F4024">
        <v>10</v>
      </c>
      <c r="G4024">
        <v>2</v>
      </c>
      <c r="H4024" s="1">
        <v>2.627314814814815E-3</v>
      </c>
      <c r="I4024">
        <v>2015</v>
      </c>
      <c r="J4024" t="s">
        <v>20</v>
      </c>
      <c r="K4024" s="2" t="str">
        <f>HYPERLINK("https://www.nba.com/stats/events?CFID=&amp;CFPARAMS=&amp;GameEventID=181&amp;GameID=0021500123&amp;Season=2015-16&amp;flag=1&amp;title=Leonard%209'%20Turnaround%20Fadeaway%20(11%20PTS)", "Leonard 9' Turnaround Fadeaway (11 PTS)")</f>
        <v>Leonard 9' Turnaround Fadeaway (11 PTS)</v>
      </c>
      <c r="L4024" s="2" t="str">
        <f>HYPERLINK("https://www.nba.com/game/...-vs-...-0021500123/play-by-play?watchFullGame=true", "SAS vs POR - Q2 03:47.00")</f>
        <v>SAS vs POR - Q2 03:47.00</v>
      </c>
      <c r="M4024">
        <v>9</v>
      </c>
      <c r="N4024">
        <v>86</v>
      </c>
      <c r="O4024">
        <v>16</v>
      </c>
      <c r="P4024">
        <v>86</v>
      </c>
      <c r="Q4024">
        <v>16</v>
      </c>
      <c r="R4024" t="s">
        <v>21</v>
      </c>
      <c r="S4024" t="s">
        <v>21</v>
      </c>
    </row>
    <row r="4025" spans="1:19" hidden="1" x14ac:dyDescent="0.25">
      <c r="A4025">
        <v>21600825</v>
      </c>
      <c r="B4025" t="s">
        <v>18</v>
      </c>
      <c r="C4025" t="s">
        <v>45</v>
      </c>
      <c r="D4025">
        <v>17</v>
      </c>
      <c r="E4025">
        <v>20</v>
      </c>
      <c r="F4025">
        <v>3</v>
      </c>
      <c r="G4025">
        <v>1</v>
      </c>
      <c r="H4025" s="1">
        <v>2.662037037037037E-3</v>
      </c>
      <c r="I4025">
        <v>2016</v>
      </c>
      <c r="J4025" t="s">
        <v>20</v>
      </c>
      <c r="K4025" s="2" t="str">
        <f>HYPERLINK("https://www.nba.com/stats/events?CFID=&amp;CFPARAMS=&amp;GameEventID=67&amp;GameID=0021600825&amp;Season=2016-17&amp;flag=1&amp;title=Leonard%209'%20Pullup%20Bank%20Shot%20(7%20PTS)", "Leonard 9' Pullup Bank Shot (7 PTS)")</f>
        <v>Leonard 9' Pullup Bank Shot (7 PTS)</v>
      </c>
      <c r="L4025" s="2" t="str">
        <f>HYPERLINK("https://www.nba.com/game/...-vs-...-0021600825/play-by-play?watchFullGame=true", "SAS vs IND - Q1 03:50.00")</f>
        <v>SAS vs IND - Q1 03:50.00</v>
      </c>
      <c r="M4025">
        <v>9</v>
      </c>
      <c r="N4025">
        <v>87</v>
      </c>
      <c r="O4025">
        <v>26</v>
      </c>
      <c r="P4025">
        <v>87</v>
      </c>
      <c r="Q4025">
        <v>26</v>
      </c>
      <c r="R4025" t="s">
        <v>21</v>
      </c>
      <c r="S4025" t="s">
        <v>21</v>
      </c>
    </row>
    <row r="4026" spans="1:19" hidden="1" x14ac:dyDescent="0.25">
      <c r="A4026">
        <v>21600639</v>
      </c>
      <c r="B4026" t="s">
        <v>18</v>
      </c>
      <c r="C4026" t="s">
        <v>36</v>
      </c>
      <c r="D4026">
        <v>45</v>
      </c>
      <c r="E4026">
        <v>41</v>
      </c>
      <c r="F4026">
        <v>4</v>
      </c>
      <c r="G4026">
        <v>2</v>
      </c>
      <c r="H4026" s="1">
        <v>2.685185185185185E-3</v>
      </c>
      <c r="I4026">
        <v>2016</v>
      </c>
      <c r="J4026" t="s">
        <v>20</v>
      </c>
      <c r="K4026" s="2" t="str">
        <f>HYPERLINK("https://www.nba.com/stats/events?CFID=&amp;CFPARAMS=&amp;GameEventID=208&amp;GameID=0021600639&amp;Season=2016-17&amp;flag=1&amp;title=Leonard%209'%20Pullup%20Jump%20Shot%20(11%20PTS)", "Leonard 9' Pullup Jump Shot (11 PTS)")</f>
        <v>Leonard 9' Pullup Jump Shot (11 PTS)</v>
      </c>
      <c r="L4026" s="2" t="str">
        <f>HYPERLINK("https://www.nba.com/game/...-vs-...-0021600639/play-by-play?watchFullGame=true", "SAS vs DEN - Q2 03:52.00")</f>
        <v>SAS vs DEN - Q2 03:52.00</v>
      </c>
      <c r="M4026">
        <v>9</v>
      </c>
      <c r="N4026">
        <v>82</v>
      </c>
      <c r="O4026">
        <v>36</v>
      </c>
      <c r="P4026">
        <v>82</v>
      </c>
      <c r="Q4026">
        <v>36</v>
      </c>
      <c r="R4026" t="s">
        <v>21</v>
      </c>
      <c r="S4026" t="s">
        <v>21</v>
      </c>
    </row>
    <row r="4027" spans="1:19" hidden="1" x14ac:dyDescent="0.25">
      <c r="A4027">
        <v>41600232</v>
      </c>
      <c r="B4027" t="s">
        <v>18</v>
      </c>
      <c r="C4027" t="s">
        <v>36</v>
      </c>
      <c r="D4027">
        <v>56</v>
      </c>
      <c r="E4027">
        <v>48</v>
      </c>
      <c r="F4027">
        <v>8</v>
      </c>
      <c r="G4027">
        <v>2</v>
      </c>
      <c r="H4027" s="1">
        <v>2.8124999999999999E-3</v>
      </c>
      <c r="I4027" t="s">
        <v>58</v>
      </c>
      <c r="J4027" t="s">
        <v>20</v>
      </c>
      <c r="K4027" s="2" t="str">
        <f>HYPERLINK("https://www.nba.com/stats/events?CFID=&amp;CFPARAMS=&amp;GameEventID=169&amp;GameID=0041600232&amp;Season=2016-17&amp;flag=1&amp;title=Leonard%209'%20Pullup%20Jump%20Shot%20(16%20PTS)", "Leonard 9' Pullup Jump Shot (16 PTS)")</f>
        <v>Leonard 9' Pullup Jump Shot (16 PTS)</v>
      </c>
      <c r="L4027" s="2" t="str">
        <f>HYPERLINK("https://www.nba.com/game/...-vs-...-0041600232/play-by-play?watchFullGame=true", "SAS vs HOU - Q2 04:03.00")</f>
        <v>SAS vs HOU - Q2 04:03.00</v>
      </c>
      <c r="M4027">
        <v>9</v>
      </c>
      <c r="N4027">
        <v>4</v>
      </c>
      <c r="O4027">
        <v>85</v>
      </c>
      <c r="P4027">
        <v>4</v>
      </c>
      <c r="Q4027">
        <v>85</v>
      </c>
      <c r="R4027" t="s">
        <v>21</v>
      </c>
      <c r="S4027" t="s">
        <v>21</v>
      </c>
    </row>
    <row r="4028" spans="1:19" hidden="1" x14ac:dyDescent="0.25">
      <c r="A4028">
        <v>21500439</v>
      </c>
      <c r="B4028" t="s">
        <v>18</v>
      </c>
      <c r="C4028" t="s">
        <v>59</v>
      </c>
      <c r="D4028">
        <v>56</v>
      </c>
      <c r="E4028">
        <v>57</v>
      </c>
      <c r="F4028">
        <v>1</v>
      </c>
      <c r="G4028">
        <v>3</v>
      </c>
      <c r="H4028" s="1">
        <v>2.8356481481481483E-3</v>
      </c>
      <c r="I4028">
        <v>2015</v>
      </c>
      <c r="J4028" t="s">
        <v>20</v>
      </c>
      <c r="K4028" s="2" t="str">
        <f>HYPERLINK("https://www.nba.com/stats/events?CFID=&amp;CFPARAMS=&amp;GameEventID=326&amp;GameID=0021500439&amp;Season=2015-16&amp;flag=1&amp;title=Leonard%209'%20Floating%20Jump%20Shot%20(15%20PTS)%20(Diaw%201%20AST)", "Leonard 9' Floating Jump Shot (15 PTS) (Diaw 1 AST)")</f>
        <v>Leonard 9' Floating Jump Shot (15 PTS) (Diaw 1 AST)</v>
      </c>
      <c r="L4028" s="2" t="str">
        <f>HYPERLINK("https://www.nba.com/game/...-vs-...-0021500439/play-by-play?watchFullGame=true", "SAS vs HOU - Q3 04:05.00")</f>
        <v>SAS vs HOU - Q3 04:05.00</v>
      </c>
      <c r="M4028">
        <v>9</v>
      </c>
      <c r="N4028">
        <v>81</v>
      </c>
      <c r="O4028">
        <v>26</v>
      </c>
      <c r="P4028">
        <v>81</v>
      </c>
      <c r="Q4028">
        <v>26</v>
      </c>
      <c r="R4028" t="s">
        <v>21</v>
      </c>
      <c r="S4028" t="s">
        <v>21</v>
      </c>
    </row>
    <row r="4029" spans="1:19" hidden="1" x14ac:dyDescent="0.25">
      <c r="A4029">
        <v>21600168</v>
      </c>
      <c r="B4029" t="s">
        <v>18</v>
      </c>
      <c r="C4029" t="s">
        <v>37</v>
      </c>
      <c r="D4029">
        <v>46</v>
      </c>
      <c r="E4029">
        <v>38</v>
      </c>
      <c r="F4029">
        <v>8</v>
      </c>
      <c r="G4029">
        <v>2</v>
      </c>
      <c r="H4029" s="1">
        <v>2.9166666666666668E-3</v>
      </c>
      <c r="I4029">
        <v>2016</v>
      </c>
      <c r="J4029" t="s">
        <v>20</v>
      </c>
      <c r="K4029" s="2" t="str">
        <f>HYPERLINK("https://www.nba.com/stats/events?CFID=&amp;CFPARAMS=&amp;GameEventID=181&amp;GameID=0021600168&amp;Season=2016-17&amp;flag=1&amp;title=Leonard%209'%20Fadeaway%20Jumper%20(8%20PTS)", "Leonard 9' Fadeaway Jumper (8 PTS)")</f>
        <v>Leonard 9' Fadeaway Jumper (8 PTS)</v>
      </c>
      <c r="L4029" s="2" t="str">
        <f>HYPERLINK("https://www.nba.com/game/...-vs-...-0021600168/play-by-play?watchFullGame=true", "SAS vs SAC - Q2 04:12.00")</f>
        <v>SAS vs SAC - Q2 04:12.00</v>
      </c>
      <c r="M4029">
        <v>9</v>
      </c>
      <c r="N4029">
        <v>92</v>
      </c>
      <c r="O4029">
        <v>8</v>
      </c>
      <c r="P4029">
        <v>92</v>
      </c>
      <c r="Q4029">
        <v>8</v>
      </c>
      <c r="R4029" t="s">
        <v>21</v>
      </c>
      <c r="S4029" t="s">
        <v>21</v>
      </c>
    </row>
    <row r="4030" spans="1:19" hidden="1" x14ac:dyDescent="0.25">
      <c r="A4030">
        <v>21800842</v>
      </c>
      <c r="B4030" t="s">
        <v>18</v>
      </c>
      <c r="C4030" t="s">
        <v>67</v>
      </c>
      <c r="D4030">
        <v>83</v>
      </c>
      <c r="E4030">
        <v>79</v>
      </c>
      <c r="F4030">
        <v>4</v>
      </c>
      <c r="G4030">
        <v>3</v>
      </c>
      <c r="H4030" s="1">
        <v>2.9629629629629628E-3</v>
      </c>
      <c r="I4030">
        <v>2018</v>
      </c>
      <c r="J4030" t="s">
        <v>48</v>
      </c>
      <c r="K4030" s="2" t="str">
        <f>HYPERLINK("https://www.nba.com/stats/events?CFID=&amp;CFPARAMS=&amp;GameEventID=385&amp;GameID=0021800842&amp;Season=2018-19&amp;flag=1&amp;title=Leonard%209'%20Turnaround%20Hook%20Shot%20(19%20PTS)", "Leonard 9' Turnaround Hook Shot (19 PTS)")</f>
        <v>Leonard 9' Turnaround Hook Shot (19 PTS)</v>
      </c>
      <c r="L4030" s="2" t="str">
        <f>HYPERLINK("https://www.nba.com/game/...-vs-...-0021800842/play-by-play?watchFullGame=true", "TOR vs BKN - Q3 04:16.00")</f>
        <v>TOR vs BKN - Q3 04:16.00</v>
      </c>
      <c r="M4030">
        <v>9</v>
      </c>
      <c r="N4030">
        <v>42</v>
      </c>
      <c r="O4030">
        <v>75</v>
      </c>
      <c r="P4030">
        <v>42</v>
      </c>
      <c r="Q4030">
        <v>75</v>
      </c>
      <c r="R4030" t="s">
        <v>21</v>
      </c>
      <c r="S4030" t="s">
        <v>21</v>
      </c>
    </row>
    <row r="4031" spans="1:19" hidden="1" x14ac:dyDescent="0.25">
      <c r="A4031">
        <v>21501215</v>
      </c>
      <c r="B4031" t="s">
        <v>18</v>
      </c>
      <c r="C4031" t="s">
        <v>36</v>
      </c>
      <c r="D4031">
        <v>95</v>
      </c>
      <c r="E4031">
        <v>93</v>
      </c>
      <c r="F4031">
        <v>2</v>
      </c>
      <c r="G4031">
        <v>5</v>
      </c>
      <c r="H4031" s="1">
        <v>2.9745370370370373E-3</v>
      </c>
      <c r="I4031">
        <v>2015</v>
      </c>
      <c r="J4031" t="s">
        <v>20</v>
      </c>
      <c r="K4031" s="2" t="str">
        <f>HYPERLINK("https://www.nba.com/stats/events?CFID=&amp;CFPARAMS=&amp;GameEventID=524&amp;GameID=0021501215&amp;Season=2015-16&amp;flag=1&amp;title=Leonard%209'%20Pullup%20Jump%20Shot%20(22%20PTS)", "Leonard 9' Pullup Jump Shot (22 PTS)")</f>
        <v>Leonard 9' Pullup Jump Shot (22 PTS)</v>
      </c>
      <c r="L4031" s="2" t="str">
        <f>HYPERLINK("https://www.nba.com/game/...-vs-...-0021501215/play-by-play?watchFullGame=true", "SAS vs OKC - Q5 04:17.00")</f>
        <v>SAS vs OKC - Q5 04:17.00</v>
      </c>
      <c r="M4031">
        <v>9</v>
      </c>
      <c r="N4031">
        <v>84</v>
      </c>
      <c r="O4031">
        <v>31</v>
      </c>
      <c r="P4031">
        <v>84</v>
      </c>
      <c r="Q4031">
        <v>31</v>
      </c>
      <c r="R4031" t="s">
        <v>21</v>
      </c>
      <c r="S4031" t="s">
        <v>21</v>
      </c>
    </row>
    <row r="4032" spans="1:19" hidden="1" x14ac:dyDescent="0.25">
      <c r="A4032">
        <v>41800211</v>
      </c>
      <c r="B4032" t="s">
        <v>18</v>
      </c>
      <c r="C4032" t="s">
        <v>42</v>
      </c>
      <c r="D4032">
        <v>107</v>
      </c>
      <c r="E4032">
        <v>87</v>
      </c>
      <c r="F4032">
        <v>20</v>
      </c>
      <c r="G4032">
        <v>4</v>
      </c>
      <c r="H4032" s="1">
        <v>2.9745370370370373E-3</v>
      </c>
      <c r="I4032" t="s">
        <v>60</v>
      </c>
      <c r="J4032" t="s">
        <v>48</v>
      </c>
      <c r="K4032" s="2" t="str">
        <f>HYPERLINK("https://www.nba.com/stats/events?CFID=&amp;CFPARAMS=&amp;GameEventID=581&amp;GameID=0041800211&amp;Season=2018-19&amp;flag=1&amp;title=Leonard%209'%20Driving%20Floating%20Jump%20Shot%20(45%20PTS)", "Leonard 9' Driving Floating Jump Shot (45 PTS)")</f>
        <v>Leonard 9' Driving Floating Jump Shot (45 PTS)</v>
      </c>
      <c r="L4032" s="2" t="str">
        <f>HYPERLINK("https://www.nba.com/game/...-vs-...-0041800211/play-by-play?watchFullGame=true", "TOR vs PHI - Q4 04:17.00")</f>
        <v>TOR vs PHI - Q4 04:17.00</v>
      </c>
      <c r="M4032">
        <v>9</v>
      </c>
      <c r="N4032">
        <v>91</v>
      </c>
      <c r="O4032">
        <v>12</v>
      </c>
      <c r="P4032">
        <v>91</v>
      </c>
      <c r="Q4032">
        <v>12</v>
      </c>
      <c r="R4032" t="s">
        <v>21</v>
      </c>
      <c r="S4032" t="s">
        <v>21</v>
      </c>
    </row>
    <row r="4033" spans="1:19" hidden="1" x14ac:dyDescent="0.25">
      <c r="A4033">
        <v>21800658</v>
      </c>
      <c r="B4033" t="s">
        <v>18</v>
      </c>
      <c r="C4033" t="s">
        <v>49</v>
      </c>
      <c r="D4033">
        <v>103</v>
      </c>
      <c r="E4033">
        <v>100</v>
      </c>
      <c r="F4033">
        <v>3</v>
      </c>
      <c r="G4033">
        <v>4</v>
      </c>
      <c r="H4033" s="1">
        <v>3.0324074074074073E-3</v>
      </c>
      <c r="I4033">
        <v>2018</v>
      </c>
      <c r="J4033" t="s">
        <v>48</v>
      </c>
      <c r="K4033" s="2" t="str">
        <f>HYPERLINK("https://www.nba.com/stats/events?CFID=&amp;CFPARAMS=&amp;GameEventID=583&amp;GameID=0021800658&amp;Season=2018-19&amp;flag=1&amp;title=Leonard%209'%20Driving%20Floating%20Bank%20Jump%20Shot%20(32%20PTS)", "Leonard 9' Driving Floating Bank Jump Shot (32 PTS)")</f>
        <v>Leonard 9' Driving Floating Bank Jump Shot (32 PTS)</v>
      </c>
      <c r="L4033" s="2" t="str">
        <f>HYPERLINK("https://www.nba.com/game/...-vs-...-0021800658/play-by-play?watchFullGame=true", "TOR vs BOS - Q4 04:22.00")</f>
        <v>TOR vs BOS - Q4 04:22.00</v>
      </c>
      <c r="M4033">
        <v>9</v>
      </c>
      <c r="N4033">
        <v>87</v>
      </c>
      <c r="O4033">
        <v>33</v>
      </c>
      <c r="P4033">
        <v>87</v>
      </c>
      <c r="Q4033">
        <v>33</v>
      </c>
      <c r="R4033" t="s">
        <v>21</v>
      </c>
      <c r="S4033" t="s">
        <v>21</v>
      </c>
    </row>
    <row r="4034" spans="1:19" hidden="1" x14ac:dyDescent="0.25">
      <c r="A4034">
        <v>21800930</v>
      </c>
      <c r="B4034" t="s">
        <v>18</v>
      </c>
      <c r="C4034" t="s">
        <v>36</v>
      </c>
      <c r="D4034">
        <v>48</v>
      </c>
      <c r="E4034">
        <v>43</v>
      </c>
      <c r="F4034">
        <v>5</v>
      </c>
      <c r="G4034">
        <v>2</v>
      </c>
      <c r="H4034" s="1">
        <v>3.0555555555555557E-3</v>
      </c>
      <c r="I4034">
        <v>2018</v>
      </c>
      <c r="J4034" t="s">
        <v>48</v>
      </c>
      <c r="K4034" s="2" t="str">
        <f>HYPERLINK("https://www.nba.com/stats/events?CFID=&amp;CFPARAMS=&amp;GameEventID=249&amp;GameID=0021800930&amp;Season=2018-19&amp;flag=1&amp;title=Leonard%209'%20Pullup%20Jump%20Shot%20(16%20PTS)", "Leonard 9' Pullup Jump Shot (16 PTS)")</f>
        <v>Leonard 9' Pullup Jump Shot (16 PTS)</v>
      </c>
      <c r="L4034" s="2" t="str">
        <f>HYPERLINK("https://www.nba.com/game/...-vs-...-0021800930/play-by-play?watchFullGame=true", "TOR vs POR - Q2 04:24.00")</f>
        <v>TOR vs POR - Q2 04:24.00</v>
      </c>
      <c r="M4034">
        <v>9</v>
      </c>
      <c r="N4034">
        <v>89</v>
      </c>
      <c r="O4034">
        <v>4</v>
      </c>
      <c r="P4034">
        <v>89</v>
      </c>
      <c r="Q4034">
        <v>4</v>
      </c>
      <c r="R4034" t="s">
        <v>21</v>
      </c>
      <c r="S4034" t="s">
        <v>21</v>
      </c>
    </row>
    <row r="4035" spans="1:19" hidden="1" x14ac:dyDescent="0.25">
      <c r="A4035">
        <v>21501036</v>
      </c>
      <c r="B4035" t="s">
        <v>18</v>
      </c>
      <c r="C4035" t="s">
        <v>29</v>
      </c>
      <c r="D4035">
        <v>35</v>
      </c>
      <c r="E4035">
        <v>28</v>
      </c>
      <c r="F4035">
        <v>7</v>
      </c>
      <c r="G4035">
        <v>2</v>
      </c>
      <c r="H4035" s="1">
        <v>3.0671296296296297E-3</v>
      </c>
      <c r="I4035">
        <v>2015</v>
      </c>
      <c r="J4035" t="s">
        <v>20</v>
      </c>
      <c r="K4035" s="2" t="str">
        <f>HYPERLINK("https://www.nba.com/stats/events?CFID=&amp;CFPARAMS=&amp;GameEventID=201&amp;GameID=0021501036&amp;Season=2015-16&amp;flag=1&amp;title=Leonard%209'%20Jump%20Bank%20Shot%20(7%20PTS)", "Leonard 9' Jump Bank Shot (7 PTS)")</f>
        <v>Leonard 9' Jump Bank Shot (7 PTS)</v>
      </c>
      <c r="L4035" s="2" t="str">
        <f>HYPERLINK("https://www.nba.com/game/...-vs-...-0021501036/play-by-play?watchFullGame=true", "SAS vs GSW - Q2 04:25.00")</f>
        <v>SAS vs GSW - Q2 04:25.00</v>
      </c>
      <c r="M4035">
        <v>9</v>
      </c>
      <c r="N4035">
        <v>66</v>
      </c>
      <c r="O4035">
        <v>65</v>
      </c>
      <c r="P4035">
        <v>66</v>
      </c>
      <c r="Q4035">
        <v>65</v>
      </c>
      <c r="R4035" t="s">
        <v>21</v>
      </c>
      <c r="S4035" t="s">
        <v>21</v>
      </c>
    </row>
    <row r="4036" spans="1:19" hidden="1" x14ac:dyDescent="0.25">
      <c r="A4036">
        <v>21600412</v>
      </c>
      <c r="B4036" t="s">
        <v>18</v>
      </c>
      <c r="C4036" t="s">
        <v>34</v>
      </c>
      <c r="D4036">
        <v>46</v>
      </c>
      <c r="E4036">
        <v>44</v>
      </c>
      <c r="F4036">
        <v>2</v>
      </c>
      <c r="G4036">
        <v>2</v>
      </c>
      <c r="H4036" s="1">
        <v>3.1134259259259257E-3</v>
      </c>
      <c r="I4036">
        <v>2016</v>
      </c>
      <c r="J4036" t="s">
        <v>20</v>
      </c>
      <c r="K4036" s="2" t="str">
        <f>HYPERLINK("https://www.nba.com/stats/events?CFID=&amp;CFPARAMS=&amp;GameEventID=208&amp;GameID=0021600412&amp;Season=2016-17&amp;flag=1&amp;title=Leonard%209'%20Turnaround%20Jump%20Shot%20(11%20PTS)", "Leonard 9' Turnaround Jump Shot (11 PTS)")</f>
        <v>Leonard 9' Turnaround Jump Shot (11 PTS)</v>
      </c>
      <c r="L4036" s="2" t="str">
        <f>HYPERLINK("https://www.nba.com/game/...-vs-...-0021600412/play-by-play?watchFullGame=true", "SAS vs NOP - Q2 04:29.00")</f>
        <v>SAS vs NOP - Q2 04:29.00</v>
      </c>
      <c r="M4036">
        <v>9</v>
      </c>
      <c r="N4036">
        <v>50</v>
      </c>
      <c r="O4036">
        <v>70</v>
      </c>
      <c r="P4036">
        <v>50</v>
      </c>
      <c r="Q4036">
        <v>70</v>
      </c>
      <c r="R4036" t="s">
        <v>21</v>
      </c>
      <c r="S4036" t="s">
        <v>21</v>
      </c>
    </row>
    <row r="4037" spans="1:19" hidden="1" x14ac:dyDescent="0.25">
      <c r="A4037">
        <v>21401039</v>
      </c>
      <c r="B4037" t="s">
        <v>18</v>
      </c>
      <c r="C4037" t="s">
        <v>19</v>
      </c>
      <c r="D4037">
        <v>24</v>
      </c>
      <c r="E4037">
        <v>6</v>
      </c>
      <c r="F4037">
        <v>18</v>
      </c>
      <c r="G4037">
        <v>1</v>
      </c>
      <c r="H4037" s="1">
        <v>3.1250000000000002E-3</v>
      </c>
      <c r="I4037">
        <v>2014</v>
      </c>
      <c r="J4037" t="s">
        <v>20</v>
      </c>
      <c r="K4037" s="2" t="str">
        <f>HYPERLINK("https://www.nba.com/stats/events?CFID=&amp;CFPARAMS=&amp;GameEventID=50&amp;GameID=0021401039&amp;Season=2014-15&amp;flag=1&amp;title=Leonard%209'%20Jump%20Shot%20(8%20PTS)", "Leonard 9' Jump Shot (8 PTS)")</f>
        <v>Leonard 9' Jump Shot (8 PTS)</v>
      </c>
      <c r="L4037" s="2" t="str">
        <f>HYPERLINK("https://www.nba.com/game/...-vs-...-0021401039/play-by-play?watchFullGame=true", "SAS vs ATL - Q1 04:30.00")</f>
        <v>SAS vs ATL - Q1 04:30.00</v>
      </c>
      <c r="M4037">
        <v>9</v>
      </c>
      <c r="N4037">
        <v>-11</v>
      </c>
      <c r="O4037">
        <v>93</v>
      </c>
      <c r="P4037">
        <v>-11</v>
      </c>
      <c r="Q4037">
        <v>93</v>
      </c>
      <c r="R4037" t="s">
        <v>21</v>
      </c>
      <c r="S4037" t="s">
        <v>21</v>
      </c>
    </row>
    <row r="4038" spans="1:19" hidden="1" x14ac:dyDescent="0.25">
      <c r="A4038">
        <v>21601033</v>
      </c>
      <c r="B4038" t="s">
        <v>18</v>
      </c>
      <c r="C4038" t="s">
        <v>38</v>
      </c>
      <c r="D4038">
        <v>61</v>
      </c>
      <c r="E4038">
        <v>61</v>
      </c>
      <c r="F4038">
        <v>0</v>
      </c>
      <c r="G4038">
        <v>3</v>
      </c>
      <c r="H4038" s="1">
        <v>3.2407407407407406E-3</v>
      </c>
      <c r="I4038">
        <v>2016</v>
      </c>
      <c r="J4038" t="s">
        <v>20</v>
      </c>
      <c r="K4038" s="2" t="str">
        <f>HYPERLINK("https://www.nba.com/stats/events?CFID=&amp;CFPARAMS=&amp;GameEventID=332&amp;GameID=0021601033&amp;Season=2016-17&amp;flag=1&amp;title=Leonard%209'%20Turnaround%20Fadeaway%20(16%20PTS)", "Leonard 9' Turnaround Fadeaway (16 PTS)")</f>
        <v>Leonard 9' Turnaround Fadeaway (16 PTS)</v>
      </c>
      <c r="L4038" s="2" t="str">
        <f>HYPERLINK("https://www.nba.com/game/...-vs-...-0021601033/play-by-play?watchFullGame=true", "SAS vs MEM - Q3 04:40.00")</f>
        <v>SAS vs MEM - Q3 04:40.00</v>
      </c>
      <c r="M4038">
        <v>9</v>
      </c>
      <c r="N4038">
        <v>-37</v>
      </c>
      <c r="O4038">
        <v>80</v>
      </c>
      <c r="P4038">
        <v>-37</v>
      </c>
      <c r="Q4038">
        <v>80</v>
      </c>
      <c r="R4038" t="s">
        <v>21</v>
      </c>
      <c r="S4038" t="s">
        <v>21</v>
      </c>
    </row>
    <row r="4039" spans="1:19" hidden="1" x14ac:dyDescent="0.25">
      <c r="A4039">
        <v>21801110</v>
      </c>
      <c r="B4039" t="s">
        <v>18</v>
      </c>
      <c r="C4039" t="s">
        <v>38</v>
      </c>
      <c r="D4039">
        <v>45</v>
      </c>
      <c r="E4039">
        <v>33</v>
      </c>
      <c r="F4039">
        <v>12</v>
      </c>
      <c r="G4039">
        <v>2</v>
      </c>
      <c r="H4039" s="1">
        <v>3.2523148148148147E-3</v>
      </c>
      <c r="I4039">
        <v>2018</v>
      </c>
      <c r="J4039" t="s">
        <v>48</v>
      </c>
      <c r="K4039" s="2" t="str">
        <f>HYPERLINK("https://www.nba.com/stats/events?CFID=&amp;CFPARAMS=&amp;GameEventID=260&amp;GameID=0021801110&amp;Season=2018-19&amp;flag=1&amp;title=Leonard%209'%20Turnaround%20Fadeaway%20(2%20PTS)", "Leonard 9' Turnaround Fadeaway (2 PTS)")</f>
        <v>Leonard 9' Turnaround Fadeaway (2 PTS)</v>
      </c>
      <c r="L4039" s="2" t="str">
        <f>HYPERLINK("https://www.nba.com/game/...-vs-...-0021801110/play-by-play?watchFullGame=true", "TOR vs CHI - Q2 04:41.00")</f>
        <v>TOR vs CHI - Q2 04:41.00</v>
      </c>
      <c r="M4039">
        <v>9</v>
      </c>
      <c r="N4039">
        <v>79</v>
      </c>
      <c r="O4039">
        <v>47</v>
      </c>
      <c r="P4039">
        <v>79</v>
      </c>
      <c r="Q4039">
        <v>47</v>
      </c>
      <c r="R4039" t="s">
        <v>21</v>
      </c>
      <c r="S4039" t="s">
        <v>21</v>
      </c>
    </row>
    <row r="4040" spans="1:19" hidden="1" x14ac:dyDescent="0.25">
      <c r="A4040">
        <v>21400964</v>
      </c>
      <c r="B4040" t="s">
        <v>18</v>
      </c>
      <c r="C4040" t="s">
        <v>61</v>
      </c>
      <c r="D4040">
        <v>112</v>
      </c>
      <c r="E4040">
        <v>110</v>
      </c>
      <c r="F4040">
        <v>2</v>
      </c>
      <c r="G4040">
        <v>5</v>
      </c>
      <c r="H4040" s="1">
        <v>3.2638888888888891E-3</v>
      </c>
      <c r="I4040">
        <v>2014</v>
      </c>
      <c r="J4040" t="s">
        <v>20</v>
      </c>
      <c r="K4040" s="2" t="str">
        <f>HYPERLINK("https://www.nba.com/stats/events?CFID=&amp;CFPARAMS=&amp;GameEventID=521&amp;GameID=0021400964&amp;Season=2014-15&amp;flag=1&amp;title=Leonard%209'%20Turnaround%20Bank%20Shot%20(24%20PTS)", "Leonard 9' Turnaround Bank Shot (24 PTS)")</f>
        <v>Leonard 9' Turnaround Bank Shot (24 PTS)</v>
      </c>
      <c r="L4040" s="2" t="str">
        <f>HYPERLINK("https://www.nba.com/game/...-vs-...-0021400964/play-by-play?watchFullGame=true", "SAS vs CLE - Q5 04:42.00")</f>
        <v>SAS vs CLE - Q5 04:42.00</v>
      </c>
      <c r="M4040">
        <v>9</v>
      </c>
      <c r="N4040">
        <v>86</v>
      </c>
      <c r="O4040">
        <v>-3</v>
      </c>
      <c r="P4040">
        <v>86</v>
      </c>
      <c r="Q4040">
        <v>-3</v>
      </c>
      <c r="R4040" t="s">
        <v>21</v>
      </c>
      <c r="S4040" t="s">
        <v>21</v>
      </c>
    </row>
    <row r="4041" spans="1:19" hidden="1" x14ac:dyDescent="0.25">
      <c r="A4041">
        <v>21401181</v>
      </c>
      <c r="B4041" t="s">
        <v>18</v>
      </c>
      <c r="C4041" t="s">
        <v>38</v>
      </c>
      <c r="D4041">
        <v>62</v>
      </c>
      <c r="E4041">
        <v>64</v>
      </c>
      <c r="F4041">
        <v>2</v>
      </c>
      <c r="G4041">
        <v>3</v>
      </c>
      <c r="H4041" s="1">
        <v>3.3564814814814816E-3</v>
      </c>
      <c r="I4041">
        <v>2014</v>
      </c>
      <c r="J4041" t="s">
        <v>20</v>
      </c>
      <c r="K4041" s="2" t="str">
        <f>HYPERLINK("https://www.nba.com/stats/events?CFID=&amp;CFPARAMS=&amp;GameEventID=343&amp;GameID=0021401181&amp;Season=2014-15&amp;flag=1&amp;title=Leonard%209'%20Turnaround%20Fadeaway%20(12%20PTS)", "Leonard 9' Turnaround Fadeaway (12 PTS)")</f>
        <v>Leonard 9' Turnaround Fadeaway (12 PTS)</v>
      </c>
      <c r="L4041" s="2" t="str">
        <f>HYPERLINK("https://www.nba.com/game/...-vs-...-0021401181/play-by-play?watchFullGame=true", "SAS vs HOU - Q3 04:50.00")</f>
        <v>SAS vs HOU - Q3 04:50.00</v>
      </c>
      <c r="M4041">
        <v>9</v>
      </c>
      <c r="N4041">
        <v>89</v>
      </c>
      <c r="O4041">
        <v>22</v>
      </c>
      <c r="P4041">
        <v>89</v>
      </c>
      <c r="Q4041">
        <v>22</v>
      </c>
      <c r="R4041" t="s">
        <v>21</v>
      </c>
      <c r="S4041" t="s">
        <v>21</v>
      </c>
    </row>
    <row r="4042" spans="1:19" hidden="1" x14ac:dyDescent="0.25">
      <c r="A4042">
        <v>21800316</v>
      </c>
      <c r="B4042" t="s">
        <v>18</v>
      </c>
      <c r="C4042" t="s">
        <v>38</v>
      </c>
      <c r="D4042">
        <v>85</v>
      </c>
      <c r="E4042">
        <v>72</v>
      </c>
      <c r="F4042">
        <v>13</v>
      </c>
      <c r="G4042">
        <v>3</v>
      </c>
      <c r="H4042" s="1">
        <v>3.3796296296296296E-3</v>
      </c>
      <c r="I4042">
        <v>2018</v>
      </c>
      <c r="J4042" t="s">
        <v>48</v>
      </c>
      <c r="K4042" s="2" t="str">
        <f>HYPERLINK("https://www.nba.com/stats/events?CFID=&amp;CFPARAMS=&amp;GameEventID=422&amp;GameID=0021800316&amp;Season=2018-19&amp;flag=1&amp;title=Leonard%209'%20Turnaround%20Fadeaway%20(31%20PTS)", "Leonard 9' Turnaround Fadeaway (31 PTS)")</f>
        <v>Leonard 9' Turnaround Fadeaway (31 PTS)</v>
      </c>
      <c r="L4042" s="2" t="str">
        <f>HYPERLINK("https://www.nba.com/game/...-vs-...-0021800316/play-by-play?watchFullGame=true", "TOR vs GSW - Q3 04:52.00")</f>
        <v>TOR vs GSW - Q3 04:52.00</v>
      </c>
      <c r="M4042">
        <v>9</v>
      </c>
      <c r="N4042">
        <v>-9</v>
      </c>
      <c r="O4042">
        <v>89</v>
      </c>
      <c r="P4042">
        <v>-9</v>
      </c>
      <c r="Q4042">
        <v>89</v>
      </c>
      <c r="R4042" t="s">
        <v>21</v>
      </c>
      <c r="S4042" t="s">
        <v>21</v>
      </c>
    </row>
    <row r="4043" spans="1:19" hidden="1" x14ac:dyDescent="0.25">
      <c r="A4043">
        <v>21600994</v>
      </c>
      <c r="B4043" t="s">
        <v>18</v>
      </c>
      <c r="C4043" t="s">
        <v>36</v>
      </c>
      <c r="D4043">
        <v>71</v>
      </c>
      <c r="E4043">
        <v>61</v>
      </c>
      <c r="F4043">
        <v>10</v>
      </c>
      <c r="G4043">
        <v>3</v>
      </c>
      <c r="H4043" s="1">
        <v>3.4027777777777776E-3</v>
      </c>
      <c r="I4043">
        <v>2016</v>
      </c>
      <c r="J4043" t="s">
        <v>20</v>
      </c>
      <c r="K4043" s="2" t="str">
        <f>HYPERLINK("https://www.nba.com/stats/events?CFID=&amp;CFPARAMS=&amp;GameEventID=344&amp;GameID=0021600994&amp;Season=2016-17&amp;flag=1&amp;title=Leonard%209'%20Pullup%20Jump%20Shot%20(23%20PTS)%20(Mills%207%20AST)", "Leonard 9' Pullup Jump Shot (23 PTS) (Mills 7 AST)")</f>
        <v>Leonard 9' Pullup Jump Shot (23 PTS) (Mills 7 AST)</v>
      </c>
      <c r="L4043" s="2" t="str">
        <f>HYPERLINK("https://www.nba.com/game/...-vs-...-0021600994/play-by-play?watchFullGame=true", "SAS vs ATL - Q3 04:54.00")</f>
        <v>SAS vs ATL - Q3 04:54.00</v>
      </c>
      <c r="M4043">
        <v>9</v>
      </c>
      <c r="N4043">
        <v>33</v>
      </c>
      <c r="O4043">
        <v>85</v>
      </c>
      <c r="P4043">
        <v>33</v>
      </c>
      <c r="Q4043">
        <v>85</v>
      </c>
      <c r="R4043" t="s">
        <v>21</v>
      </c>
      <c r="S4043" t="s">
        <v>21</v>
      </c>
    </row>
    <row r="4044" spans="1:19" hidden="1" x14ac:dyDescent="0.25">
      <c r="A4044">
        <v>21401200</v>
      </c>
      <c r="B4044" t="s">
        <v>18</v>
      </c>
      <c r="C4044" t="s">
        <v>73</v>
      </c>
      <c r="D4044">
        <v>101</v>
      </c>
      <c r="E4044">
        <v>79</v>
      </c>
      <c r="F4044">
        <v>22</v>
      </c>
      <c r="G4044">
        <v>4</v>
      </c>
      <c r="H4044" s="1">
        <v>3.5532407407407409E-3</v>
      </c>
      <c r="I4044">
        <v>2014</v>
      </c>
      <c r="J4044" t="s">
        <v>20</v>
      </c>
      <c r="K4044" s="2" t="str">
        <f>HYPERLINK("https://www.nba.com/stats/events?CFID=&amp;CFPARAMS=&amp;GameEventID=489&amp;GameID=0021401200&amp;Season=2014-15&amp;flag=1&amp;title=Leonard%209'%20Running%20Bank%20Shot%20(16%20PTS)", "Leonard 9' Running Bank Shot (16 PTS)")</f>
        <v>Leonard 9' Running Bank Shot (16 PTS)</v>
      </c>
      <c r="L4044" s="2" t="str">
        <f>HYPERLINK("https://www.nba.com/game/...-vs-...-0021401200/play-by-play?watchFullGame=true", "SAS vs PHX - Q4 05:07.00")</f>
        <v>SAS vs PHX - Q4 05:07.00</v>
      </c>
      <c r="M4044">
        <v>9</v>
      </c>
      <c r="N4044">
        <v>-87</v>
      </c>
      <c r="O4044">
        <v>11</v>
      </c>
      <c r="P4044">
        <v>-87</v>
      </c>
      <c r="Q4044">
        <v>11</v>
      </c>
      <c r="R4044" t="s">
        <v>21</v>
      </c>
      <c r="S4044" t="s">
        <v>21</v>
      </c>
    </row>
    <row r="4045" spans="1:19" hidden="1" x14ac:dyDescent="0.25">
      <c r="A4045">
        <v>21800930</v>
      </c>
      <c r="B4045" t="s">
        <v>18</v>
      </c>
      <c r="C4045" t="s">
        <v>37</v>
      </c>
      <c r="D4045">
        <v>101</v>
      </c>
      <c r="E4045">
        <v>96</v>
      </c>
      <c r="F4045">
        <v>5</v>
      </c>
      <c r="G4045">
        <v>4</v>
      </c>
      <c r="H4045" s="1">
        <v>3.6226851851851854E-3</v>
      </c>
      <c r="I4045">
        <v>2018</v>
      </c>
      <c r="J4045" t="s">
        <v>48</v>
      </c>
      <c r="K4045" s="2" t="str">
        <f>HYPERLINK("https://www.nba.com/stats/events?CFID=&amp;CFPARAMS=&amp;GameEventID=560&amp;GameID=0021800930&amp;Season=2018-19&amp;flag=1&amp;title=Leonard%209'%20Fadeaway%20Jumper%20(27%20PTS)", "Leonard 9' Fadeaway Jumper (27 PTS)")</f>
        <v>Leonard 9' Fadeaway Jumper (27 PTS)</v>
      </c>
      <c r="L4045" s="2" t="str">
        <f>HYPERLINK("https://www.nba.com/game/...-vs-...-0021800930/play-by-play?watchFullGame=true", "TOR vs POR - Q4 05:13.00")</f>
        <v>TOR vs POR - Q4 05:13.00</v>
      </c>
      <c r="M4045">
        <v>9</v>
      </c>
      <c r="N4045">
        <v>42</v>
      </c>
      <c r="O4045">
        <v>75</v>
      </c>
      <c r="P4045">
        <v>42</v>
      </c>
      <c r="Q4045">
        <v>75</v>
      </c>
      <c r="R4045" t="s">
        <v>21</v>
      </c>
      <c r="S4045" t="s">
        <v>21</v>
      </c>
    </row>
    <row r="4046" spans="1:19" hidden="1" x14ac:dyDescent="0.25">
      <c r="A4046">
        <v>41600155</v>
      </c>
      <c r="B4046" t="s">
        <v>18</v>
      </c>
      <c r="C4046" t="s">
        <v>36</v>
      </c>
      <c r="D4046">
        <v>102</v>
      </c>
      <c r="E4046">
        <v>95</v>
      </c>
      <c r="F4046">
        <v>7</v>
      </c>
      <c r="G4046">
        <v>4</v>
      </c>
      <c r="H4046" s="1">
        <v>3.7037037037037038E-3</v>
      </c>
      <c r="I4046" t="s">
        <v>58</v>
      </c>
      <c r="J4046" t="s">
        <v>20</v>
      </c>
      <c r="K4046" s="2" t="str">
        <f>HYPERLINK("https://www.nba.com/stats/events?CFID=&amp;CFPARAMS=&amp;GameEventID=409&amp;GameID=0041600155&amp;Season=2016-17&amp;flag=1&amp;title=Leonard%209'%20Pullup%20Jump%20Shot%20(24%20PTS)%20(Mills%201%20AST)", "Leonard 9' Pullup Jump Shot (24 PTS) (Mills 1 AST)")</f>
        <v>Leonard 9' Pullup Jump Shot (24 PTS) (Mills 1 AST)</v>
      </c>
      <c r="L4046" s="2" t="str">
        <f>HYPERLINK("https://www.nba.com/game/...-vs-...-0041600155/play-by-play?watchFullGame=true", "SAS vs MEM - Q4 05:20.00")</f>
        <v>SAS vs MEM - Q4 05:20.00</v>
      </c>
      <c r="M4046">
        <v>9</v>
      </c>
      <c r="N4046">
        <v>-4</v>
      </c>
      <c r="O4046">
        <v>85</v>
      </c>
      <c r="P4046">
        <v>-4</v>
      </c>
      <c r="Q4046">
        <v>85</v>
      </c>
      <c r="R4046" t="s">
        <v>21</v>
      </c>
      <c r="S4046" t="s">
        <v>21</v>
      </c>
    </row>
    <row r="4047" spans="1:19" hidden="1" x14ac:dyDescent="0.25">
      <c r="A4047">
        <v>21400867</v>
      </c>
      <c r="B4047" t="s">
        <v>18</v>
      </c>
      <c r="C4047" t="s">
        <v>19</v>
      </c>
      <c r="D4047">
        <v>12</v>
      </c>
      <c r="E4047">
        <v>20</v>
      </c>
      <c r="F4047">
        <v>8</v>
      </c>
      <c r="G4047">
        <v>1</v>
      </c>
      <c r="H4047" s="1">
        <v>3.9236111111111112E-3</v>
      </c>
      <c r="I4047">
        <v>2014</v>
      </c>
      <c r="J4047" t="s">
        <v>20</v>
      </c>
      <c r="K4047" s="2" t="str">
        <f>HYPERLINK("https://www.nba.com/stats/events?CFID=&amp;CFPARAMS=&amp;GameEventID=59&amp;GameID=0021400867&amp;Season=2014-15&amp;flag=1&amp;title=Leonard%209'%20Jump%20Shot%20(7%20PTS)", "Leonard 9' Jump Shot (7 PTS)")</f>
        <v>Leonard 9' Jump Shot (7 PTS)</v>
      </c>
      <c r="L4047" s="2" t="str">
        <f>HYPERLINK("https://www.nba.com/game/...-vs-...-0021400867/play-by-play?watchFullGame=true", "SAS vs SAC - Q1 05:39.00")</f>
        <v>SAS vs SAC - Q1 05:39.00</v>
      </c>
      <c r="M4047">
        <v>9</v>
      </c>
      <c r="N4047">
        <v>83</v>
      </c>
      <c r="O4047">
        <v>41</v>
      </c>
      <c r="P4047">
        <v>83</v>
      </c>
      <c r="Q4047">
        <v>41</v>
      </c>
      <c r="R4047" t="s">
        <v>21</v>
      </c>
      <c r="S4047" t="s">
        <v>21</v>
      </c>
    </row>
    <row r="4048" spans="1:19" hidden="1" x14ac:dyDescent="0.25">
      <c r="A4048">
        <v>21600213</v>
      </c>
      <c r="B4048" t="s">
        <v>18</v>
      </c>
      <c r="C4048" t="s">
        <v>19</v>
      </c>
      <c r="D4048">
        <v>44</v>
      </c>
      <c r="E4048">
        <v>46</v>
      </c>
      <c r="F4048">
        <v>2</v>
      </c>
      <c r="G4048">
        <v>2</v>
      </c>
      <c r="H4048" s="1">
        <v>3.9351851851851848E-3</v>
      </c>
      <c r="I4048">
        <v>2016</v>
      </c>
      <c r="J4048" t="s">
        <v>20</v>
      </c>
      <c r="K4048" s="2" t="str">
        <f>HYPERLINK("https://www.nba.com/stats/events?CFID=&amp;CFPARAMS=&amp;GameEventID=173&amp;GameID=0021600213&amp;Season=2016-17&amp;flag=1&amp;title=Leonard%209'%20Jump%20Shot%20(12%20PTS)", "Leonard 9' Jump Shot (12 PTS)")</f>
        <v>Leonard 9' Jump Shot (12 PTS)</v>
      </c>
      <c r="L4048" s="2" t="str">
        <f>HYPERLINK("https://www.nba.com/game/...-vs-...-0021600213/play-by-play?watchFullGame=true", "SAS vs CHA - Q2 05:40.00")</f>
        <v>SAS vs CHA - Q2 05:40.00</v>
      </c>
      <c r="M4048">
        <v>9</v>
      </c>
      <c r="N4048">
        <v>84</v>
      </c>
      <c r="O4048">
        <v>41</v>
      </c>
      <c r="P4048">
        <v>84</v>
      </c>
      <c r="Q4048">
        <v>41</v>
      </c>
      <c r="R4048" t="s">
        <v>21</v>
      </c>
      <c r="S4048" t="s">
        <v>21</v>
      </c>
    </row>
    <row r="4049" spans="1:19" hidden="1" x14ac:dyDescent="0.25">
      <c r="A4049">
        <v>41500232</v>
      </c>
      <c r="B4049" t="s">
        <v>18</v>
      </c>
      <c r="C4049" t="s">
        <v>29</v>
      </c>
      <c r="D4049">
        <v>84</v>
      </c>
      <c r="E4049">
        <v>85</v>
      </c>
      <c r="F4049">
        <v>1</v>
      </c>
      <c r="G4049">
        <v>4</v>
      </c>
      <c r="H4049" s="1">
        <v>4.0393518518518521E-3</v>
      </c>
      <c r="I4049" t="s">
        <v>57</v>
      </c>
      <c r="J4049" t="s">
        <v>20</v>
      </c>
      <c r="K4049" s="2" t="str">
        <f>HYPERLINK("https://www.nba.com/stats/events?CFID=&amp;CFPARAMS=&amp;GameEventID=434&amp;GameID=0041500232&amp;Season=2015-16&amp;flag=1&amp;title=Leonard%209'%20Jump%20Bank%20Shot%20(14%20PTS)", "Leonard 9' Jump Bank Shot (14 PTS)")</f>
        <v>Leonard 9' Jump Bank Shot (14 PTS)</v>
      </c>
      <c r="L4049" s="2" t="str">
        <f>HYPERLINK("https://www.nba.com/game/...-vs-...-0041500232/play-by-play?watchFullGame=true", "SAS vs OKC - Q4 05:49.00")</f>
        <v>SAS vs OKC - Q4 05:49.00</v>
      </c>
      <c r="M4049">
        <v>9</v>
      </c>
      <c r="N4049">
        <v>-88</v>
      </c>
      <c r="O4049">
        <v>26</v>
      </c>
      <c r="P4049">
        <v>-88</v>
      </c>
      <c r="Q4049">
        <v>26</v>
      </c>
      <c r="R4049" t="s">
        <v>21</v>
      </c>
      <c r="S4049" t="s">
        <v>21</v>
      </c>
    </row>
    <row r="4050" spans="1:19" hidden="1" x14ac:dyDescent="0.25">
      <c r="A4050">
        <v>21600077</v>
      </c>
      <c r="B4050" t="s">
        <v>18</v>
      </c>
      <c r="C4050" t="s">
        <v>49</v>
      </c>
      <c r="D4050">
        <v>12</v>
      </c>
      <c r="E4050">
        <v>13</v>
      </c>
      <c r="F4050">
        <v>1</v>
      </c>
      <c r="G4050">
        <v>1</v>
      </c>
      <c r="H4050" s="1">
        <v>4.1550925925925922E-3</v>
      </c>
      <c r="I4050">
        <v>2016</v>
      </c>
      <c r="J4050" t="s">
        <v>20</v>
      </c>
      <c r="K4050" s="2" t="str">
        <f>HYPERLINK("https://www.nba.com/stats/events?CFID=&amp;CFPARAMS=&amp;GameEventID=52&amp;GameID=0021600077&amp;Season=2016-17&amp;flag=1&amp;title=Leonard%209'%20Driving%20Floating%20Bank%20Jump%20Shot%20(4%20PTS)", "Leonard 9' Driving Floating Bank Jump Shot (4 PTS)")</f>
        <v>Leonard 9' Driving Floating Bank Jump Shot (4 PTS)</v>
      </c>
      <c r="L4050" s="2" t="str">
        <f>HYPERLINK("https://www.nba.com/game/...-vs-...-0021600077/play-by-play?watchFullGame=true", "SAS vs UTA - Q1 05:59.00")</f>
        <v>SAS vs UTA - Q1 05:59.00</v>
      </c>
      <c r="M4050">
        <v>9</v>
      </c>
      <c r="N4050">
        <v>84</v>
      </c>
      <c r="O4050">
        <v>41</v>
      </c>
      <c r="P4050">
        <v>84</v>
      </c>
      <c r="Q4050">
        <v>41</v>
      </c>
      <c r="R4050" t="s">
        <v>21</v>
      </c>
      <c r="S4050" t="s">
        <v>21</v>
      </c>
    </row>
    <row r="4051" spans="1:19" hidden="1" x14ac:dyDescent="0.25">
      <c r="A4051">
        <v>41500233</v>
      </c>
      <c r="B4051" t="s">
        <v>18</v>
      </c>
      <c r="C4051" t="s">
        <v>36</v>
      </c>
      <c r="D4051">
        <v>17</v>
      </c>
      <c r="E4051">
        <v>11</v>
      </c>
      <c r="F4051">
        <v>6</v>
      </c>
      <c r="G4051">
        <v>1</v>
      </c>
      <c r="H4051" s="1">
        <v>4.2013888888888891E-3</v>
      </c>
      <c r="I4051" t="s">
        <v>57</v>
      </c>
      <c r="J4051" t="s">
        <v>20</v>
      </c>
      <c r="K4051" s="2" t="str">
        <f>HYPERLINK("https://www.nba.com/stats/events?CFID=&amp;CFPARAMS=&amp;GameEventID=43&amp;GameID=0041500233&amp;Season=2015-16&amp;flag=1&amp;title=Leonard%209'%20Pullup%20Jump%20Shot%20(8%20PTS)", "Leonard 9' Pullup Jump Shot (8 PTS)")</f>
        <v>Leonard 9' Pullup Jump Shot (8 PTS)</v>
      </c>
      <c r="L4051" s="2" t="str">
        <f>HYPERLINK("https://www.nba.com/game/...-vs-...-0041500233/play-by-play?watchFullGame=true", "SAS vs OKC - Q1 06:03.00")</f>
        <v>SAS vs OKC - Q1 06:03.00</v>
      </c>
      <c r="M4051">
        <v>9</v>
      </c>
      <c r="N4051">
        <v>82</v>
      </c>
      <c r="O4051">
        <v>41</v>
      </c>
      <c r="P4051">
        <v>82</v>
      </c>
      <c r="Q4051">
        <v>41</v>
      </c>
      <c r="R4051" t="s">
        <v>21</v>
      </c>
      <c r="S4051" t="s">
        <v>21</v>
      </c>
    </row>
    <row r="4052" spans="1:19" hidden="1" x14ac:dyDescent="0.25">
      <c r="A4052">
        <v>21600213</v>
      </c>
      <c r="B4052" t="s">
        <v>18</v>
      </c>
      <c r="C4052" t="s">
        <v>38</v>
      </c>
      <c r="D4052">
        <v>42</v>
      </c>
      <c r="E4052">
        <v>43</v>
      </c>
      <c r="F4052">
        <v>1</v>
      </c>
      <c r="G4052">
        <v>2</v>
      </c>
      <c r="H4052" s="1">
        <v>4.2824074074074075E-3</v>
      </c>
      <c r="I4052">
        <v>2016</v>
      </c>
      <c r="J4052" t="s">
        <v>20</v>
      </c>
      <c r="K4052" s="2" t="str">
        <f>HYPERLINK("https://www.nba.com/stats/events?CFID=&amp;CFPARAMS=&amp;GameEventID=171&amp;GameID=0021600213&amp;Season=2016-17&amp;flag=1&amp;title=Leonard%209'%20Turnaround%20Fadeaway%20(10%20PTS)", "Leonard 9' Turnaround Fadeaway (10 PTS)")</f>
        <v>Leonard 9' Turnaround Fadeaway (10 PTS)</v>
      </c>
      <c r="L4052" s="2" t="str">
        <f>HYPERLINK("https://www.nba.com/game/...-vs-...-0021600213/play-by-play?watchFullGame=true", "SAS vs CHA - Q2 06:10.00")</f>
        <v>SAS vs CHA - Q2 06:10.00</v>
      </c>
      <c r="M4052">
        <v>9</v>
      </c>
      <c r="N4052">
        <v>81</v>
      </c>
      <c r="O4052">
        <v>46</v>
      </c>
      <c r="P4052">
        <v>81</v>
      </c>
      <c r="Q4052">
        <v>46</v>
      </c>
      <c r="R4052" t="s">
        <v>21</v>
      </c>
      <c r="S4052" t="s">
        <v>21</v>
      </c>
    </row>
    <row r="4053" spans="1:19" hidden="1" x14ac:dyDescent="0.25">
      <c r="A4053">
        <v>21700573</v>
      </c>
      <c r="B4053" t="s">
        <v>18</v>
      </c>
      <c r="C4053" t="s">
        <v>36</v>
      </c>
      <c r="D4053">
        <v>14</v>
      </c>
      <c r="E4053">
        <v>11</v>
      </c>
      <c r="F4053">
        <v>3</v>
      </c>
      <c r="G4053">
        <v>1</v>
      </c>
      <c r="H4053" s="1">
        <v>4.2939814814814811E-3</v>
      </c>
      <c r="I4053">
        <v>2017</v>
      </c>
      <c r="J4053" t="s">
        <v>20</v>
      </c>
      <c r="K4053" s="2" t="str">
        <f>HYPERLINK("https://www.nba.com/stats/events?CFID=&amp;CFPARAMS=&amp;GameEventID=75&amp;GameID=0021700573&amp;Season=2017-18&amp;flag=1&amp;title=Leonard%209'%20Pullup%20Jump%20Shot%20(4%20PTS)", "Leonard 9' Pullup Jump Shot (4 PTS)")</f>
        <v>Leonard 9' Pullup Jump Shot (4 PTS)</v>
      </c>
      <c r="L4053" s="2" t="str">
        <f>HYPERLINK("https://www.nba.com/game/...-vs-...-0021700573/play-by-play?watchFullGame=true", "SAS vs PHX - Q1 06:11.00")</f>
        <v>SAS vs PHX - Q1 06:11.00</v>
      </c>
      <c r="M4053">
        <v>9</v>
      </c>
      <c r="N4053">
        <v>5</v>
      </c>
      <c r="O4053">
        <v>85</v>
      </c>
      <c r="P4053">
        <v>5</v>
      </c>
      <c r="Q4053">
        <v>85</v>
      </c>
      <c r="R4053" t="s">
        <v>21</v>
      </c>
      <c r="S4053" t="s">
        <v>21</v>
      </c>
    </row>
    <row r="4054" spans="1:19" hidden="1" x14ac:dyDescent="0.25">
      <c r="A4054">
        <v>21800983</v>
      </c>
      <c r="B4054" t="s">
        <v>18</v>
      </c>
      <c r="C4054" t="s">
        <v>38</v>
      </c>
      <c r="D4054">
        <v>79</v>
      </c>
      <c r="E4054">
        <v>73</v>
      </c>
      <c r="F4054">
        <v>6</v>
      </c>
      <c r="G4054">
        <v>3</v>
      </c>
      <c r="H4054" s="1">
        <v>4.3518518518518515E-3</v>
      </c>
      <c r="I4054">
        <v>2018</v>
      </c>
      <c r="J4054" t="s">
        <v>48</v>
      </c>
      <c r="K4054" s="2" t="str">
        <f>HYPERLINK("https://www.nba.com/stats/events?CFID=&amp;CFPARAMS=&amp;GameEventID=386&amp;GameID=0021800983&amp;Season=2018-19&amp;flag=1&amp;title=Leonard%209'%20Turnaround%20Fadeaway%20(30%20PTS)", "Leonard 9' Turnaround Fadeaway (30 PTS)")</f>
        <v>Leonard 9' Turnaround Fadeaway (30 PTS)</v>
      </c>
      <c r="L4054" s="2" t="str">
        <f>HYPERLINK("https://www.nba.com/game/...-vs-...-0021800983/play-by-play?watchFullGame=true", "TOR vs NOP - Q3 06:16.00")</f>
        <v>TOR vs NOP - Q3 06:16.00</v>
      </c>
      <c r="M4054">
        <v>9</v>
      </c>
      <c r="N4054">
        <v>92</v>
      </c>
      <c r="O4054">
        <v>10</v>
      </c>
      <c r="P4054">
        <v>92</v>
      </c>
      <c r="Q4054">
        <v>10</v>
      </c>
      <c r="R4054" t="s">
        <v>21</v>
      </c>
      <c r="S4054" t="s">
        <v>21</v>
      </c>
    </row>
    <row r="4055" spans="1:19" hidden="1" x14ac:dyDescent="0.25">
      <c r="A4055">
        <v>21401150</v>
      </c>
      <c r="B4055" t="s">
        <v>18</v>
      </c>
      <c r="C4055" t="s">
        <v>36</v>
      </c>
      <c r="D4055">
        <v>73</v>
      </c>
      <c r="E4055">
        <v>53</v>
      </c>
      <c r="F4055">
        <v>20</v>
      </c>
      <c r="G4055">
        <v>3</v>
      </c>
      <c r="H4055" s="1">
        <v>4.386574074074074E-3</v>
      </c>
      <c r="I4055">
        <v>2014</v>
      </c>
      <c r="J4055" t="s">
        <v>20</v>
      </c>
      <c r="K4055" s="2" t="str">
        <f>HYPERLINK("https://www.nba.com/stats/events?CFID=&amp;CFPARAMS=&amp;GameEventID=288&amp;GameID=0021401150&amp;Season=2014-15&amp;flag=1&amp;title=Leonard%209'%20Pullup%20Jump%20Shot%20(21%20PTS)", "Leonard 9' Pullup Jump Shot (21 PTS)")</f>
        <v>Leonard 9' Pullup Jump Shot (21 PTS)</v>
      </c>
      <c r="L4055" s="2" t="str">
        <f>HYPERLINK("https://www.nba.com/game/...-vs-...-0021401150/play-by-play?watchFullGame=true", "SAS vs GSW - Q3 06:19.00")</f>
        <v>SAS vs GSW - Q3 06:19.00</v>
      </c>
      <c r="M4055">
        <v>9</v>
      </c>
      <c r="N4055">
        <v>61</v>
      </c>
      <c r="O4055">
        <v>64</v>
      </c>
      <c r="P4055">
        <v>61</v>
      </c>
      <c r="Q4055">
        <v>64</v>
      </c>
      <c r="R4055" t="s">
        <v>21</v>
      </c>
      <c r="S4055" t="s">
        <v>21</v>
      </c>
    </row>
    <row r="4056" spans="1:19" hidden="1" x14ac:dyDescent="0.25">
      <c r="A4056">
        <v>21800739</v>
      </c>
      <c r="B4056" t="s">
        <v>18</v>
      </c>
      <c r="C4056" t="s">
        <v>42</v>
      </c>
      <c r="D4056">
        <v>20</v>
      </c>
      <c r="E4056">
        <v>9</v>
      </c>
      <c r="F4056">
        <v>11</v>
      </c>
      <c r="G4056">
        <v>1</v>
      </c>
      <c r="H4056" s="1">
        <v>4.5717592592592589E-3</v>
      </c>
      <c r="I4056">
        <v>2018</v>
      </c>
      <c r="J4056" t="s">
        <v>48</v>
      </c>
      <c r="K4056" s="2" t="str">
        <f>HYPERLINK("https://www.nba.com/stats/events?CFID=&amp;CFPARAMS=&amp;GameEventID=57&amp;GameID=0021800739&amp;Season=2018-19&amp;flag=1&amp;title=Leonard%209'%20Driving%20Floating%20Jump%20Shot%20(8%20PTS)%20(Lowry%203%20AST)", "Leonard 9' Driving Floating Jump Shot (8 PTS) (Lowry 3 AST)")</f>
        <v>Leonard 9' Driving Floating Jump Shot (8 PTS) (Lowry 3 AST)</v>
      </c>
      <c r="L4056" s="2" t="str">
        <f>HYPERLINK("https://www.nba.com/game/...-vs-...-0021800739/play-by-play?watchFullGame=true", "TOR vs DAL - Q1 06:35.00")</f>
        <v>TOR vs DAL - Q1 06:35.00</v>
      </c>
      <c r="M4056">
        <v>9</v>
      </c>
      <c r="N4056">
        <v>-47</v>
      </c>
      <c r="O4056">
        <v>82</v>
      </c>
      <c r="P4056">
        <v>-47</v>
      </c>
      <c r="Q4056">
        <v>82</v>
      </c>
      <c r="R4056" t="s">
        <v>21</v>
      </c>
      <c r="S4056" t="s">
        <v>21</v>
      </c>
    </row>
    <row r="4057" spans="1:19" hidden="1" x14ac:dyDescent="0.25">
      <c r="A4057">
        <v>21301174</v>
      </c>
      <c r="B4057" t="s">
        <v>18</v>
      </c>
      <c r="C4057" t="s">
        <v>19</v>
      </c>
      <c r="D4057">
        <v>17</v>
      </c>
      <c r="E4057">
        <v>7</v>
      </c>
      <c r="F4057">
        <v>10</v>
      </c>
      <c r="G4057">
        <v>1</v>
      </c>
      <c r="H4057" s="1">
        <v>4.6643518518518518E-3</v>
      </c>
      <c r="I4057">
        <v>2013</v>
      </c>
      <c r="J4057" t="s">
        <v>20</v>
      </c>
      <c r="K4057" s="2" t="str">
        <f>HYPERLINK("https://www.nba.com/stats/events?CFID=&amp;CFPARAMS=&amp;GameEventID=43&amp;GameID=0021301174&amp;Season=2013-14&amp;flag=1&amp;title=Leonard%209'%20Jump%20Shot%20(2%20PTS)", "Leonard 9' Jump Shot (2 PTS)")</f>
        <v>Leonard 9' Jump Shot (2 PTS)</v>
      </c>
      <c r="L4057" s="2" t="str">
        <f>HYPERLINK("https://www.nba.com/game/...-vs-...-0021301174/play-by-play?watchFullGame=true", "SAS vs DAL - Q1 06:43.00")</f>
        <v>SAS vs DAL - Q1 06:43.00</v>
      </c>
      <c r="M4057">
        <v>9</v>
      </c>
      <c r="N4057">
        <v>92</v>
      </c>
      <c r="O4057">
        <v>6</v>
      </c>
      <c r="P4057">
        <v>92</v>
      </c>
      <c r="Q4057">
        <v>6</v>
      </c>
      <c r="R4057" t="s">
        <v>21</v>
      </c>
      <c r="S4057" t="s">
        <v>21</v>
      </c>
    </row>
    <row r="4058" spans="1:19" hidden="1" x14ac:dyDescent="0.25">
      <c r="A4058">
        <v>21801169</v>
      </c>
      <c r="B4058" t="s">
        <v>18</v>
      </c>
      <c r="C4058" t="s">
        <v>42</v>
      </c>
      <c r="D4058">
        <v>8</v>
      </c>
      <c r="E4058">
        <v>9</v>
      </c>
      <c r="F4058">
        <v>1</v>
      </c>
      <c r="G4058">
        <v>1</v>
      </c>
      <c r="H4058" s="1">
        <v>4.7800925925925927E-3</v>
      </c>
      <c r="I4058">
        <v>2018</v>
      </c>
      <c r="J4058" t="s">
        <v>48</v>
      </c>
      <c r="K4058" s="2" t="str">
        <f>HYPERLINK("https://www.nba.com/stats/events?CFID=&amp;CFPARAMS=&amp;GameEventID=66&amp;GameID=0021801169&amp;Season=2018-19&amp;flag=1&amp;title=Leonard%209'%20Driving%20Floating%20Jump%20Shot%20(6%20PTS)", "Leonard 9' Driving Floating Jump Shot (6 PTS)")</f>
        <v>Leonard 9' Driving Floating Jump Shot (6 PTS)</v>
      </c>
      <c r="L4058" s="2" t="str">
        <f>HYPERLINK("https://www.nba.com/game/...-vs-...-0021801169/play-by-play?watchFullGame=true", "TOR vs BKN - Q1 06:53.00")</f>
        <v>TOR vs BKN - Q1 06:53.00</v>
      </c>
      <c r="M4058">
        <v>9</v>
      </c>
      <c r="N4058">
        <v>60</v>
      </c>
      <c r="O4058">
        <v>64</v>
      </c>
      <c r="P4058">
        <v>60</v>
      </c>
      <c r="Q4058">
        <v>64</v>
      </c>
      <c r="R4058" t="s">
        <v>21</v>
      </c>
      <c r="S4058" t="s">
        <v>21</v>
      </c>
    </row>
    <row r="4059" spans="1:19" hidden="1" x14ac:dyDescent="0.25">
      <c r="A4059">
        <v>41800112</v>
      </c>
      <c r="B4059" t="s">
        <v>18</v>
      </c>
      <c r="C4059" t="s">
        <v>65</v>
      </c>
      <c r="D4059">
        <v>11</v>
      </c>
      <c r="E4059">
        <v>0</v>
      </c>
      <c r="F4059">
        <v>11</v>
      </c>
      <c r="G4059">
        <v>1</v>
      </c>
      <c r="H4059" s="1">
        <v>5.3587962962962964E-3</v>
      </c>
      <c r="I4059" t="s">
        <v>60</v>
      </c>
      <c r="J4059" t="s">
        <v>48</v>
      </c>
      <c r="K4059" s="2" t="str">
        <f>HYPERLINK("https://www.nba.com/stats/events?CFID=&amp;CFPARAMS=&amp;GameEventID=67&amp;GameID=0041800112&amp;Season=2018-19&amp;flag=1&amp;title=Leonard%209'%20Running%20Pull-Up%20Jump%20Shot%20(8%20PTS)", "Leonard 9' Running Pull-Up Jump Shot (8 PTS)")</f>
        <v>Leonard 9' Running Pull-Up Jump Shot (8 PTS)</v>
      </c>
      <c r="L4059" s="2" t="str">
        <f>HYPERLINK("https://www.nba.com/game/...-vs-...-0041800112/play-by-play?watchFullGame=true", "TOR vs ORL - Q1 07:43.00")</f>
        <v>TOR vs ORL - Q1 07:43.00</v>
      </c>
      <c r="M4059">
        <v>9</v>
      </c>
      <c r="N4059">
        <v>11</v>
      </c>
      <c r="O4059">
        <v>91</v>
      </c>
      <c r="P4059">
        <v>11</v>
      </c>
      <c r="Q4059">
        <v>91</v>
      </c>
      <c r="R4059" t="s">
        <v>21</v>
      </c>
      <c r="S4059" t="s">
        <v>21</v>
      </c>
    </row>
    <row r="4060" spans="1:19" hidden="1" x14ac:dyDescent="0.25">
      <c r="A4060">
        <v>21800658</v>
      </c>
      <c r="B4060" t="s">
        <v>18</v>
      </c>
      <c r="C4060" t="s">
        <v>37</v>
      </c>
      <c r="D4060">
        <v>90</v>
      </c>
      <c r="E4060">
        <v>89</v>
      </c>
      <c r="F4060">
        <v>1</v>
      </c>
      <c r="G4060">
        <v>4</v>
      </c>
      <c r="H4060" s="1">
        <v>5.4050925925925924E-3</v>
      </c>
      <c r="I4060">
        <v>2018</v>
      </c>
      <c r="J4060" t="s">
        <v>48</v>
      </c>
      <c r="K4060" s="2" t="str">
        <f>HYPERLINK("https://www.nba.com/stats/events?CFID=&amp;CFPARAMS=&amp;GameEventID=530&amp;GameID=0021800658&amp;Season=2018-19&amp;flag=1&amp;title=Leonard%209'%20Fadeaway%20Jumper%20(23%20PTS)", "Leonard 9' Fadeaway Jumper (23 PTS)")</f>
        <v>Leonard 9' Fadeaway Jumper (23 PTS)</v>
      </c>
      <c r="L4060" s="2" t="str">
        <f>HYPERLINK("https://www.nba.com/game/...-vs-...-0021800658/play-by-play?watchFullGame=true", "TOR vs BOS - Q4 07:47.00")</f>
        <v>TOR vs BOS - Q4 07:47.00</v>
      </c>
      <c r="M4060">
        <v>9</v>
      </c>
      <c r="N4060">
        <v>86</v>
      </c>
      <c r="O4060">
        <v>13</v>
      </c>
      <c r="P4060">
        <v>86</v>
      </c>
      <c r="Q4060">
        <v>13</v>
      </c>
      <c r="R4060" t="s">
        <v>21</v>
      </c>
      <c r="S4060" t="s">
        <v>21</v>
      </c>
    </row>
    <row r="4061" spans="1:19" hidden="1" x14ac:dyDescent="0.25">
      <c r="A4061">
        <v>41400162</v>
      </c>
      <c r="B4061" t="s">
        <v>18</v>
      </c>
      <c r="C4061" t="s">
        <v>19</v>
      </c>
      <c r="D4061">
        <v>9</v>
      </c>
      <c r="E4061">
        <v>6</v>
      </c>
      <c r="F4061">
        <v>3</v>
      </c>
      <c r="G4061">
        <v>1</v>
      </c>
      <c r="H4061" s="1">
        <v>5.4166666666666669E-3</v>
      </c>
      <c r="I4061" t="s">
        <v>56</v>
      </c>
      <c r="J4061" t="s">
        <v>20</v>
      </c>
      <c r="K4061" s="2" t="str">
        <f>HYPERLINK("https://www.nba.com/stats/events?CFID=&amp;CFPARAMS=&amp;GameEventID=42&amp;GameID=0041400162&amp;Season=2014-15&amp;flag=1&amp;title=Leonard%209'%20Jump%20Shot%20(2%20PTS)", "Leonard 9' Jump Shot (2 PTS)")</f>
        <v>Leonard 9' Jump Shot (2 PTS)</v>
      </c>
      <c r="L4061" s="2" t="str">
        <f>HYPERLINK("https://www.nba.com/game/...-vs-...-0041400162/play-by-play?watchFullGame=true", "SAS vs LAC - Q1 07:48.00")</f>
        <v>SAS vs LAC - Q1 07:48.00</v>
      </c>
      <c r="M4061">
        <v>9</v>
      </c>
      <c r="N4061">
        <v>70</v>
      </c>
      <c r="O4061">
        <v>55</v>
      </c>
      <c r="P4061">
        <v>70</v>
      </c>
      <c r="Q4061">
        <v>55</v>
      </c>
      <c r="R4061" t="s">
        <v>21</v>
      </c>
      <c r="S4061" t="s">
        <v>21</v>
      </c>
    </row>
    <row r="4062" spans="1:19" hidden="1" x14ac:dyDescent="0.25">
      <c r="A4062">
        <v>21600942</v>
      </c>
      <c r="B4062" t="s">
        <v>18</v>
      </c>
      <c r="C4062" t="s">
        <v>59</v>
      </c>
      <c r="D4062">
        <v>32</v>
      </c>
      <c r="E4062">
        <v>42</v>
      </c>
      <c r="F4062">
        <v>10</v>
      </c>
      <c r="G4062">
        <v>2</v>
      </c>
      <c r="H4062" s="1">
        <v>5.4745370370370373E-3</v>
      </c>
      <c r="I4062">
        <v>2016</v>
      </c>
      <c r="J4062" t="s">
        <v>20</v>
      </c>
      <c r="K4062" s="2" t="str">
        <f>HYPERLINK("https://www.nba.com/stats/events?CFID=&amp;CFPARAMS=&amp;GameEventID=143&amp;GameID=0021600942&amp;Season=2016-17&amp;flag=1&amp;title=Leonard%209'%20Floating%20Jump%20Shot%20(10%20PTS)%20(Green%202%20AST)", "Leonard 9' Floating Jump Shot (10 PTS) (Green 2 AST)")</f>
        <v>Leonard 9' Floating Jump Shot (10 PTS) (Green 2 AST)</v>
      </c>
      <c r="L4062" s="2" t="str">
        <f>HYPERLINK("https://www.nba.com/game/...-vs-...-0021600942/play-by-play?watchFullGame=true", "SAS vs HOU - Q2 07:53.00")</f>
        <v>SAS vs HOU - Q2 07:53.00</v>
      </c>
      <c r="M4062">
        <v>9</v>
      </c>
      <c r="N4062">
        <v>50</v>
      </c>
      <c r="O4062">
        <v>80</v>
      </c>
      <c r="P4062">
        <v>50</v>
      </c>
      <c r="Q4062">
        <v>80</v>
      </c>
      <c r="R4062" t="s">
        <v>21</v>
      </c>
      <c r="S4062" t="s">
        <v>21</v>
      </c>
    </row>
    <row r="4063" spans="1:19" hidden="1" x14ac:dyDescent="0.25">
      <c r="A4063">
        <v>21600817</v>
      </c>
      <c r="B4063" t="s">
        <v>18</v>
      </c>
      <c r="C4063" t="s">
        <v>37</v>
      </c>
      <c r="D4063">
        <v>71</v>
      </c>
      <c r="E4063">
        <v>73</v>
      </c>
      <c r="F4063">
        <v>2</v>
      </c>
      <c r="G4063">
        <v>4</v>
      </c>
      <c r="H4063" s="1">
        <v>5.4745370370370373E-3</v>
      </c>
      <c r="I4063">
        <v>2016</v>
      </c>
      <c r="J4063" t="s">
        <v>20</v>
      </c>
      <c r="K4063" s="2" t="str">
        <f>HYPERLINK("https://www.nba.com/stats/events?CFID=&amp;CFPARAMS=&amp;GameEventID=411&amp;GameID=0021600817&amp;Season=2016-17&amp;flag=1&amp;title=Leonard%209'%20Fadeaway%20Jumper%20(24%20PTS)", "Leonard 9' Fadeaway Jumper (24 PTS)")</f>
        <v>Leonard 9' Fadeaway Jumper (24 PTS)</v>
      </c>
      <c r="L4063" s="2" t="str">
        <f>HYPERLINK("https://www.nba.com/game/...-vs-...-0021600817/play-by-play?watchFullGame=true", "SAS vs NYK - Q4 07:53.00")</f>
        <v>SAS vs NYK - Q4 07:53.00</v>
      </c>
      <c r="M4063">
        <v>9</v>
      </c>
      <c r="N4063">
        <v>55</v>
      </c>
      <c r="O4063">
        <v>65</v>
      </c>
      <c r="P4063">
        <v>55</v>
      </c>
      <c r="Q4063">
        <v>65</v>
      </c>
      <c r="R4063" t="s">
        <v>21</v>
      </c>
      <c r="S4063" t="s">
        <v>21</v>
      </c>
    </row>
    <row r="4064" spans="1:19" hidden="1" x14ac:dyDescent="0.25">
      <c r="A4064">
        <v>21400964</v>
      </c>
      <c r="B4064" t="s">
        <v>18</v>
      </c>
      <c r="C4064" t="s">
        <v>36</v>
      </c>
      <c r="D4064">
        <v>16</v>
      </c>
      <c r="E4064">
        <v>13</v>
      </c>
      <c r="F4064">
        <v>3</v>
      </c>
      <c r="G4064">
        <v>1</v>
      </c>
      <c r="H4064" s="1">
        <v>5.4745370370370373E-3</v>
      </c>
      <c r="I4064">
        <v>2014</v>
      </c>
      <c r="J4064" t="s">
        <v>20</v>
      </c>
      <c r="K4064" s="2" t="str">
        <f>HYPERLINK("https://www.nba.com/stats/events?CFID=&amp;CFPARAMS=&amp;GameEventID=27&amp;GameID=0021400964&amp;Season=2014-15&amp;flag=1&amp;title=Leonard%209'%20Pullup%20Jump%20Shot%20(4%20PTS)", "Leonard 9' Pullup Jump Shot (4 PTS)")</f>
        <v>Leonard 9' Pullup Jump Shot (4 PTS)</v>
      </c>
      <c r="L4064" s="2" t="str">
        <f>HYPERLINK("https://www.nba.com/game/...-vs-...-0021400964/play-by-play?watchFullGame=true", "SAS vs CLE - Q1 07:53.00")</f>
        <v>SAS vs CLE - Q1 07:53.00</v>
      </c>
      <c r="M4064">
        <v>9</v>
      </c>
      <c r="N4064">
        <v>58</v>
      </c>
      <c r="O4064">
        <v>75</v>
      </c>
      <c r="P4064">
        <v>58</v>
      </c>
      <c r="Q4064">
        <v>75</v>
      </c>
      <c r="R4064" t="s">
        <v>21</v>
      </c>
      <c r="S4064" t="s">
        <v>21</v>
      </c>
    </row>
    <row r="4065" spans="1:19" hidden="1" x14ac:dyDescent="0.25">
      <c r="A4065">
        <v>21500979</v>
      </c>
      <c r="B4065" t="s">
        <v>18</v>
      </c>
      <c r="C4065" t="s">
        <v>19</v>
      </c>
      <c r="D4065">
        <v>76</v>
      </c>
      <c r="E4065">
        <v>74</v>
      </c>
      <c r="F4065">
        <v>2</v>
      </c>
      <c r="G4065">
        <v>4</v>
      </c>
      <c r="H4065" s="1">
        <v>5.5324074074074078E-3</v>
      </c>
      <c r="I4065">
        <v>2015</v>
      </c>
      <c r="J4065" t="s">
        <v>20</v>
      </c>
      <c r="K4065" s="2" t="str">
        <f>HYPERLINK("https://www.nba.com/stats/events?CFID=&amp;CFPARAMS=&amp;GameEventID=442&amp;GameID=0021500979&amp;Season=2015-16&amp;flag=1&amp;title=Leonard%209'%20Jump%20Shot%20(19%20PTS)", "Leonard 9' Jump Shot (19 PTS)")</f>
        <v>Leonard 9' Jump Shot (19 PTS)</v>
      </c>
      <c r="L4065" s="2" t="str">
        <f>HYPERLINK("https://www.nba.com/game/...-vs-...-0021500979/play-by-play?watchFullGame=true", "SAS vs OKC - Q4 07:58.00")</f>
        <v>SAS vs OKC - Q4 07:58.00</v>
      </c>
      <c r="M4065">
        <v>9</v>
      </c>
      <c r="N4065">
        <v>2</v>
      </c>
      <c r="O4065">
        <v>85</v>
      </c>
      <c r="P4065">
        <v>2</v>
      </c>
      <c r="Q4065">
        <v>85</v>
      </c>
      <c r="R4065" t="s">
        <v>21</v>
      </c>
      <c r="S4065" t="s">
        <v>21</v>
      </c>
    </row>
    <row r="4066" spans="1:19" hidden="1" x14ac:dyDescent="0.25">
      <c r="A4066">
        <v>21500123</v>
      </c>
      <c r="B4066" t="s">
        <v>18</v>
      </c>
      <c r="C4066" t="s">
        <v>45</v>
      </c>
      <c r="D4066">
        <v>64</v>
      </c>
      <c r="E4066">
        <v>55</v>
      </c>
      <c r="F4066">
        <v>9</v>
      </c>
      <c r="G4066">
        <v>3</v>
      </c>
      <c r="H4066" s="1">
        <v>5.5902777777777773E-3</v>
      </c>
      <c r="I4066">
        <v>2015</v>
      </c>
      <c r="J4066" t="s">
        <v>20</v>
      </c>
      <c r="K4066" s="2" t="str">
        <f>HYPERLINK("https://www.nba.com/stats/events?CFID=&amp;CFPARAMS=&amp;GameEventID=263&amp;GameID=0021500123&amp;Season=2015-16&amp;flag=1&amp;title=Leonard%209'%20Pullup%20Bank%20Shot%20(16%20PTS)", "Leonard 9' Pullup Bank Shot (16 PTS)")</f>
        <v>Leonard 9' Pullup Bank Shot (16 PTS)</v>
      </c>
      <c r="L4066" s="2" t="str">
        <f>HYPERLINK("https://www.nba.com/game/...-vs-...-0021500123/play-by-play?watchFullGame=true", "SAS vs POR - Q3 08:03.00")</f>
        <v>SAS vs POR - Q3 08:03.00</v>
      </c>
      <c r="M4066">
        <v>9</v>
      </c>
      <c r="N4066">
        <v>89</v>
      </c>
      <c r="O4066">
        <v>3</v>
      </c>
      <c r="P4066">
        <v>89</v>
      </c>
      <c r="Q4066">
        <v>3</v>
      </c>
      <c r="R4066" t="s">
        <v>21</v>
      </c>
      <c r="S4066" t="s">
        <v>21</v>
      </c>
    </row>
    <row r="4067" spans="1:19" hidden="1" x14ac:dyDescent="0.25">
      <c r="A4067">
        <v>21800602</v>
      </c>
      <c r="B4067" t="s">
        <v>18</v>
      </c>
      <c r="C4067" t="s">
        <v>38</v>
      </c>
      <c r="D4067">
        <v>11</v>
      </c>
      <c r="E4067">
        <v>7</v>
      </c>
      <c r="F4067">
        <v>4</v>
      </c>
      <c r="G4067">
        <v>1</v>
      </c>
      <c r="H4067" s="1">
        <v>5.7175925925925927E-3</v>
      </c>
      <c r="I4067">
        <v>2018</v>
      </c>
      <c r="J4067" t="s">
        <v>48</v>
      </c>
      <c r="K4067" s="2" t="str">
        <f>HYPERLINK("https://www.nba.com/stats/events?CFID=&amp;CFPARAMS=&amp;GameEventID=45&amp;GameID=0021800602&amp;Season=2018-19&amp;flag=1&amp;title=Leonard%209'%20Turnaround%20Fadeaway%20(5%20PTS)", "Leonard 9' Turnaround Fadeaway (5 PTS)")</f>
        <v>Leonard 9' Turnaround Fadeaway (5 PTS)</v>
      </c>
      <c r="L4067" s="2" t="str">
        <f>HYPERLINK("https://www.nba.com/game/...-vs-...-0021800602/play-by-play?watchFullGame=true", "TOR vs ATL - Q1 08:14.00")</f>
        <v>TOR vs ATL - Q1 08:14.00</v>
      </c>
      <c r="M4067">
        <v>9</v>
      </c>
      <c r="N4067">
        <v>87</v>
      </c>
      <c r="O4067">
        <v>25</v>
      </c>
      <c r="P4067">
        <v>87</v>
      </c>
      <c r="Q4067">
        <v>25</v>
      </c>
      <c r="R4067" t="s">
        <v>21</v>
      </c>
      <c r="S4067" t="s">
        <v>21</v>
      </c>
    </row>
    <row r="4068" spans="1:19" hidden="1" x14ac:dyDescent="0.25">
      <c r="A4068">
        <v>21301038</v>
      </c>
      <c r="B4068" t="s">
        <v>18</v>
      </c>
      <c r="C4068" t="s">
        <v>62</v>
      </c>
      <c r="D4068">
        <v>83</v>
      </c>
      <c r="E4068">
        <v>74</v>
      </c>
      <c r="F4068">
        <v>9</v>
      </c>
      <c r="G4068">
        <v>4</v>
      </c>
      <c r="H4068" s="1">
        <v>5.9375000000000001E-3</v>
      </c>
      <c r="I4068">
        <v>2013</v>
      </c>
      <c r="J4068" t="s">
        <v>20</v>
      </c>
      <c r="K4068" s="2" t="str">
        <f>HYPERLINK("https://www.nba.com/stats/events?CFID=&amp;CFPARAMS=&amp;GameEventID=446&amp;GameID=0021301038&amp;Season=2013-14&amp;flag=1&amp;title=Leonard%209'%20Jump%20Hook%20Shot%20(11%20PTS)%20(Splitter%201%20AST)", "Leonard 9' Jump Hook Shot (11 PTS) (Splitter 1 AST)")</f>
        <v>Leonard 9' Jump Hook Shot (11 PTS) (Splitter 1 AST)</v>
      </c>
      <c r="L4068" s="2" t="str">
        <f>HYPERLINK("https://www.nba.com/game/...-vs-...-0021301038/play-by-play?watchFullGame=true", "SAS vs GSW - Q4 08:33.00")</f>
        <v>SAS vs GSW - Q4 08:33.00</v>
      </c>
      <c r="M4068">
        <v>9</v>
      </c>
      <c r="N4068">
        <v>-15</v>
      </c>
      <c r="O4068">
        <v>85</v>
      </c>
      <c r="P4068">
        <v>-15</v>
      </c>
      <c r="Q4068">
        <v>85</v>
      </c>
      <c r="R4068" t="s">
        <v>21</v>
      </c>
      <c r="S4068" t="s">
        <v>21</v>
      </c>
    </row>
    <row r="4069" spans="1:19" hidden="1" x14ac:dyDescent="0.25">
      <c r="A4069">
        <v>41200406</v>
      </c>
      <c r="B4069" t="s">
        <v>18</v>
      </c>
      <c r="C4069" t="s">
        <v>19</v>
      </c>
      <c r="D4069">
        <v>82</v>
      </c>
      <c r="E4069">
        <v>77</v>
      </c>
      <c r="F4069">
        <v>5</v>
      </c>
      <c r="G4069">
        <v>4</v>
      </c>
      <c r="H4069" s="1">
        <v>5.9490740740740745E-3</v>
      </c>
      <c r="I4069" t="s">
        <v>53</v>
      </c>
      <c r="J4069" t="s">
        <v>20</v>
      </c>
      <c r="K4069" s="2" t="str">
        <f>HYPERLINK("https://www.nba.com/stats/events?CFID=&amp;CFPARAMS=&amp;GameEventID=392&amp;GameID=0041200406&amp;Season=2012-13&amp;flag=1&amp;title=Leonard%209'%20Jump%20Shot%20(15%20PTS)", "Leonard 9' Jump Shot (15 PTS)")</f>
        <v>Leonard 9' Jump Shot (15 PTS)</v>
      </c>
      <c r="L4069" s="2" t="str">
        <f>HYPERLINK("https://www.nba.com/game/...-vs-...-0041200406/play-by-play?watchFullGame=true", "SAS vs MIA - Q4 08:34.00")</f>
        <v>SAS vs MIA - Q4 08:34.00</v>
      </c>
      <c r="M4069">
        <v>9</v>
      </c>
      <c r="N4069">
        <v>54</v>
      </c>
      <c r="O4069">
        <v>67</v>
      </c>
      <c r="P4069">
        <v>54</v>
      </c>
      <c r="Q4069">
        <v>67</v>
      </c>
      <c r="R4069" t="s">
        <v>21</v>
      </c>
      <c r="S4069" t="s">
        <v>21</v>
      </c>
    </row>
    <row r="4070" spans="1:19" hidden="1" x14ac:dyDescent="0.25">
      <c r="A4070">
        <v>21400131</v>
      </c>
      <c r="B4070" t="s">
        <v>18</v>
      </c>
      <c r="C4070" t="s">
        <v>37</v>
      </c>
      <c r="D4070">
        <v>37</v>
      </c>
      <c r="E4070">
        <v>26</v>
      </c>
      <c r="F4070">
        <v>11</v>
      </c>
      <c r="G4070">
        <v>2</v>
      </c>
      <c r="H4070" s="1">
        <v>5.9490740740740745E-3</v>
      </c>
      <c r="I4070">
        <v>2014</v>
      </c>
      <c r="J4070" t="s">
        <v>20</v>
      </c>
      <c r="K4070" s="2" t="str">
        <f>HYPERLINK("https://www.nba.com/stats/events?CFID=&amp;CFPARAMS=&amp;GameEventID=139&amp;GameID=0021400131&amp;Season=2014-15&amp;flag=1&amp;title=Leonard%209'%20Fadeaway%20Jumper%20(10%20PTS)%20(Parker%205%20AST)", "Leonard 9' Fadeaway Jumper (10 PTS) (Parker 5 AST)")</f>
        <v>Leonard 9' Fadeaway Jumper (10 PTS) (Parker 5 AST)</v>
      </c>
      <c r="L4070" s="2" t="str">
        <f>HYPERLINK("https://www.nba.com/game/...-vs-...-0021400131/play-by-play?watchFullGame=true", "SAS vs LAL - Q2 08:34.00")</f>
        <v>SAS vs LAL - Q2 08:34.00</v>
      </c>
      <c r="M4070">
        <v>9</v>
      </c>
      <c r="N4070">
        <v>88</v>
      </c>
      <c r="O4070">
        <v>11</v>
      </c>
      <c r="P4070">
        <v>88</v>
      </c>
      <c r="Q4070">
        <v>11</v>
      </c>
      <c r="R4070" t="s">
        <v>21</v>
      </c>
      <c r="S4070" t="s">
        <v>21</v>
      </c>
    </row>
    <row r="4071" spans="1:19" hidden="1" x14ac:dyDescent="0.25">
      <c r="A4071">
        <v>21400595</v>
      </c>
      <c r="B4071" t="s">
        <v>18</v>
      </c>
      <c r="C4071" t="s">
        <v>29</v>
      </c>
      <c r="D4071">
        <v>99</v>
      </c>
      <c r="E4071">
        <v>81</v>
      </c>
      <c r="F4071">
        <v>18</v>
      </c>
      <c r="G4071">
        <v>4</v>
      </c>
      <c r="H4071" s="1">
        <v>6.122685185185185E-3</v>
      </c>
      <c r="I4071">
        <v>2014</v>
      </c>
      <c r="J4071" t="s">
        <v>20</v>
      </c>
      <c r="K4071" s="2" t="str">
        <f>HYPERLINK("https://www.nba.com/stats/events?CFID=&amp;CFPARAMS=&amp;GameEventID=411&amp;GameID=0021400595&amp;Season=2014-15&amp;flag=1&amp;title=Leonard%209'%20Jump%20Bank%20Shot%20(13%20PTS)%20(Diaw%203%20AST)", "Leonard 9' Jump Bank Shot (13 PTS) (Diaw 3 AST)")</f>
        <v>Leonard 9' Jump Bank Shot (13 PTS) (Diaw 3 AST)</v>
      </c>
      <c r="L4071" s="2" t="str">
        <f>HYPERLINK("https://www.nba.com/game/...-vs-...-0021400595/play-by-play?watchFullGame=true", "SAS vs POR - Q4 08:49.00")</f>
        <v>SAS vs POR - Q4 08:49.00</v>
      </c>
      <c r="M4071">
        <v>9</v>
      </c>
      <c r="N4071">
        <v>84</v>
      </c>
      <c r="O4071">
        <v>30</v>
      </c>
      <c r="P4071">
        <v>84</v>
      </c>
      <c r="Q4071">
        <v>30</v>
      </c>
      <c r="R4071" t="s">
        <v>21</v>
      </c>
      <c r="S4071" t="s">
        <v>21</v>
      </c>
    </row>
    <row r="4072" spans="1:19" hidden="1" x14ac:dyDescent="0.25">
      <c r="A4072">
        <v>21601070</v>
      </c>
      <c r="B4072" t="s">
        <v>18</v>
      </c>
      <c r="C4072" t="s">
        <v>36</v>
      </c>
      <c r="D4072">
        <v>59</v>
      </c>
      <c r="E4072">
        <v>48</v>
      </c>
      <c r="F4072">
        <v>11</v>
      </c>
      <c r="G4072">
        <v>3</v>
      </c>
      <c r="H4072" s="1">
        <v>6.1921296296296299E-3</v>
      </c>
      <c r="I4072">
        <v>2016</v>
      </c>
      <c r="J4072" t="s">
        <v>20</v>
      </c>
      <c r="K4072" s="2" t="str">
        <f>HYPERLINK("https://www.nba.com/stats/events?CFID=&amp;CFPARAMS=&amp;GameEventID=287&amp;GameID=0021601070&amp;Season=2016-17&amp;flag=1&amp;title=Leonard%209'%20Pullup%20Jump%20Shot%20(10%20PTS)%20(Parker%204%20AST)", "Leonard 9' Pullup Jump Shot (10 PTS) (Parker 4 AST)")</f>
        <v>Leonard 9' Pullup Jump Shot (10 PTS) (Parker 4 AST)</v>
      </c>
      <c r="L4072" s="2" t="str">
        <f>HYPERLINK("https://www.nba.com/game/...-vs-...-0021601070/play-by-play?watchFullGame=true", "SAS vs MEM - Q3 08:55.00")</f>
        <v>SAS vs MEM - Q3 08:55.00</v>
      </c>
      <c r="M4072">
        <v>9</v>
      </c>
      <c r="N4072">
        <v>78</v>
      </c>
      <c r="O4072">
        <v>36</v>
      </c>
      <c r="P4072">
        <v>78</v>
      </c>
      <c r="Q4072">
        <v>36</v>
      </c>
      <c r="R4072" t="s">
        <v>21</v>
      </c>
      <c r="S4072" t="s">
        <v>21</v>
      </c>
    </row>
    <row r="4073" spans="1:19" hidden="1" x14ac:dyDescent="0.25">
      <c r="A4073">
        <v>21800216</v>
      </c>
      <c r="B4073" t="s">
        <v>18</v>
      </c>
      <c r="C4073" t="s">
        <v>38</v>
      </c>
      <c r="D4073">
        <v>12</v>
      </c>
      <c r="E4073">
        <v>5</v>
      </c>
      <c r="F4073">
        <v>7</v>
      </c>
      <c r="G4073">
        <v>1</v>
      </c>
      <c r="H4073" s="1">
        <v>6.2962962962962964E-3</v>
      </c>
      <c r="I4073">
        <v>2018</v>
      </c>
      <c r="J4073" t="s">
        <v>48</v>
      </c>
      <c r="K4073" s="2" t="str">
        <f>HYPERLINK("https://www.nba.com/stats/events?CFID=&amp;CFPARAMS=&amp;GameEventID=35&amp;GameID=0021800216&amp;Season=2018-19&amp;flag=1&amp;title=Leonard%209'%20Turnaround%20Fadeaway%20(2%20PTS)", "Leonard 9' Turnaround Fadeaway (2 PTS)")</f>
        <v>Leonard 9' Turnaround Fadeaway (2 PTS)</v>
      </c>
      <c r="L4073" s="2" t="str">
        <f>HYPERLINK("https://www.nba.com/game/...-vs-...-0021800216/play-by-play?watchFullGame=true", "TOR vs BOS - Q1 09:04.00")</f>
        <v>TOR vs BOS - Q1 09:04.00</v>
      </c>
      <c r="M4073">
        <v>9</v>
      </c>
      <c r="N4073">
        <v>-93</v>
      </c>
      <c r="O4073">
        <v>1</v>
      </c>
      <c r="P4073">
        <v>-93</v>
      </c>
      <c r="Q4073">
        <v>1</v>
      </c>
      <c r="R4073" t="s">
        <v>21</v>
      </c>
      <c r="S4073" t="s">
        <v>21</v>
      </c>
    </row>
    <row r="4074" spans="1:19" hidden="1" x14ac:dyDescent="0.25">
      <c r="A4074">
        <v>41800112</v>
      </c>
      <c r="B4074" t="s">
        <v>18</v>
      </c>
      <c r="C4074" t="s">
        <v>36</v>
      </c>
      <c r="D4074">
        <v>5</v>
      </c>
      <c r="E4074">
        <v>0</v>
      </c>
      <c r="F4074">
        <v>5</v>
      </c>
      <c r="G4074">
        <v>1</v>
      </c>
      <c r="H4074" s="1">
        <v>6.3310185185185188E-3</v>
      </c>
      <c r="I4074" t="s">
        <v>60</v>
      </c>
      <c r="J4074" t="s">
        <v>48</v>
      </c>
      <c r="K4074" s="2" t="str">
        <f>HYPERLINK("https://www.nba.com/stats/events?CFID=&amp;CFPARAMS=&amp;GameEventID=49&amp;GameID=0041800112&amp;Season=2018-19&amp;flag=1&amp;title=Leonard%209'%20Pullup%20Jump%20Shot%20(4%20PTS)%20(Lowry%201%20AST)", "Leonard 9' Pullup Jump Shot (4 PTS) (Lowry 1 AST)")</f>
        <v>Leonard 9' Pullup Jump Shot (4 PTS) (Lowry 1 AST)</v>
      </c>
      <c r="L4074" s="2" t="str">
        <f>HYPERLINK("https://www.nba.com/game/...-vs-...-0041800112/play-by-play?watchFullGame=true", "TOR vs ORL - Q1 09:07.00")</f>
        <v>TOR vs ORL - Q1 09:07.00</v>
      </c>
      <c r="M4074">
        <v>9</v>
      </c>
      <c r="N4074">
        <v>-3</v>
      </c>
      <c r="O4074">
        <v>86</v>
      </c>
      <c r="P4074">
        <v>-3</v>
      </c>
      <c r="Q4074">
        <v>86</v>
      </c>
      <c r="R4074" t="s">
        <v>21</v>
      </c>
      <c r="S4074" t="s">
        <v>21</v>
      </c>
    </row>
    <row r="4075" spans="1:19" hidden="1" x14ac:dyDescent="0.25">
      <c r="A4075">
        <v>41800213</v>
      </c>
      <c r="B4075" t="s">
        <v>18</v>
      </c>
      <c r="C4075" t="s">
        <v>37</v>
      </c>
      <c r="D4075">
        <v>5</v>
      </c>
      <c r="E4075">
        <v>9</v>
      </c>
      <c r="F4075">
        <v>4</v>
      </c>
      <c r="G4075">
        <v>1</v>
      </c>
      <c r="H4075" s="1">
        <v>6.3425925925925924E-3</v>
      </c>
      <c r="I4075" t="s">
        <v>60</v>
      </c>
      <c r="J4075" t="s">
        <v>48</v>
      </c>
      <c r="K4075" s="2" t="str">
        <f>HYPERLINK("https://www.nba.com/stats/events?CFID=&amp;CFPARAMS=&amp;GameEventID=30&amp;GameID=0041800213&amp;Season=2018-19&amp;flag=1&amp;title=Leonard%209'%20Fadeaway%20Jumper%20(5%20PTS)", "Leonard 9' Fadeaway Jumper (5 PTS)")</f>
        <v>Leonard 9' Fadeaway Jumper (5 PTS)</v>
      </c>
      <c r="L4075" s="2" t="str">
        <f>HYPERLINK("https://www.nba.com/game/...-vs-...-0041800213/play-by-play?watchFullGame=true", "TOR vs PHI - Q1 09:08.00")</f>
        <v>TOR vs PHI - Q1 09:08.00</v>
      </c>
      <c r="M4075">
        <v>9</v>
      </c>
      <c r="N4075">
        <v>86</v>
      </c>
      <c r="O4075">
        <v>-32</v>
      </c>
      <c r="P4075">
        <v>86</v>
      </c>
      <c r="Q4075">
        <v>-32</v>
      </c>
      <c r="R4075" t="s">
        <v>21</v>
      </c>
      <c r="S4075" t="s">
        <v>21</v>
      </c>
    </row>
    <row r="4076" spans="1:19" hidden="1" x14ac:dyDescent="0.25">
      <c r="A4076">
        <v>21500439</v>
      </c>
      <c r="B4076" t="s">
        <v>18</v>
      </c>
      <c r="C4076" t="s">
        <v>38</v>
      </c>
      <c r="D4076">
        <v>49</v>
      </c>
      <c r="E4076">
        <v>45</v>
      </c>
      <c r="F4076">
        <v>4</v>
      </c>
      <c r="G4076">
        <v>3</v>
      </c>
      <c r="H4076" s="1">
        <v>6.3657407407407404E-3</v>
      </c>
      <c r="I4076">
        <v>2015</v>
      </c>
      <c r="J4076" t="s">
        <v>20</v>
      </c>
      <c r="K4076" s="2" t="str">
        <f>HYPERLINK("https://www.nba.com/stats/events?CFID=&amp;CFPARAMS=&amp;GameEventID=276&amp;GameID=0021500439&amp;Season=2015-16&amp;flag=1&amp;title=Leonard%209'%20Turnaround%20Fadeaway%20(13%20PTS)", "Leonard 9' Turnaround Fadeaway (13 PTS)")</f>
        <v>Leonard 9' Turnaround Fadeaway (13 PTS)</v>
      </c>
      <c r="L4076" s="2" t="str">
        <f>HYPERLINK("https://www.nba.com/game/...-vs-...-0021500439/play-by-play?watchFullGame=true", "SAS vs HOU - Q3 09:10.00")</f>
        <v>SAS vs HOU - Q3 09:10.00</v>
      </c>
      <c r="M4076">
        <v>9</v>
      </c>
      <c r="N4076">
        <v>50</v>
      </c>
      <c r="O4076">
        <v>75</v>
      </c>
      <c r="P4076">
        <v>50</v>
      </c>
      <c r="Q4076">
        <v>75</v>
      </c>
      <c r="R4076" t="s">
        <v>21</v>
      </c>
      <c r="S4076" t="s">
        <v>21</v>
      </c>
    </row>
    <row r="4077" spans="1:19" hidden="1" x14ac:dyDescent="0.25">
      <c r="A4077">
        <v>21500784</v>
      </c>
      <c r="B4077" t="s">
        <v>18</v>
      </c>
      <c r="C4077" t="s">
        <v>19</v>
      </c>
      <c r="D4077">
        <v>94</v>
      </c>
      <c r="E4077">
        <v>80</v>
      </c>
      <c r="F4077">
        <v>14</v>
      </c>
      <c r="G4077">
        <v>4</v>
      </c>
      <c r="H4077" s="1">
        <v>6.4699074074074077E-3</v>
      </c>
      <c r="I4077">
        <v>2015</v>
      </c>
      <c r="J4077" t="s">
        <v>20</v>
      </c>
      <c r="K4077" s="2" t="str">
        <f>HYPERLINK("https://www.nba.com/stats/events?CFID=&amp;CFPARAMS=&amp;GameEventID=412&amp;GameID=0021500784&amp;Season=2015-16&amp;flag=1&amp;title=Leonard%209'%20Jump%20Shot%20(19%20PTS)", "Leonard 9' Jump Shot (19 PTS)")</f>
        <v>Leonard 9' Jump Shot (19 PTS)</v>
      </c>
      <c r="L4077" s="2" t="str">
        <f>HYPERLINK("https://www.nba.com/game/...-vs-...-0021500784/play-by-play?watchFullGame=true", "SAS vs MIA - Q4 09:19.00")</f>
        <v>SAS vs MIA - Q4 09:19.00</v>
      </c>
      <c r="M4077">
        <v>9</v>
      </c>
      <c r="N4077">
        <v>-89</v>
      </c>
      <c r="O4077">
        <v>7</v>
      </c>
      <c r="P4077">
        <v>-89</v>
      </c>
      <c r="Q4077">
        <v>7</v>
      </c>
      <c r="R4077" t="s">
        <v>21</v>
      </c>
      <c r="S4077" t="s">
        <v>21</v>
      </c>
    </row>
    <row r="4078" spans="1:19" hidden="1" x14ac:dyDescent="0.25">
      <c r="A4078">
        <v>21600037</v>
      </c>
      <c r="B4078" t="s">
        <v>18</v>
      </c>
      <c r="C4078" t="s">
        <v>67</v>
      </c>
      <c r="D4078">
        <v>6</v>
      </c>
      <c r="E4078">
        <v>3</v>
      </c>
      <c r="F4078">
        <v>3</v>
      </c>
      <c r="G4078">
        <v>1</v>
      </c>
      <c r="H4078" s="1">
        <v>6.5277777777777782E-3</v>
      </c>
      <c r="I4078">
        <v>2016</v>
      </c>
      <c r="J4078" t="s">
        <v>20</v>
      </c>
      <c r="K4078" s="2" t="str">
        <f>HYPERLINK("https://www.nba.com/stats/events?CFID=&amp;CFPARAMS=&amp;GameEventID=17&amp;GameID=0021600037&amp;Season=2016-17&amp;flag=1&amp;title=Leonard%209'%20Turnaround%20Hook%20Shot%20(4%20PTS)", "Leonard 9' Turnaround Hook Shot (4 PTS)")</f>
        <v>Leonard 9' Turnaround Hook Shot (4 PTS)</v>
      </c>
      <c r="L4078" s="2" t="str">
        <f>HYPERLINK("https://www.nba.com/game/...-vs-...-0021600037/play-by-play?watchFullGame=true", "SAS vs MIA - Q1 09:24.00")</f>
        <v>SAS vs MIA - Q1 09:24.00</v>
      </c>
      <c r="M4078">
        <v>9</v>
      </c>
      <c r="N4078">
        <v>74</v>
      </c>
      <c r="O4078">
        <v>46</v>
      </c>
      <c r="P4078">
        <v>74</v>
      </c>
      <c r="Q4078">
        <v>46</v>
      </c>
      <c r="R4078" t="s">
        <v>21</v>
      </c>
      <c r="S4078" t="s">
        <v>21</v>
      </c>
    </row>
    <row r="4079" spans="1:19" hidden="1" x14ac:dyDescent="0.25">
      <c r="A4079">
        <v>41300143</v>
      </c>
      <c r="B4079" t="s">
        <v>18</v>
      </c>
      <c r="C4079" t="s">
        <v>67</v>
      </c>
      <c r="D4079">
        <v>82</v>
      </c>
      <c r="E4079">
        <v>81</v>
      </c>
      <c r="F4079">
        <v>1</v>
      </c>
      <c r="G4079">
        <v>4</v>
      </c>
      <c r="H4079" s="1">
        <v>6.7476851851851856E-3</v>
      </c>
      <c r="I4079" t="s">
        <v>55</v>
      </c>
      <c r="J4079" t="s">
        <v>20</v>
      </c>
      <c r="K4079" s="2" t="str">
        <f>HYPERLINK("https://www.nba.com/stats/events?CFID=&amp;CFPARAMS=&amp;GameEventID=401&amp;GameID=0041300143&amp;Season=2013-14&amp;flag=1&amp;title=Leonard%209'%20Turnaround%20Hook%20Shot%20(11%20PTS)", "Leonard 9' Turnaround Hook Shot (11 PTS)")</f>
        <v>Leonard 9' Turnaround Hook Shot (11 PTS)</v>
      </c>
      <c r="L4079" s="2" t="str">
        <f>HYPERLINK("https://www.nba.com/game/...-vs-...-0041300143/play-by-play?watchFullGame=true", "SAS vs DAL - Q4 09:43.00")</f>
        <v>SAS vs DAL - Q4 09:43.00</v>
      </c>
      <c r="M4079">
        <v>9</v>
      </c>
      <c r="N4079">
        <v>0</v>
      </c>
      <c r="O4079">
        <v>93</v>
      </c>
      <c r="P4079">
        <v>0</v>
      </c>
      <c r="Q4079">
        <v>93</v>
      </c>
      <c r="R4079" t="s">
        <v>21</v>
      </c>
      <c r="S4079" t="s">
        <v>21</v>
      </c>
    </row>
    <row r="4080" spans="1:19" hidden="1" x14ac:dyDescent="0.25">
      <c r="A4080">
        <v>21400689</v>
      </c>
      <c r="B4080" t="s">
        <v>18</v>
      </c>
      <c r="C4080" t="s">
        <v>34</v>
      </c>
      <c r="D4080">
        <v>59</v>
      </c>
      <c r="E4080">
        <v>44</v>
      </c>
      <c r="F4080">
        <v>15</v>
      </c>
      <c r="G4080">
        <v>3</v>
      </c>
      <c r="H4080" s="1">
        <v>6.7592592592592591E-3</v>
      </c>
      <c r="I4080">
        <v>2014</v>
      </c>
      <c r="J4080" t="s">
        <v>20</v>
      </c>
      <c r="K4080" s="2" t="str">
        <f>HYPERLINK("https://www.nba.com/stats/events?CFID=&amp;CFPARAMS=&amp;GameEventID=257&amp;GameID=0021400689&amp;Season=2014-15&amp;flag=1&amp;title=Leonard%209'%20Turnaround%20Jump%20Shot%20(9%20PTS)", "Leonard 9' Turnaround Jump Shot (9 PTS)")</f>
        <v>Leonard 9' Turnaround Jump Shot (9 PTS)</v>
      </c>
      <c r="L4080" s="2" t="str">
        <f>HYPERLINK("https://www.nba.com/game/...-vs-...-0021400689/play-by-play?watchFullGame=true", "SAS vs CHA - Q3 09:44.00")</f>
        <v>SAS vs CHA - Q3 09:44.00</v>
      </c>
      <c r="M4080">
        <v>9</v>
      </c>
      <c r="N4080">
        <v>86</v>
      </c>
      <c r="O4080">
        <v>17</v>
      </c>
      <c r="P4080">
        <v>86</v>
      </c>
      <c r="Q4080">
        <v>17</v>
      </c>
      <c r="R4080" t="s">
        <v>21</v>
      </c>
      <c r="S4080" t="s">
        <v>21</v>
      </c>
    </row>
    <row r="4081" spans="1:19" hidden="1" x14ac:dyDescent="0.25">
      <c r="A4081">
        <v>21800359</v>
      </c>
      <c r="B4081" t="s">
        <v>18</v>
      </c>
      <c r="C4081" t="s">
        <v>38</v>
      </c>
      <c r="D4081">
        <v>2</v>
      </c>
      <c r="E4081">
        <v>2</v>
      </c>
      <c r="F4081">
        <v>0</v>
      </c>
      <c r="G4081">
        <v>1</v>
      </c>
      <c r="H4081" s="1">
        <v>7.3611111111111108E-3</v>
      </c>
      <c r="I4081">
        <v>2018</v>
      </c>
      <c r="J4081" t="s">
        <v>48</v>
      </c>
      <c r="K4081" s="2" t="str">
        <f>HYPERLINK("https://www.nba.com/stats/events?CFID=&amp;CFPARAMS=&amp;GameEventID=19&amp;GameID=0021800359&amp;Season=2018-19&amp;flag=1&amp;title=Leonard%209'%20Turnaround%20Fadeaway%20(2%20PTS)", "Leonard 9' Turnaround Fadeaway (2 PTS)")</f>
        <v>Leonard 9' Turnaround Fadeaway (2 PTS)</v>
      </c>
      <c r="L4081" s="2" t="str">
        <f>HYPERLINK("https://www.nba.com/game/...-vs-...-0021800359/play-by-play?watchFullGame=true", "TOR vs PHI - Q1 10:36.00")</f>
        <v>TOR vs PHI - Q1 10:36.00</v>
      </c>
      <c r="M4081">
        <v>9</v>
      </c>
      <c r="N4081">
        <v>46</v>
      </c>
      <c r="O4081">
        <v>81</v>
      </c>
      <c r="P4081">
        <v>46</v>
      </c>
      <c r="Q4081">
        <v>81</v>
      </c>
      <c r="R4081" t="s">
        <v>21</v>
      </c>
      <c r="S4081" t="s">
        <v>21</v>
      </c>
    </row>
    <row r="4082" spans="1:19" hidden="1" x14ac:dyDescent="0.25">
      <c r="A4082">
        <v>41600232</v>
      </c>
      <c r="B4082" t="s">
        <v>18</v>
      </c>
      <c r="C4082" t="s">
        <v>36</v>
      </c>
      <c r="D4082">
        <v>37</v>
      </c>
      <c r="E4082">
        <v>33</v>
      </c>
      <c r="F4082">
        <v>4</v>
      </c>
      <c r="G4082">
        <v>2</v>
      </c>
      <c r="H4082" s="1">
        <v>7.4999999999999997E-3</v>
      </c>
      <c r="I4082" t="s">
        <v>58</v>
      </c>
      <c r="J4082" t="s">
        <v>20</v>
      </c>
      <c r="K4082" s="2" t="str">
        <f>HYPERLINK("https://www.nba.com/stats/events?CFID=&amp;CFPARAMS=&amp;GameEventID=115&amp;GameID=0041600232&amp;Season=2016-17&amp;flag=1&amp;title=Leonard%209'%20Pullup%20Jump%20Shot%20(10%20PTS)%20(Mills%202%20AST)", "Leonard 9' Pullup Jump Shot (10 PTS) (Mills 2 AST)")</f>
        <v>Leonard 9' Pullup Jump Shot (10 PTS) (Mills 2 AST)</v>
      </c>
      <c r="L4082" s="2" t="str">
        <f>HYPERLINK("https://www.nba.com/game/...-vs-...-0041600232/play-by-play?watchFullGame=true", "SAS vs HOU - Q2 10:48.00")</f>
        <v>SAS vs HOU - Q2 10:48.00</v>
      </c>
      <c r="M4082">
        <v>9</v>
      </c>
      <c r="N4082">
        <v>-17</v>
      </c>
      <c r="O4082">
        <v>85</v>
      </c>
      <c r="P4082">
        <v>-17</v>
      </c>
      <c r="Q4082">
        <v>85</v>
      </c>
      <c r="R4082" t="s">
        <v>21</v>
      </c>
      <c r="S4082" t="s">
        <v>21</v>
      </c>
    </row>
    <row r="4083" spans="1:19" hidden="1" x14ac:dyDescent="0.25">
      <c r="A4083">
        <v>21600003</v>
      </c>
      <c r="B4083" t="s">
        <v>18</v>
      </c>
      <c r="C4083" t="s">
        <v>30</v>
      </c>
      <c r="D4083">
        <v>102</v>
      </c>
      <c r="E4083">
        <v>79</v>
      </c>
      <c r="F4083">
        <v>23</v>
      </c>
      <c r="G4083">
        <v>4</v>
      </c>
      <c r="H4083" s="1">
        <v>7.8819444444444449E-3</v>
      </c>
      <c r="I4083">
        <v>2016</v>
      </c>
      <c r="J4083" t="s">
        <v>20</v>
      </c>
      <c r="K4083" s="2" t="str">
        <f>HYPERLINK("https://www.nba.com/stats/events?CFID=&amp;CFPARAMS=&amp;GameEventID=407&amp;GameID=0021600003&amp;Season=2016-17&amp;flag=1&amp;title=Leonard%209'%20Running%20Jump%20Shot%20(33%20PTS)", "Leonard 9' Running Jump Shot (33 PTS)")</f>
        <v>Leonard 9' Running Jump Shot (33 PTS)</v>
      </c>
      <c r="L4083" s="2" t="str">
        <f>HYPERLINK("https://www.nba.com/game/...-vs-...-0021600003/play-by-play?watchFullGame=true", "SAS vs GSW - Q4 11:21.00")</f>
        <v>SAS vs GSW - Q4 11:21.00</v>
      </c>
      <c r="M4083">
        <v>9</v>
      </c>
      <c r="N4083">
        <v>-6</v>
      </c>
      <c r="O4083">
        <v>92</v>
      </c>
      <c r="P4083">
        <v>-6</v>
      </c>
      <c r="Q4083">
        <v>92</v>
      </c>
      <c r="R4083" t="s">
        <v>21</v>
      </c>
      <c r="S4083" t="s">
        <v>21</v>
      </c>
    </row>
    <row r="4084" spans="1:19" hidden="1" x14ac:dyDescent="0.25">
      <c r="A4084">
        <v>21400249</v>
      </c>
      <c r="B4084" t="s">
        <v>18</v>
      </c>
      <c r="C4084" t="s">
        <v>30</v>
      </c>
      <c r="D4084">
        <v>63</v>
      </c>
      <c r="E4084">
        <v>49</v>
      </c>
      <c r="F4084">
        <v>14</v>
      </c>
      <c r="G4084">
        <v>3</v>
      </c>
      <c r="H4084" s="1">
        <v>7.9166666666666673E-3</v>
      </c>
      <c r="I4084">
        <v>2014</v>
      </c>
      <c r="J4084" t="s">
        <v>20</v>
      </c>
      <c r="K4084" s="2" t="str">
        <f>HYPERLINK("https://www.nba.com/stats/events?CFID=&amp;CFPARAMS=&amp;GameEventID=269&amp;GameID=0021400249&amp;Season=2014-15&amp;flag=1&amp;title=Leonard%209'%20Running%20Jump%20Shot%20(17%20PTS)", "Leonard 9' Running Jump Shot (17 PTS)")</f>
        <v>Leonard 9' Running Jump Shot (17 PTS)</v>
      </c>
      <c r="L4084" s="2" t="str">
        <f>HYPERLINK("https://www.nba.com/game/...-vs-...-0021400249/play-by-play?watchFullGame=true", "SAS vs PHI - Q3 11:24.00")</f>
        <v>SAS vs PHI - Q3 11:24.00</v>
      </c>
      <c r="M4084">
        <v>9</v>
      </c>
      <c r="N4084">
        <v>-5</v>
      </c>
      <c r="O4084">
        <v>93</v>
      </c>
      <c r="P4084">
        <v>-5</v>
      </c>
      <c r="Q4084">
        <v>93</v>
      </c>
      <c r="R4084" t="s">
        <v>21</v>
      </c>
      <c r="S4084" t="s">
        <v>21</v>
      </c>
    </row>
    <row r="4085" spans="1:19" hidden="1" x14ac:dyDescent="0.25">
      <c r="A4085">
        <v>41800211</v>
      </c>
      <c r="B4085" t="s">
        <v>18</v>
      </c>
      <c r="C4085" t="s">
        <v>59</v>
      </c>
      <c r="D4085">
        <v>63</v>
      </c>
      <c r="E4085">
        <v>55</v>
      </c>
      <c r="F4085">
        <v>8</v>
      </c>
      <c r="G4085">
        <v>3</v>
      </c>
      <c r="H4085" s="1">
        <v>7.9282407407407409E-3</v>
      </c>
      <c r="I4085" t="s">
        <v>60</v>
      </c>
      <c r="J4085" t="s">
        <v>48</v>
      </c>
      <c r="K4085" s="2" t="str">
        <f>HYPERLINK("https://www.nba.com/stats/events?CFID=&amp;CFPARAMS=&amp;GameEventID=326&amp;GameID=0041800211&amp;Season=2018-19&amp;flag=1&amp;title=Leonard%209'%20Floating%20Jump%20Shot%20(29%20PTS)", "Leonard 9' Floating Jump Shot (29 PTS)")</f>
        <v>Leonard 9' Floating Jump Shot (29 PTS)</v>
      </c>
      <c r="L4085" s="2" t="str">
        <f>HYPERLINK("https://www.nba.com/game/...-vs-...-0041800211/play-by-play?watchFullGame=true", "TOR vs PHI - Q3 11:25.00")</f>
        <v>TOR vs PHI - Q3 11:25.00</v>
      </c>
      <c r="M4085">
        <v>9</v>
      </c>
      <c r="N4085">
        <v>-11</v>
      </c>
      <c r="O4085">
        <v>85</v>
      </c>
      <c r="P4085">
        <v>-11</v>
      </c>
      <c r="Q4085">
        <v>85</v>
      </c>
      <c r="R4085" t="s">
        <v>21</v>
      </c>
      <c r="S4085" t="s">
        <v>21</v>
      </c>
    </row>
    <row r="4086" spans="1:19" hidden="1" x14ac:dyDescent="0.25">
      <c r="A4086">
        <v>41800111</v>
      </c>
      <c r="B4086" t="s">
        <v>18</v>
      </c>
      <c r="C4086" t="s">
        <v>37</v>
      </c>
      <c r="D4086">
        <v>2</v>
      </c>
      <c r="E4086">
        <v>0</v>
      </c>
      <c r="F4086">
        <v>2</v>
      </c>
      <c r="G4086">
        <v>1</v>
      </c>
      <c r="H4086" s="1">
        <v>8.1828703703703699E-3</v>
      </c>
      <c r="I4086" t="s">
        <v>60</v>
      </c>
      <c r="J4086" t="s">
        <v>48</v>
      </c>
      <c r="K4086" s="2" t="str">
        <f>HYPERLINK("https://www.nba.com/stats/events?CFID=&amp;CFPARAMS=&amp;GameEventID=7&amp;GameID=0041800111&amp;Season=2018-19&amp;flag=1&amp;title=Leonard%209'%20Fadeaway%20Jumper%20(2%20PTS)", "Leonard 9' Fadeaway Jumper (2 PTS)")</f>
        <v>Leonard 9' Fadeaway Jumper (2 PTS)</v>
      </c>
      <c r="L4086" s="2" t="str">
        <f>HYPERLINK("https://www.nba.com/game/...-vs-...-0041800111/play-by-play?watchFullGame=true", "TOR vs ORL - Q1 11:47.00")</f>
        <v>TOR vs ORL - Q1 11:47.00</v>
      </c>
      <c r="M4086">
        <v>9</v>
      </c>
      <c r="N4086">
        <v>-56</v>
      </c>
      <c r="O4086">
        <v>69</v>
      </c>
      <c r="P4086">
        <v>-56</v>
      </c>
      <c r="Q4086">
        <v>69</v>
      </c>
      <c r="R4086" t="s">
        <v>21</v>
      </c>
      <c r="S4086" t="s">
        <v>21</v>
      </c>
    </row>
    <row r="4087" spans="1:19" hidden="1" x14ac:dyDescent="0.25">
      <c r="A4087">
        <v>21500905</v>
      </c>
      <c r="B4087" t="s">
        <v>18</v>
      </c>
      <c r="C4087" t="s">
        <v>34</v>
      </c>
      <c r="D4087">
        <v>52</v>
      </c>
      <c r="E4087">
        <v>51</v>
      </c>
      <c r="F4087">
        <v>1</v>
      </c>
      <c r="G4087">
        <v>2</v>
      </c>
      <c r="H4087" s="1">
        <v>1.4467592592592592E-4</v>
      </c>
      <c r="I4087">
        <v>2015</v>
      </c>
      <c r="J4087" t="s">
        <v>20</v>
      </c>
      <c r="K4087" s="2" t="str">
        <f>HYPERLINK("https://www.nba.com/stats/events?CFID=&amp;CFPARAMS=&amp;GameEventID=203&amp;GameID=0021500905&amp;Season=2015-16&amp;flag=1&amp;title=Leonard%208'%20Turnaround%20Jump%20Shot%20(17%20PTS)", "Leonard 8' Turnaround Jump Shot (17 PTS)")</f>
        <v>Leonard 8' Turnaround Jump Shot (17 PTS)</v>
      </c>
      <c r="L4087" s="2" t="str">
        <f>HYPERLINK("https://www.nba.com/game/...-vs-...-0021500905/play-by-play?watchFullGame=true", "SAS vs DET - Q2 00:12.50")</f>
        <v>SAS vs DET - Q2 00:12.50</v>
      </c>
      <c r="M4087">
        <v>8</v>
      </c>
      <c r="N4087">
        <v>-7</v>
      </c>
      <c r="O4087">
        <v>80</v>
      </c>
      <c r="P4087">
        <v>-7</v>
      </c>
      <c r="Q4087">
        <v>80</v>
      </c>
      <c r="R4087" t="s">
        <v>21</v>
      </c>
      <c r="S4087" t="s">
        <v>21</v>
      </c>
    </row>
    <row r="4088" spans="1:19" hidden="1" x14ac:dyDescent="0.25">
      <c r="A4088">
        <v>21300363</v>
      </c>
      <c r="B4088" t="s">
        <v>18</v>
      </c>
      <c r="C4088" t="s">
        <v>19</v>
      </c>
      <c r="D4088">
        <v>47</v>
      </c>
      <c r="E4088">
        <v>53</v>
      </c>
      <c r="F4088">
        <v>6</v>
      </c>
      <c r="G4088">
        <v>2</v>
      </c>
      <c r="H4088" s="1">
        <v>3.7962962962962961E-4</v>
      </c>
      <c r="I4088">
        <v>2013</v>
      </c>
      <c r="J4088" t="s">
        <v>20</v>
      </c>
      <c r="K4088" s="2" t="str">
        <f>HYPERLINK("https://www.nba.com/stats/events?CFID=&amp;CFPARAMS=&amp;GameEventID=248&amp;GameID=0021300363&amp;Season=2013-14&amp;flag=1&amp;title=Leonard%208'%20Jump%20Shot%20(4%20PTS)", "Leonard 8' Jump Shot (4 PTS)")</f>
        <v>Leonard 8' Jump Shot (4 PTS)</v>
      </c>
      <c r="L4088" s="2" t="str">
        <f>HYPERLINK("https://www.nba.com/game/...-vs-...-0021300363/play-by-play?watchFullGame=true", "SAS vs LAC - Q2 00:32.80")</f>
        <v>SAS vs LAC - Q2 00:32.80</v>
      </c>
      <c r="M4088">
        <v>8</v>
      </c>
      <c r="N4088">
        <v>-49</v>
      </c>
      <c r="O4088">
        <v>61</v>
      </c>
      <c r="P4088">
        <v>-49</v>
      </c>
      <c r="Q4088">
        <v>61</v>
      </c>
      <c r="R4088" t="s">
        <v>21</v>
      </c>
      <c r="S4088" t="s">
        <v>21</v>
      </c>
    </row>
    <row r="4089" spans="1:19" hidden="1" x14ac:dyDescent="0.25">
      <c r="A4089">
        <v>21800100</v>
      </c>
      <c r="B4089" t="s">
        <v>18</v>
      </c>
      <c r="C4089" t="s">
        <v>38</v>
      </c>
      <c r="D4089">
        <v>129</v>
      </c>
      <c r="E4089">
        <v>111</v>
      </c>
      <c r="F4089">
        <v>18</v>
      </c>
      <c r="G4089">
        <v>4</v>
      </c>
      <c r="H4089" s="1">
        <v>3.8425925925925927E-4</v>
      </c>
      <c r="I4089">
        <v>2018</v>
      </c>
      <c r="J4089" t="s">
        <v>48</v>
      </c>
      <c r="K4089" s="2" t="str">
        <f>HYPERLINK("https://www.nba.com/stats/events?CFID=&amp;CFPARAMS=&amp;GameEventID=754&amp;GameID=0021800100&amp;Season=2018-19&amp;flag=1&amp;title=Leonard%208'%20Turnaround%20Fadeaway%20(31%20PTS)", "Leonard 8' Turnaround Fadeaway (31 PTS)")</f>
        <v>Leonard 8' Turnaround Fadeaway (31 PTS)</v>
      </c>
      <c r="L4089" s="2" t="str">
        <f>HYPERLINK("https://www.nba.com/game/...-vs-...-0021800100/play-by-play?watchFullGame=true", "TOR vs PHI - Q4 00:33.20")</f>
        <v>TOR vs PHI - Q4 00:33.20</v>
      </c>
      <c r="M4089">
        <v>8</v>
      </c>
      <c r="N4089">
        <v>2</v>
      </c>
      <c r="O4089">
        <v>84</v>
      </c>
      <c r="P4089">
        <v>2</v>
      </c>
      <c r="Q4089">
        <v>84</v>
      </c>
      <c r="R4089" t="s">
        <v>21</v>
      </c>
      <c r="S4089" t="s">
        <v>21</v>
      </c>
    </row>
    <row r="4090" spans="1:19" hidden="1" x14ac:dyDescent="0.25">
      <c r="A4090">
        <v>41600155</v>
      </c>
      <c r="B4090" t="s">
        <v>18</v>
      </c>
      <c r="C4090" t="s">
        <v>36</v>
      </c>
      <c r="D4090">
        <v>55</v>
      </c>
      <c r="E4090">
        <v>47</v>
      </c>
      <c r="F4090">
        <v>8</v>
      </c>
      <c r="G4090">
        <v>2</v>
      </c>
      <c r="H4090" s="1">
        <v>3.8541666666666661E-4</v>
      </c>
      <c r="I4090" t="s">
        <v>58</v>
      </c>
      <c r="J4090" t="s">
        <v>20</v>
      </c>
      <c r="K4090" s="2" t="str">
        <f>HYPERLINK("https://www.nba.com/stats/events?CFID=&amp;CFPARAMS=&amp;GameEventID=222&amp;GameID=0041600155&amp;Season=2016-17&amp;flag=1&amp;title=Leonard%208'%20Pullup%20Jump%20Shot%20(12%20PTS)", "Leonard 8' Pullup Jump Shot (12 PTS)")</f>
        <v>Leonard 8' Pullup Jump Shot (12 PTS)</v>
      </c>
      <c r="L4090" s="2" t="str">
        <f>HYPERLINK("https://www.nba.com/game/...-vs-...-0041600155/play-by-play?watchFullGame=true", "SAS vs MEM - Q2 00:33.30")</f>
        <v>SAS vs MEM - Q2 00:33.30</v>
      </c>
      <c r="M4090">
        <v>8</v>
      </c>
      <c r="N4090">
        <v>10</v>
      </c>
      <c r="O4090">
        <v>82</v>
      </c>
      <c r="P4090">
        <v>10</v>
      </c>
      <c r="Q4090">
        <v>82</v>
      </c>
      <c r="R4090" t="s">
        <v>21</v>
      </c>
      <c r="S4090" t="s">
        <v>21</v>
      </c>
    </row>
    <row r="4091" spans="1:19" hidden="1" x14ac:dyDescent="0.25">
      <c r="A4091">
        <v>21500393</v>
      </c>
      <c r="B4091" t="s">
        <v>18</v>
      </c>
      <c r="C4091" t="s">
        <v>67</v>
      </c>
      <c r="D4091">
        <v>52</v>
      </c>
      <c r="E4091">
        <v>53</v>
      </c>
      <c r="F4091">
        <v>1</v>
      </c>
      <c r="G4091">
        <v>2</v>
      </c>
      <c r="H4091" s="1">
        <v>5.6481481481481476E-4</v>
      </c>
      <c r="I4091">
        <v>2015</v>
      </c>
      <c r="J4091" t="s">
        <v>20</v>
      </c>
      <c r="K4091" s="2" t="str">
        <f>HYPERLINK("https://www.nba.com/stats/events?CFID=&amp;CFPARAMS=&amp;GameEventID=205&amp;GameID=0021500393&amp;Season=2015-16&amp;flag=1&amp;title=Leonard%208'%20Turnaround%20Hook%20Shot%20(10%20PTS)", "Leonard 8' Turnaround Hook Shot (10 PTS)")</f>
        <v>Leonard 8' Turnaround Hook Shot (10 PTS)</v>
      </c>
      <c r="L4091" s="2" t="str">
        <f>HYPERLINK("https://www.nba.com/game/...-vs-...-0021500393/play-by-play?watchFullGame=true", "SAS vs LAC - Q2 00:48.80")</f>
        <v>SAS vs LAC - Q2 00:48.80</v>
      </c>
      <c r="M4091">
        <v>8</v>
      </c>
      <c r="N4091">
        <v>-4</v>
      </c>
      <c r="O4091">
        <v>77</v>
      </c>
      <c r="P4091">
        <v>-4</v>
      </c>
      <c r="Q4091">
        <v>77</v>
      </c>
      <c r="R4091" t="s">
        <v>21</v>
      </c>
      <c r="S4091" t="s">
        <v>21</v>
      </c>
    </row>
    <row r="4092" spans="1:19" hidden="1" x14ac:dyDescent="0.25">
      <c r="A4092">
        <v>21500546</v>
      </c>
      <c r="B4092" t="s">
        <v>18</v>
      </c>
      <c r="C4092" t="s">
        <v>59</v>
      </c>
      <c r="D4092">
        <v>22</v>
      </c>
      <c r="E4092">
        <v>25</v>
      </c>
      <c r="F4092">
        <v>3</v>
      </c>
      <c r="G4092">
        <v>1</v>
      </c>
      <c r="H4092" s="1">
        <v>6.9444444444444447E-4</v>
      </c>
      <c r="I4092">
        <v>2015</v>
      </c>
      <c r="J4092" t="s">
        <v>20</v>
      </c>
      <c r="K4092" s="2" t="str">
        <f>HYPERLINK("https://www.nba.com/stats/events?CFID=&amp;CFPARAMS=&amp;GameEventID=114&amp;GameID=0021500546&amp;Season=2015-16&amp;flag=1&amp;title=Leonard%208'%20Floating%20Jump%20Shot%20(9%20PTS)%20(Mills%201%20AST)", "Leonard 8' Floating Jump Shot (9 PTS) (Mills 1 AST)")</f>
        <v>Leonard 8' Floating Jump Shot (9 PTS) (Mills 1 AST)</v>
      </c>
      <c r="L4092" s="2" t="str">
        <f>HYPERLINK("https://www.nba.com/game/...-vs-...-0021500546/play-by-play?watchFullGame=true", "SAS vs NYK - Q1 01:00.00")</f>
        <v>SAS vs NYK - Q1 01:00.00</v>
      </c>
      <c r="M4092">
        <v>8</v>
      </c>
      <c r="N4092">
        <v>-17</v>
      </c>
      <c r="O4092">
        <v>80</v>
      </c>
      <c r="P4092">
        <v>-17</v>
      </c>
      <c r="Q4092">
        <v>80</v>
      </c>
      <c r="R4092" t="s">
        <v>21</v>
      </c>
      <c r="S4092" t="s">
        <v>21</v>
      </c>
    </row>
    <row r="4093" spans="1:19" hidden="1" x14ac:dyDescent="0.25">
      <c r="A4093">
        <v>41800301</v>
      </c>
      <c r="B4093" t="s">
        <v>18</v>
      </c>
      <c r="C4093" t="s">
        <v>36</v>
      </c>
      <c r="D4093">
        <v>55</v>
      </c>
      <c r="E4093">
        <v>49</v>
      </c>
      <c r="F4093">
        <v>6</v>
      </c>
      <c r="G4093">
        <v>2</v>
      </c>
      <c r="H4093" s="1">
        <v>7.0601851851851847E-4</v>
      </c>
      <c r="I4093" t="s">
        <v>60</v>
      </c>
      <c r="J4093" t="s">
        <v>48</v>
      </c>
      <c r="K4093" s="2" t="str">
        <f>HYPERLINK("https://www.nba.com/stats/events?CFID=&amp;CFPARAMS=&amp;GameEventID=296&amp;GameID=0041800301&amp;Season=2018-19&amp;flag=1&amp;title=Leonard%208'%20Pullup%20Jump%20Shot%20(11%20PTS)", "Leonard 8' Pullup Jump Shot (11 PTS)")</f>
        <v>Leonard 8' Pullup Jump Shot (11 PTS)</v>
      </c>
      <c r="L4093" s="2" t="str">
        <f>HYPERLINK("https://www.nba.com/game/...-vs-...-0041800301/play-by-play?watchFullGame=true", "TOR vs MIL - Q2 01:01.00")</f>
        <v>TOR vs MIL - Q2 01:01.00</v>
      </c>
      <c r="M4093">
        <v>8</v>
      </c>
      <c r="N4093">
        <v>-78</v>
      </c>
      <c r="O4093">
        <v>16</v>
      </c>
      <c r="P4093">
        <v>-78</v>
      </c>
      <c r="Q4093">
        <v>16</v>
      </c>
      <c r="R4093" t="s">
        <v>21</v>
      </c>
      <c r="S4093" t="s">
        <v>21</v>
      </c>
    </row>
    <row r="4094" spans="1:19" hidden="1" x14ac:dyDescent="0.25">
      <c r="A4094">
        <v>21800724</v>
      </c>
      <c r="B4094" t="s">
        <v>18</v>
      </c>
      <c r="C4094" t="s">
        <v>37</v>
      </c>
      <c r="D4094">
        <v>110</v>
      </c>
      <c r="E4094">
        <v>119</v>
      </c>
      <c r="F4094">
        <v>9</v>
      </c>
      <c r="G4094">
        <v>4</v>
      </c>
      <c r="H4094" s="1">
        <v>8.6805555555555551E-4</v>
      </c>
      <c r="I4094">
        <v>2018</v>
      </c>
      <c r="J4094" t="s">
        <v>48</v>
      </c>
      <c r="K4094" s="2" t="str">
        <f>HYPERLINK("https://www.nba.com/stats/events?CFID=&amp;CFPARAMS=&amp;GameEventID=642&amp;GameID=0021800724&amp;Season=2018-19&amp;flag=1&amp;title=Leonard%208'%20Fadeaway%20Jumper%20(29%20PTS)%20(Lowry%2011%20AST)", "Leonard 8' Fadeaway Jumper (29 PTS) (Lowry 11 AST)")</f>
        <v>Leonard 8' Fadeaway Jumper (29 PTS) (Lowry 11 AST)</v>
      </c>
      <c r="L4094" s="2" t="str">
        <f>HYPERLINK("https://www.nba.com/game/...-vs-...-0021800724/play-by-play?watchFullGame=true", "TOR vs HOU - Q4 01:15.00")</f>
        <v>TOR vs HOU - Q4 01:15.00</v>
      </c>
      <c r="M4094">
        <v>8</v>
      </c>
      <c r="N4094">
        <v>2</v>
      </c>
      <c r="O4094">
        <v>81</v>
      </c>
      <c r="P4094">
        <v>2</v>
      </c>
      <c r="Q4094">
        <v>81</v>
      </c>
      <c r="R4094" t="s">
        <v>21</v>
      </c>
      <c r="S4094" t="s">
        <v>21</v>
      </c>
    </row>
    <row r="4095" spans="1:19" hidden="1" x14ac:dyDescent="0.25">
      <c r="A4095">
        <v>41400162</v>
      </c>
      <c r="B4095" t="s">
        <v>18</v>
      </c>
      <c r="C4095" t="s">
        <v>45</v>
      </c>
      <c r="D4095">
        <v>27</v>
      </c>
      <c r="E4095">
        <v>22</v>
      </c>
      <c r="F4095">
        <v>5</v>
      </c>
      <c r="G4095">
        <v>1</v>
      </c>
      <c r="H4095" s="1">
        <v>9.7222222222222219E-4</v>
      </c>
      <c r="I4095" t="s">
        <v>56</v>
      </c>
      <c r="J4095" t="s">
        <v>20</v>
      </c>
      <c r="K4095" s="2" t="str">
        <f>HYPERLINK("https://www.nba.com/stats/events?CFID=&amp;CFPARAMS=&amp;GameEventID=91&amp;GameID=0041400162&amp;Season=2014-15&amp;flag=1&amp;title=Leonard%208'%20Pullup%20Bank%20Shot%20(7%20PTS)%20(Diaw%201%20AST)", "Leonard 8' Pullup Bank Shot (7 PTS) (Diaw 1 AST)")</f>
        <v>Leonard 8' Pullup Bank Shot (7 PTS) (Diaw 1 AST)</v>
      </c>
      <c r="L4095" s="2" t="str">
        <f>HYPERLINK("https://www.nba.com/game/...-vs-...-0041400162/play-by-play?watchFullGame=true", "SAS vs LAC - Q1 01:24.00")</f>
        <v>SAS vs LAC - Q1 01:24.00</v>
      </c>
      <c r="M4095">
        <v>8</v>
      </c>
      <c r="N4095">
        <v>-82</v>
      </c>
      <c r="O4095">
        <v>6</v>
      </c>
      <c r="P4095">
        <v>-82</v>
      </c>
      <c r="Q4095">
        <v>6</v>
      </c>
      <c r="R4095" t="s">
        <v>21</v>
      </c>
      <c r="S4095" t="s">
        <v>21</v>
      </c>
    </row>
    <row r="4096" spans="1:19" hidden="1" x14ac:dyDescent="0.25">
      <c r="A4096">
        <v>21600917</v>
      </c>
      <c r="B4096" t="s">
        <v>18</v>
      </c>
      <c r="C4096" t="s">
        <v>47</v>
      </c>
      <c r="D4096">
        <v>23</v>
      </c>
      <c r="E4096">
        <v>26</v>
      </c>
      <c r="F4096">
        <v>3</v>
      </c>
      <c r="G4096">
        <v>1</v>
      </c>
      <c r="H4096" s="1">
        <v>1.1458333333333333E-3</v>
      </c>
      <c r="I4096">
        <v>2016</v>
      </c>
      <c r="J4096" t="s">
        <v>20</v>
      </c>
      <c r="K4096" s="2" t="str">
        <f>HYPERLINK("https://www.nba.com/stats/events?CFID=&amp;CFPARAMS=&amp;GameEventID=100&amp;GameID=0021600917&amp;Season=2016-17&amp;flag=1&amp;title=Leonard%208'%20Hook%20Shot%20(12%20PTS)", "Leonard 8' Hook Shot (12 PTS)")</f>
        <v>Leonard 8' Hook Shot (12 PTS)</v>
      </c>
      <c r="L4096" s="2" t="str">
        <f>HYPERLINK("https://www.nba.com/game/...-vs-...-0021600917/play-by-play?watchFullGame=true", "SAS vs NOP - Q1 01:39.00")</f>
        <v>SAS vs NOP - Q1 01:39.00</v>
      </c>
      <c r="M4096">
        <v>8</v>
      </c>
      <c r="N4096">
        <v>-24</v>
      </c>
      <c r="O4096">
        <v>80</v>
      </c>
      <c r="P4096">
        <v>-24</v>
      </c>
      <c r="Q4096">
        <v>80</v>
      </c>
      <c r="R4096" t="s">
        <v>21</v>
      </c>
      <c r="S4096" t="s">
        <v>21</v>
      </c>
    </row>
    <row r="4097" spans="1:19" hidden="1" x14ac:dyDescent="0.25">
      <c r="A4097">
        <v>41800405</v>
      </c>
      <c r="B4097" t="s">
        <v>18</v>
      </c>
      <c r="C4097" t="s">
        <v>42</v>
      </c>
      <c r="D4097">
        <v>52</v>
      </c>
      <c r="E4097">
        <v>57</v>
      </c>
      <c r="F4097">
        <v>5</v>
      </c>
      <c r="G4097">
        <v>2</v>
      </c>
      <c r="H4097" s="1">
        <v>1.2847222222222223E-3</v>
      </c>
      <c r="I4097" t="s">
        <v>60</v>
      </c>
      <c r="J4097" t="s">
        <v>48</v>
      </c>
      <c r="K4097" s="2" t="str">
        <f>HYPERLINK("https://www.nba.com/stats/events?CFID=&amp;CFPARAMS=&amp;GameEventID=342&amp;GameID=0041800405&amp;Season=2018-19&amp;flag=1&amp;title=Leonard%208'%20Driving%20Floating%20Jump%20Shot%20(13%20PTS)", "Leonard 8' Driving Floating Jump Shot (13 PTS)")</f>
        <v>Leonard 8' Driving Floating Jump Shot (13 PTS)</v>
      </c>
      <c r="L4097" s="2" t="str">
        <f>HYPERLINK("https://www.nba.com/game/...-vs-...-0041800405/play-by-play?watchFullGame=true", "TOR vs GSW - Q2 01:51.00")</f>
        <v>TOR vs GSW - Q2 01:51.00</v>
      </c>
      <c r="M4097">
        <v>8</v>
      </c>
      <c r="N4097">
        <v>44</v>
      </c>
      <c r="O4097">
        <v>69</v>
      </c>
      <c r="P4097">
        <v>44</v>
      </c>
      <c r="Q4097">
        <v>69</v>
      </c>
      <c r="R4097" t="s">
        <v>21</v>
      </c>
      <c r="S4097" t="s">
        <v>21</v>
      </c>
    </row>
    <row r="4098" spans="1:19" hidden="1" x14ac:dyDescent="0.25">
      <c r="A4098">
        <v>21800549</v>
      </c>
      <c r="B4098" t="s">
        <v>18</v>
      </c>
      <c r="C4098" t="s">
        <v>37</v>
      </c>
      <c r="D4098">
        <v>118</v>
      </c>
      <c r="E4098">
        <v>109</v>
      </c>
      <c r="F4098">
        <v>9</v>
      </c>
      <c r="G4098">
        <v>4</v>
      </c>
      <c r="H4098" s="1">
        <v>1.2962962962962963E-3</v>
      </c>
      <c r="I4098">
        <v>2018</v>
      </c>
      <c r="J4098" t="s">
        <v>48</v>
      </c>
      <c r="K4098" s="2" t="str">
        <f>HYPERLINK("https://www.nba.com/stats/events?CFID=&amp;CFPARAMS=&amp;GameEventID=620&amp;GameID=0021800549&amp;Season=2018-19&amp;flag=1&amp;title=Leonard%208'%20Fadeaway%20Jumper%20(44%20PTS)", "Leonard 8' Fadeaway Jumper (44 PTS)")</f>
        <v>Leonard 8' Fadeaway Jumper (44 PTS)</v>
      </c>
      <c r="L4098" s="2" t="str">
        <f>HYPERLINK("https://www.nba.com/game/...-vs-...-0021800549/play-by-play?watchFullGame=true", "TOR vs UTA - Q4 01:52.00")</f>
        <v>TOR vs UTA - Q4 01:52.00</v>
      </c>
      <c r="M4098">
        <v>8</v>
      </c>
      <c r="N4098">
        <v>-78</v>
      </c>
      <c r="O4098">
        <v>27</v>
      </c>
      <c r="P4098">
        <v>-78</v>
      </c>
      <c r="Q4098">
        <v>27</v>
      </c>
      <c r="R4098" t="s">
        <v>21</v>
      </c>
      <c r="S4098" t="s">
        <v>21</v>
      </c>
    </row>
    <row r="4099" spans="1:19" hidden="1" x14ac:dyDescent="0.25">
      <c r="A4099">
        <v>41600154</v>
      </c>
      <c r="B4099" t="s">
        <v>18</v>
      </c>
      <c r="C4099" t="s">
        <v>37</v>
      </c>
      <c r="D4099">
        <v>102</v>
      </c>
      <c r="E4099">
        <v>100</v>
      </c>
      <c r="F4099">
        <v>2</v>
      </c>
      <c r="G4099">
        <v>5</v>
      </c>
      <c r="H4099" s="1">
        <v>1.4351851851851852E-3</v>
      </c>
      <c r="I4099" t="s">
        <v>58</v>
      </c>
      <c r="J4099" t="s">
        <v>20</v>
      </c>
      <c r="K4099" s="2" t="str">
        <f>HYPERLINK("https://www.nba.com/stats/events?CFID=&amp;CFPARAMS=&amp;GameEventID=548&amp;GameID=0041600154&amp;Season=2016-17&amp;flag=1&amp;title=Leonard%208'%20Fadeaway%20Jumper%20(37%20PTS)", "Leonard 8' Fadeaway Jumper (37 PTS)")</f>
        <v>Leonard 8' Fadeaway Jumper (37 PTS)</v>
      </c>
      <c r="L4099" s="2" t="str">
        <f>HYPERLINK("https://www.nba.com/game/...-vs-...-0041600154/play-by-play?watchFullGame=true", "SAS vs MEM - Q5 02:04.00")</f>
        <v>SAS vs MEM - Q5 02:04.00</v>
      </c>
      <c r="M4099">
        <v>8</v>
      </c>
      <c r="N4099">
        <v>10</v>
      </c>
      <c r="O4099">
        <v>80</v>
      </c>
      <c r="P4099">
        <v>10</v>
      </c>
      <c r="Q4099">
        <v>80</v>
      </c>
      <c r="R4099" t="s">
        <v>21</v>
      </c>
      <c r="S4099" t="s">
        <v>21</v>
      </c>
    </row>
    <row r="4100" spans="1:19" hidden="1" x14ac:dyDescent="0.25">
      <c r="A4100">
        <v>21601161</v>
      </c>
      <c r="B4100" t="s">
        <v>18</v>
      </c>
      <c r="C4100" t="s">
        <v>19</v>
      </c>
      <c r="D4100">
        <v>31</v>
      </c>
      <c r="E4100">
        <v>30</v>
      </c>
      <c r="F4100">
        <v>1</v>
      </c>
      <c r="G4100">
        <v>2</v>
      </c>
      <c r="H4100" s="1">
        <v>1.4467592592592592E-3</v>
      </c>
      <c r="I4100">
        <v>2016</v>
      </c>
      <c r="J4100" t="s">
        <v>20</v>
      </c>
      <c r="K4100" s="2" t="str">
        <f>HYPERLINK("https://www.nba.com/stats/events?CFID=&amp;CFPARAMS=&amp;GameEventID=214&amp;GameID=0021601161&amp;Season=2016-17&amp;flag=1&amp;title=Leonard%208'%20Jump%20Shot%20(9%20PTS)", "Leonard 8' Jump Shot (9 PTS)")</f>
        <v>Leonard 8' Jump Shot (9 PTS)</v>
      </c>
      <c r="L4100" s="2" t="str">
        <f>HYPERLINK("https://www.nba.com/game/...-vs-...-0021601161/play-by-play?watchFullGame=true", "SAS vs MEM - Q2 02:05.00")</f>
        <v>SAS vs MEM - Q2 02:05.00</v>
      </c>
      <c r="M4100">
        <v>8</v>
      </c>
      <c r="N4100">
        <v>-7</v>
      </c>
      <c r="O4100">
        <v>80</v>
      </c>
      <c r="P4100">
        <v>-7</v>
      </c>
      <c r="Q4100">
        <v>80</v>
      </c>
      <c r="R4100" t="s">
        <v>21</v>
      </c>
      <c r="S4100" t="s">
        <v>21</v>
      </c>
    </row>
    <row r="4101" spans="1:19" hidden="1" x14ac:dyDescent="0.25">
      <c r="A4101">
        <v>41200233</v>
      </c>
      <c r="B4101" t="s">
        <v>18</v>
      </c>
      <c r="C4101" t="s">
        <v>66</v>
      </c>
      <c r="D4101">
        <v>22</v>
      </c>
      <c r="E4101">
        <v>21</v>
      </c>
      <c r="F4101">
        <v>1</v>
      </c>
      <c r="G4101">
        <v>1</v>
      </c>
      <c r="H4101" s="1">
        <v>1.5277777777777779E-3</v>
      </c>
      <c r="I4101" t="s">
        <v>53</v>
      </c>
      <c r="J4101" t="s">
        <v>20</v>
      </c>
      <c r="K4101" s="2" t="str">
        <f>HYPERLINK("https://www.nba.com/stats/events?CFID=&amp;CFPARAMS=&amp;GameEventID=88&amp;GameID=0041200233&amp;Season=2012-13&amp;flag=1&amp;title=Leonard%208'%20Jump%20Bank%20Hook%20Shot%20(2%20PTS)", "Leonard 8' Jump Bank Hook Shot (2 PTS)")</f>
        <v>Leonard 8' Jump Bank Hook Shot (2 PTS)</v>
      </c>
      <c r="L4101" s="2" t="str">
        <f>HYPERLINK("https://www.nba.com/game/...-vs-...-0041200233/play-by-play?watchFullGame=true", "SAS vs GSW - Q1 02:12.00")</f>
        <v>SAS vs GSW - Q1 02:12.00</v>
      </c>
      <c r="M4101">
        <v>8</v>
      </c>
      <c r="N4101">
        <v>53</v>
      </c>
      <c r="O4101">
        <v>56</v>
      </c>
      <c r="P4101">
        <v>53</v>
      </c>
      <c r="Q4101">
        <v>56</v>
      </c>
      <c r="R4101" t="s">
        <v>21</v>
      </c>
      <c r="S4101" t="s">
        <v>21</v>
      </c>
    </row>
    <row r="4102" spans="1:19" hidden="1" x14ac:dyDescent="0.25">
      <c r="A4102">
        <v>21400772</v>
      </c>
      <c r="B4102" t="s">
        <v>18</v>
      </c>
      <c r="C4102" t="s">
        <v>36</v>
      </c>
      <c r="D4102">
        <v>58</v>
      </c>
      <c r="E4102">
        <v>61</v>
      </c>
      <c r="F4102">
        <v>3</v>
      </c>
      <c r="G4102">
        <v>3</v>
      </c>
      <c r="H4102" s="1">
        <v>1.5972222222222223E-3</v>
      </c>
      <c r="I4102">
        <v>2014</v>
      </c>
      <c r="J4102" t="s">
        <v>20</v>
      </c>
      <c r="K4102" s="2" t="str">
        <f>HYPERLINK("https://www.nba.com/stats/events?CFID=&amp;CFPARAMS=&amp;GameEventID=370&amp;GameID=0021400772&amp;Season=2014-15&amp;flag=1&amp;title=Leonard%208'%20Pullup%20Jump%20Shot%20(11%20PTS)", "Leonard 8' Pullup Jump Shot (11 PTS)")</f>
        <v>Leonard 8' Pullup Jump Shot (11 PTS)</v>
      </c>
      <c r="L4102" s="2" t="str">
        <f>HYPERLINK("https://www.nba.com/game/...-vs-...-0021400772/play-by-play?watchFullGame=true", "SAS vs TOR - Q3 02:18.00")</f>
        <v>SAS vs TOR - Q3 02:18.00</v>
      </c>
      <c r="M4102">
        <v>8</v>
      </c>
      <c r="N4102">
        <v>42</v>
      </c>
      <c r="O4102">
        <v>67</v>
      </c>
      <c r="P4102">
        <v>42</v>
      </c>
      <c r="Q4102">
        <v>67</v>
      </c>
      <c r="R4102" t="s">
        <v>21</v>
      </c>
      <c r="S4102" t="s">
        <v>21</v>
      </c>
    </row>
    <row r="4103" spans="1:19" hidden="1" x14ac:dyDescent="0.25">
      <c r="A4103">
        <v>21800724</v>
      </c>
      <c r="B4103" t="s">
        <v>18</v>
      </c>
      <c r="C4103" t="s">
        <v>82</v>
      </c>
      <c r="D4103">
        <v>103</v>
      </c>
      <c r="E4103">
        <v>115</v>
      </c>
      <c r="F4103">
        <v>12</v>
      </c>
      <c r="G4103">
        <v>4</v>
      </c>
      <c r="H4103" s="1">
        <v>1.8865740740740742E-3</v>
      </c>
      <c r="I4103">
        <v>2018</v>
      </c>
      <c r="J4103" t="s">
        <v>48</v>
      </c>
      <c r="K4103" s="2" t="str">
        <f>HYPERLINK("https://www.nba.com/stats/events?CFID=&amp;CFPARAMS=&amp;GameEventID=624&amp;GameID=0021800724&amp;Season=2018-19&amp;flag=1&amp;title=Leonard%208'%20Turnaround%20Bank%20Hook%20Shot%20(27%20PTS)", "Leonard 8' Turnaround Bank Hook Shot (27 PTS)")</f>
        <v>Leonard 8' Turnaround Bank Hook Shot (27 PTS)</v>
      </c>
      <c r="L4103" s="2" t="str">
        <f>HYPERLINK("https://www.nba.com/game/...-vs-...-0021800724/play-by-play?watchFullGame=true", "TOR vs HOU - Q4 02:43.00")</f>
        <v>TOR vs HOU - Q4 02:43.00</v>
      </c>
      <c r="M4103">
        <v>8</v>
      </c>
      <c r="N4103">
        <v>-57</v>
      </c>
      <c r="O4103">
        <v>62</v>
      </c>
      <c r="P4103">
        <v>-57</v>
      </c>
      <c r="Q4103">
        <v>62</v>
      </c>
      <c r="R4103" t="s">
        <v>21</v>
      </c>
      <c r="S4103" t="s">
        <v>21</v>
      </c>
    </row>
    <row r="4104" spans="1:19" hidden="1" x14ac:dyDescent="0.25">
      <c r="A4104">
        <v>21401057</v>
      </c>
      <c r="B4104" t="s">
        <v>18</v>
      </c>
      <c r="C4104" t="s">
        <v>54</v>
      </c>
      <c r="D4104">
        <v>86</v>
      </c>
      <c r="E4104">
        <v>95</v>
      </c>
      <c r="F4104">
        <v>9</v>
      </c>
      <c r="G4104">
        <v>4</v>
      </c>
      <c r="H4104" s="1">
        <v>1.9444444444444444E-3</v>
      </c>
      <c r="I4104">
        <v>2014</v>
      </c>
      <c r="J4104" t="s">
        <v>20</v>
      </c>
      <c r="K4104" s="2" t="str">
        <f>HYPERLINK("https://www.nba.com/stats/events?CFID=&amp;CFPARAMS=&amp;GameEventID=490&amp;GameID=0021401057&amp;Season=2014-15&amp;flag=1&amp;title=Leonard%208'%20Driving%20Jump%20Shot%20(18%20PTS)", "Leonard 8' Driving Jump Shot (18 PTS)")</f>
        <v>Leonard 8' Driving Jump Shot (18 PTS)</v>
      </c>
      <c r="L4104" s="2" t="str">
        <f>HYPERLINK("https://www.nba.com/game/...-vs-...-0021401057/play-by-play?watchFullGame=true", "SAS vs DAL - Q4 02:48.00")</f>
        <v>SAS vs DAL - Q4 02:48.00</v>
      </c>
      <c r="M4104">
        <v>8</v>
      </c>
      <c r="N4104">
        <v>-13</v>
      </c>
      <c r="O4104">
        <v>83</v>
      </c>
      <c r="P4104">
        <v>-13</v>
      </c>
      <c r="Q4104">
        <v>83</v>
      </c>
      <c r="R4104" t="s">
        <v>21</v>
      </c>
      <c r="S4104" t="s">
        <v>21</v>
      </c>
    </row>
    <row r="4105" spans="1:19" hidden="1" x14ac:dyDescent="0.25">
      <c r="A4105">
        <v>21400921</v>
      </c>
      <c r="B4105" t="s">
        <v>18</v>
      </c>
      <c r="C4105" t="s">
        <v>19</v>
      </c>
      <c r="D4105">
        <v>53</v>
      </c>
      <c r="E4105">
        <v>51</v>
      </c>
      <c r="F4105">
        <v>2</v>
      </c>
      <c r="G4105">
        <v>2</v>
      </c>
      <c r="H4105" s="1">
        <v>2.0949074074074073E-3</v>
      </c>
      <c r="I4105">
        <v>2014</v>
      </c>
      <c r="J4105" t="s">
        <v>20</v>
      </c>
      <c r="K4105" s="2" t="str">
        <f>HYPERLINK("https://www.nba.com/stats/events?CFID=&amp;CFPARAMS=&amp;GameEventID=223&amp;GameID=0021400921&amp;Season=2014-15&amp;flag=1&amp;title=Leonard%208'%20Jump%20Shot%20(13%20PTS)", "Leonard 8' Jump Shot (13 PTS)")</f>
        <v>Leonard 8' Jump Shot (13 PTS)</v>
      </c>
      <c r="L4105" s="2" t="str">
        <f>HYPERLINK("https://www.nba.com/game/...-vs-...-0021400921/play-by-play?watchFullGame=true", "SAS vs DEN - Q2 03:01.00")</f>
        <v>SAS vs DEN - Q2 03:01.00</v>
      </c>
      <c r="M4105">
        <v>8</v>
      </c>
      <c r="N4105">
        <v>36</v>
      </c>
      <c r="O4105">
        <v>66</v>
      </c>
      <c r="P4105">
        <v>36</v>
      </c>
      <c r="Q4105">
        <v>66</v>
      </c>
      <c r="R4105" t="s">
        <v>21</v>
      </c>
      <c r="S4105" t="s">
        <v>21</v>
      </c>
    </row>
    <row r="4106" spans="1:19" hidden="1" x14ac:dyDescent="0.25">
      <c r="A4106">
        <v>21601085</v>
      </c>
      <c r="B4106" t="s">
        <v>18</v>
      </c>
      <c r="C4106" t="s">
        <v>59</v>
      </c>
      <c r="D4106">
        <v>52</v>
      </c>
      <c r="E4106">
        <v>35</v>
      </c>
      <c r="F4106">
        <v>17</v>
      </c>
      <c r="G4106">
        <v>2</v>
      </c>
      <c r="H4106" s="1">
        <v>2.1875000000000002E-3</v>
      </c>
      <c r="I4106">
        <v>2016</v>
      </c>
      <c r="J4106" t="s">
        <v>20</v>
      </c>
      <c r="K4106" s="2" t="str">
        <f>HYPERLINK("https://www.nba.com/stats/events?CFID=&amp;CFPARAMS=&amp;GameEventID=225&amp;GameID=0021601085&amp;Season=2016-17&amp;flag=1&amp;title=Leonard%208'%20Floating%20Jump%20Shot%20(14%20PTS)%20(Ginobili%203%20AST)", "Leonard 8' Floating Jump Shot (14 PTS) (Ginobili 3 AST)")</f>
        <v>Leonard 8' Floating Jump Shot (14 PTS) (Ginobili 3 AST)</v>
      </c>
      <c r="L4106" s="2" t="str">
        <f>HYPERLINK("https://www.nba.com/game/...-vs-...-0021601085/play-by-play?watchFullGame=true", "SAS vs NYK - Q2 03:09.00")</f>
        <v>SAS vs NYK - Q2 03:09.00</v>
      </c>
      <c r="M4106">
        <v>8</v>
      </c>
      <c r="N4106">
        <v>-76</v>
      </c>
      <c r="O4106">
        <v>21</v>
      </c>
      <c r="P4106">
        <v>-76</v>
      </c>
      <c r="Q4106">
        <v>21</v>
      </c>
      <c r="R4106" t="s">
        <v>21</v>
      </c>
      <c r="S4106" t="s">
        <v>21</v>
      </c>
    </row>
    <row r="4107" spans="1:19" hidden="1" x14ac:dyDescent="0.25">
      <c r="A4107">
        <v>41300221</v>
      </c>
      <c r="B4107" t="s">
        <v>18</v>
      </c>
      <c r="C4107" t="s">
        <v>30</v>
      </c>
      <c r="D4107">
        <v>58</v>
      </c>
      <c r="E4107">
        <v>32</v>
      </c>
      <c r="F4107">
        <v>26</v>
      </c>
      <c r="G4107">
        <v>2</v>
      </c>
      <c r="H4107" s="1">
        <v>2.2106481481481482E-3</v>
      </c>
      <c r="I4107" t="s">
        <v>55</v>
      </c>
      <c r="J4107" t="s">
        <v>20</v>
      </c>
      <c r="K4107" s="2" t="str">
        <f>HYPERLINK("https://www.nba.com/stats/events?CFID=&amp;CFPARAMS=&amp;GameEventID=222&amp;GameID=0041300221&amp;Season=2013-14&amp;flag=1&amp;title=Leonard%208'%20Running%20Jump%20Shot%20(11%20PTS)", "Leonard 8' Running Jump Shot (11 PTS)")</f>
        <v>Leonard 8' Running Jump Shot (11 PTS)</v>
      </c>
      <c r="L4107" s="2" t="str">
        <f>HYPERLINK("https://www.nba.com/game/...-vs-...-0041300221/play-by-play?watchFullGame=true", "SAS vs POR - Q2 03:11.00")</f>
        <v>SAS vs POR - Q2 03:11.00</v>
      </c>
      <c r="M4107">
        <v>8</v>
      </c>
      <c r="N4107">
        <v>6</v>
      </c>
      <c r="O4107">
        <v>75</v>
      </c>
      <c r="P4107">
        <v>6</v>
      </c>
      <c r="Q4107">
        <v>75</v>
      </c>
      <c r="R4107" t="s">
        <v>21</v>
      </c>
      <c r="S4107" t="s">
        <v>21</v>
      </c>
    </row>
    <row r="4108" spans="1:19" hidden="1" x14ac:dyDescent="0.25">
      <c r="A4108">
        <v>21500439</v>
      </c>
      <c r="B4108" t="s">
        <v>18</v>
      </c>
      <c r="C4108" t="s">
        <v>59</v>
      </c>
      <c r="D4108">
        <v>38</v>
      </c>
      <c r="E4108">
        <v>38</v>
      </c>
      <c r="F4108">
        <v>0</v>
      </c>
      <c r="G4108">
        <v>2</v>
      </c>
      <c r="H4108" s="1">
        <v>2.2337962962962962E-3</v>
      </c>
      <c r="I4108">
        <v>2015</v>
      </c>
      <c r="J4108" t="s">
        <v>20</v>
      </c>
      <c r="K4108" s="2" t="str">
        <f>HYPERLINK("https://www.nba.com/stats/events?CFID=&amp;CFPARAMS=&amp;GameEventID=207&amp;GameID=0021500439&amp;Season=2015-16&amp;flag=1&amp;title=Leonard%208'%20Floating%20Jump%20Shot%20(11%20PTS)", "Leonard 8' Floating Jump Shot (11 PTS)")</f>
        <v>Leonard 8' Floating Jump Shot (11 PTS)</v>
      </c>
      <c r="L4108" s="2" t="str">
        <f>HYPERLINK("https://www.nba.com/game/...-vs-...-0021500439/play-by-play?watchFullGame=true", "SAS vs HOU - Q2 03:13.00")</f>
        <v>SAS vs HOU - Q2 03:13.00</v>
      </c>
      <c r="M4108">
        <v>8</v>
      </c>
      <c r="N4108">
        <v>38</v>
      </c>
      <c r="O4108">
        <v>75</v>
      </c>
      <c r="P4108">
        <v>38</v>
      </c>
      <c r="Q4108">
        <v>75</v>
      </c>
      <c r="R4108" t="s">
        <v>21</v>
      </c>
      <c r="S4108" t="s">
        <v>21</v>
      </c>
    </row>
    <row r="4109" spans="1:19" hidden="1" x14ac:dyDescent="0.25">
      <c r="A4109">
        <v>21600994</v>
      </c>
      <c r="B4109" t="s">
        <v>18</v>
      </c>
      <c r="C4109" t="s">
        <v>67</v>
      </c>
      <c r="D4109">
        <v>21</v>
      </c>
      <c r="E4109">
        <v>17</v>
      </c>
      <c r="F4109">
        <v>4</v>
      </c>
      <c r="G4109">
        <v>1</v>
      </c>
      <c r="H4109" s="1">
        <v>2.2453703703703702E-3</v>
      </c>
      <c r="I4109">
        <v>2016</v>
      </c>
      <c r="J4109" t="s">
        <v>20</v>
      </c>
      <c r="K4109" s="2" t="str">
        <f>HYPERLINK("https://www.nba.com/stats/events?CFID=&amp;CFPARAMS=&amp;GameEventID=75&amp;GameID=0021600994&amp;Season=2016-17&amp;flag=1&amp;title=Leonard%208'%20Turnaround%20Hook%20Shot%20(7%20PTS)", "Leonard 8' Turnaround Hook Shot (7 PTS)")</f>
        <v>Leonard 8' Turnaround Hook Shot (7 PTS)</v>
      </c>
      <c r="L4109" s="2" t="str">
        <f>HYPERLINK("https://www.nba.com/game/...-vs-...-0021600994/play-by-play?watchFullGame=true", "SAS vs ATL - Q1 03:14.00")</f>
        <v>SAS vs ATL - Q1 03:14.00</v>
      </c>
      <c r="M4109">
        <v>8</v>
      </c>
      <c r="N4109">
        <v>-73</v>
      </c>
      <c r="O4109">
        <v>43</v>
      </c>
      <c r="P4109">
        <v>-73</v>
      </c>
      <c r="Q4109">
        <v>43</v>
      </c>
      <c r="R4109" t="s">
        <v>21</v>
      </c>
      <c r="S4109" t="s">
        <v>21</v>
      </c>
    </row>
    <row r="4110" spans="1:19" hidden="1" x14ac:dyDescent="0.25">
      <c r="A4110">
        <v>21500928</v>
      </c>
      <c r="B4110" t="s">
        <v>18</v>
      </c>
      <c r="C4110" t="s">
        <v>43</v>
      </c>
      <c r="D4110">
        <v>96</v>
      </c>
      <c r="E4110">
        <v>85</v>
      </c>
      <c r="F4110">
        <v>11</v>
      </c>
      <c r="G4110">
        <v>4</v>
      </c>
      <c r="H4110" s="1">
        <v>2.3263888888888887E-3</v>
      </c>
      <c r="I4110">
        <v>2015</v>
      </c>
      <c r="J4110" t="s">
        <v>20</v>
      </c>
      <c r="K4110" s="2" t="str">
        <f>HYPERLINK("https://www.nba.com/stats/events?CFID=&amp;CFPARAMS=&amp;GameEventID=492&amp;GameID=0021500928&amp;Season=2015-16&amp;flag=1&amp;title=Leonard%208'%20Driving%20Bank%20Shot%20(23%20PTS)%20(Mills%203%20AST)", "Leonard 8' Driving Bank Shot (23 PTS) (Mills 3 AST)")</f>
        <v>Leonard 8' Driving Bank Shot (23 PTS) (Mills 3 AST)</v>
      </c>
      <c r="L4110" s="2" t="str">
        <f>HYPERLINK("https://www.nba.com/game/...-vs-...-0021500928/play-by-play?watchFullGame=true", "SAS vs SAC - Q4 03:21.00")</f>
        <v>SAS vs SAC - Q4 03:21.00</v>
      </c>
      <c r="M4110">
        <v>8</v>
      </c>
      <c r="N4110">
        <v>78</v>
      </c>
      <c r="O4110">
        <v>8</v>
      </c>
      <c r="P4110">
        <v>78</v>
      </c>
      <c r="Q4110">
        <v>8</v>
      </c>
      <c r="R4110" t="s">
        <v>21</v>
      </c>
      <c r="S4110" t="s">
        <v>21</v>
      </c>
    </row>
    <row r="4111" spans="1:19" hidden="1" x14ac:dyDescent="0.25">
      <c r="A4111">
        <v>21500364</v>
      </c>
      <c r="B4111" t="s">
        <v>18</v>
      </c>
      <c r="C4111" t="s">
        <v>67</v>
      </c>
      <c r="D4111">
        <v>55</v>
      </c>
      <c r="E4111">
        <v>27</v>
      </c>
      <c r="F4111">
        <v>28</v>
      </c>
      <c r="G4111">
        <v>2</v>
      </c>
      <c r="H4111" s="1">
        <v>2.4189814814814816E-3</v>
      </c>
      <c r="I4111">
        <v>2015</v>
      </c>
      <c r="J4111" t="s">
        <v>20</v>
      </c>
      <c r="K4111" s="2" t="str">
        <f>HYPERLINK("https://www.nba.com/stats/events?CFID=&amp;CFPARAMS=&amp;GameEventID=219&amp;GameID=0021500364&amp;Season=2015-16&amp;flag=1&amp;title=Leonard%208'%20Turnaround%20Hook%20Shot%20(10%20PTS)", "Leonard 8' Turnaround Hook Shot (10 PTS)")</f>
        <v>Leonard 8' Turnaround Hook Shot (10 PTS)</v>
      </c>
      <c r="L4111" s="2" t="str">
        <f>HYPERLINK("https://www.nba.com/game/...-vs-...-0021500364/play-by-play?watchFullGame=true", "SAS vs UTA - Q2 03:29.00")</f>
        <v>SAS vs UTA - Q2 03:29.00</v>
      </c>
      <c r="M4111">
        <v>8</v>
      </c>
      <c r="N4111">
        <v>-45</v>
      </c>
      <c r="O4111">
        <v>61</v>
      </c>
      <c r="P4111">
        <v>-45</v>
      </c>
      <c r="Q4111">
        <v>61</v>
      </c>
      <c r="R4111" t="s">
        <v>21</v>
      </c>
      <c r="S4111" t="s">
        <v>21</v>
      </c>
    </row>
    <row r="4112" spans="1:19" hidden="1" x14ac:dyDescent="0.25">
      <c r="A4112">
        <v>21600441</v>
      </c>
      <c r="B4112" t="s">
        <v>18</v>
      </c>
      <c r="C4112" t="s">
        <v>19</v>
      </c>
      <c r="D4112">
        <v>86</v>
      </c>
      <c r="E4112">
        <v>98</v>
      </c>
      <c r="F4112">
        <v>12</v>
      </c>
      <c r="G4112">
        <v>4</v>
      </c>
      <c r="H4112" s="1">
        <v>2.4537037037037036E-3</v>
      </c>
      <c r="I4112">
        <v>2016</v>
      </c>
      <c r="J4112" t="s">
        <v>20</v>
      </c>
      <c r="K4112" s="2" t="str">
        <f>HYPERLINK("https://www.nba.com/stats/events?CFID=&amp;CFPARAMS=&amp;GameEventID=513&amp;GameID=0021600441&amp;Season=2016-17&amp;flag=1&amp;title=Leonard%208'%20Jump%20Shot%20(24%20PTS)", "Leonard 8' Jump Shot (24 PTS)")</f>
        <v>Leonard 8' Jump Shot (24 PTS)</v>
      </c>
      <c r="L4112" s="2" t="str">
        <f>HYPERLINK("https://www.nba.com/game/...-vs-...-0021600441/play-by-play?watchFullGame=true", "SAS vs LAC - Q4 03:32.00")</f>
        <v>SAS vs LAC - Q4 03:32.00</v>
      </c>
      <c r="M4112">
        <v>8</v>
      </c>
      <c r="N4112">
        <v>14</v>
      </c>
      <c r="O4112">
        <v>77</v>
      </c>
      <c r="P4112">
        <v>14</v>
      </c>
      <c r="Q4112">
        <v>77</v>
      </c>
      <c r="R4112" t="s">
        <v>21</v>
      </c>
      <c r="S4112" t="s">
        <v>21</v>
      </c>
    </row>
    <row r="4113" spans="1:19" hidden="1" x14ac:dyDescent="0.25">
      <c r="A4113">
        <v>21600657</v>
      </c>
      <c r="B4113" t="s">
        <v>18</v>
      </c>
      <c r="C4113" t="s">
        <v>31</v>
      </c>
      <c r="D4113">
        <v>79</v>
      </c>
      <c r="E4113">
        <v>76</v>
      </c>
      <c r="F4113">
        <v>3</v>
      </c>
      <c r="G4113">
        <v>3</v>
      </c>
      <c r="H4113" s="1">
        <v>2.4537037037037036E-3</v>
      </c>
      <c r="I4113">
        <v>2016</v>
      </c>
      <c r="J4113" t="s">
        <v>20</v>
      </c>
      <c r="K4113" s="2" t="str">
        <f>HYPERLINK("https://www.nba.com/stats/events?CFID=&amp;CFPARAMS=&amp;GameEventID=311&amp;GameID=0021600657&amp;Season=2016-17&amp;flag=1&amp;title=Leonard%208'%20Driving%20Hook%20Shot%20(23%20PTS)%20(Aldridge%205%20AST)", "Leonard 8' Driving Hook Shot (23 PTS) (Aldridge 5 AST)")</f>
        <v>Leonard 8' Driving Hook Shot (23 PTS) (Aldridge 5 AST)</v>
      </c>
      <c r="L4113" s="2" t="str">
        <f>HYPERLINK("https://www.nba.com/game/...-vs-...-0021600657/play-by-play?watchFullGame=true", "SAS vs CLE - Q3 03:32.00")</f>
        <v>SAS vs CLE - Q3 03:32.00</v>
      </c>
      <c r="M4113">
        <v>8</v>
      </c>
      <c r="N4113">
        <v>84</v>
      </c>
      <c r="O4113">
        <v>11</v>
      </c>
      <c r="P4113">
        <v>84</v>
      </c>
      <c r="Q4113">
        <v>11</v>
      </c>
      <c r="R4113" t="s">
        <v>21</v>
      </c>
      <c r="S4113" t="s">
        <v>21</v>
      </c>
    </row>
    <row r="4114" spans="1:19" hidden="1" x14ac:dyDescent="0.25">
      <c r="A4114">
        <v>21800019</v>
      </c>
      <c r="B4114" t="s">
        <v>18</v>
      </c>
      <c r="C4114" t="s">
        <v>38</v>
      </c>
      <c r="D4114">
        <v>101</v>
      </c>
      <c r="E4114">
        <v>96</v>
      </c>
      <c r="F4114">
        <v>5</v>
      </c>
      <c r="G4114">
        <v>4</v>
      </c>
      <c r="H4114" s="1">
        <v>2.5000000000000001E-3</v>
      </c>
      <c r="I4114">
        <v>2018</v>
      </c>
      <c r="J4114" t="s">
        <v>48</v>
      </c>
      <c r="K4114" s="2" t="str">
        <f>HYPERLINK("https://www.nba.com/stats/events?CFID=&amp;CFPARAMS=&amp;GameEventID=620&amp;GameID=0021800019&amp;Season=2018-19&amp;flag=1&amp;title=Leonard%208'%20Turnaround%20Fadeaway%20(29%20PTS)", "Leonard 8' Turnaround Fadeaway (29 PTS)")</f>
        <v>Leonard 8' Turnaround Fadeaway (29 PTS)</v>
      </c>
      <c r="L4114" s="2" t="str">
        <f>HYPERLINK("https://www.nba.com/game/...-vs-...-0021800019/play-by-play?watchFullGame=true", "TOR vs BOS - Q4 03:36.00")</f>
        <v>TOR vs BOS - Q4 03:36.00</v>
      </c>
      <c r="M4114">
        <v>8</v>
      </c>
      <c r="N4114">
        <v>-11</v>
      </c>
      <c r="O4114">
        <v>80</v>
      </c>
      <c r="P4114">
        <v>-11</v>
      </c>
      <c r="Q4114">
        <v>80</v>
      </c>
      <c r="R4114" t="s">
        <v>21</v>
      </c>
      <c r="S4114" t="s">
        <v>21</v>
      </c>
    </row>
    <row r="4115" spans="1:19" hidden="1" x14ac:dyDescent="0.25">
      <c r="A4115">
        <v>21600817</v>
      </c>
      <c r="B4115" t="s">
        <v>18</v>
      </c>
      <c r="C4115" t="s">
        <v>38</v>
      </c>
      <c r="D4115">
        <v>44</v>
      </c>
      <c r="E4115">
        <v>32</v>
      </c>
      <c r="F4115">
        <v>12</v>
      </c>
      <c r="G4115">
        <v>2</v>
      </c>
      <c r="H4115" s="1">
        <v>2.6041666666666665E-3</v>
      </c>
      <c r="I4115">
        <v>2016</v>
      </c>
      <c r="J4115" t="s">
        <v>20</v>
      </c>
      <c r="K4115" s="2" t="str">
        <f>HYPERLINK("https://www.nba.com/stats/events?CFID=&amp;CFPARAMS=&amp;GameEventID=196&amp;GameID=0021600817&amp;Season=2016-17&amp;flag=1&amp;title=Leonard%208'%20Turnaround%20Fadeaway%20(12%20PTS)", "Leonard 8' Turnaround Fadeaway (12 PTS)")</f>
        <v>Leonard 8' Turnaround Fadeaway (12 PTS)</v>
      </c>
      <c r="L4115" s="2" t="str">
        <f>HYPERLINK("https://www.nba.com/game/...-vs-...-0021600817/play-by-play?watchFullGame=true", "SAS vs NYK - Q2 03:45.00")</f>
        <v>SAS vs NYK - Q2 03:45.00</v>
      </c>
      <c r="M4115">
        <v>8</v>
      </c>
      <c r="N4115">
        <v>-43</v>
      </c>
      <c r="O4115">
        <v>70</v>
      </c>
      <c r="P4115">
        <v>-43</v>
      </c>
      <c r="Q4115">
        <v>70</v>
      </c>
      <c r="R4115" t="s">
        <v>21</v>
      </c>
      <c r="S4115" t="s">
        <v>21</v>
      </c>
    </row>
    <row r="4116" spans="1:19" hidden="1" x14ac:dyDescent="0.25">
      <c r="A4116">
        <v>21500860</v>
      </c>
      <c r="B4116" t="s">
        <v>18</v>
      </c>
      <c r="C4116" t="s">
        <v>38</v>
      </c>
      <c r="D4116">
        <v>31</v>
      </c>
      <c r="E4116">
        <v>31</v>
      </c>
      <c r="F4116">
        <v>0</v>
      </c>
      <c r="G4116">
        <v>2</v>
      </c>
      <c r="H4116" s="1">
        <v>2.7314814814814814E-3</v>
      </c>
      <c r="I4116">
        <v>2015</v>
      </c>
      <c r="J4116" t="s">
        <v>20</v>
      </c>
      <c r="K4116" s="2" t="str">
        <f>HYPERLINK("https://www.nba.com/stats/events?CFID=&amp;CFPARAMS=&amp;GameEventID=184&amp;GameID=0021500860&amp;Season=2015-16&amp;flag=1&amp;title=Leonard%208'%20Turnaround%20Fadeaway%20(13%20PTS)", "Leonard 8' Turnaround Fadeaway (13 PTS)")</f>
        <v>Leonard 8' Turnaround Fadeaway (13 PTS)</v>
      </c>
      <c r="L4116" s="2" t="str">
        <f>HYPERLINK("https://www.nba.com/game/...-vs-...-0021500860/play-by-play?watchFullGame=true", "SAS vs UTA - Q2 03:56.00")</f>
        <v>SAS vs UTA - Q2 03:56.00</v>
      </c>
      <c r="M4116">
        <v>8</v>
      </c>
      <c r="N4116">
        <v>0</v>
      </c>
      <c r="O4116">
        <v>80</v>
      </c>
      <c r="P4116">
        <v>0</v>
      </c>
      <c r="Q4116">
        <v>80</v>
      </c>
      <c r="R4116" t="s">
        <v>21</v>
      </c>
      <c r="S4116" t="s">
        <v>21</v>
      </c>
    </row>
    <row r="4117" spans="1:19" hidden="1" x14ac:dyDescent="0.25">
      <c r="A4117">
        <v>21600925</v>
      </c>
      <c r="B4117" t="s">
        <v>18</v>
      </c>
      <c r="C4117" t="s">
        <v>39</v>
      </c>
      <c r="D4117">
        <v>87</v>
      </c>
      <c r="E4117">
        <v>85</v>
      </c>
      <c r="F4117">
        <v>2</v>
      </c>
      <c r="G4117">
        <v>5</v>
      </c>
      <c r="H4117" s="1">
        <v>2.7777777777777779E-3</v>
      </c>
      <c r="I4117">
        <v>2016</v>
      </c>
      <c r="J4117" t="s">
        <v>20</v>
      </c>
      <c r="K4117" s="2" t="str">
        <f>HYPERLINK("https://www.nba.com/stats/events?CFID=&amp;CFPARAMS=&amp;GameEventID=531&amp;GameID=0021600925&amp;Season=2016-17&amp;flag=1&amp;title=Leonard%208'%20Step%20Back%20Jump%20Shot%20(30%20PTS)", "Leonard 8' Step Back Jump Shot (30 PTS)")</f>
        <v>Leonard 8' Step Back Jump Shot (30 PTS)</v>
      </c>
      <c r="L4117" s="2" t="str">
        <f>HYPERLINK("https://www.nba.com/game/...-vs-...-0021600925/play-by-play?watchFullGame=true", "SAS vs MIN - Q5 04:00.00")</f>
        <v>SAS vs MIN - Q5 04:00.00</v>
      </c>
      <c r="M4117">
        <v>8</v>
      </c>
      <c r="N4117">
        <v>42</v>
      </c>
      <c r="O4117">
        <v>65</v>
      </c>
      <c r="P4117">
        <v>42</v>
      </c>
      <c r="Q4117">
        <v>65</v>
      </c>
      <c r="R4117" t="s">
        <v>21</v>
      </c>
      <c r="S4117" t="s">
        <v>21</v>
      </c>
    </row>
    <row r="4118" spans="1:19" hidden="1" x14ac:dyDescent="0.25">
      <c r="A4118">
        <v>21501063</v>
      </c>
      <c r="B4118" t="s">
        <v>18</v>
      </c>
      <c r="C4118" t="s">
        <v>42</v>
      </c>
      <c r="D4118">
        <v>18</v>
      </c>
      <c r="E4118">
        <v>13</v>
      </c>
      <c r="F4118">
        <v>5</v>
      </c>
      <c r="G4118">
        <v>1</v>
      </c>
      <c r="H4118" s="1">
        <v>2.8240740740740739E-3</v>
      </c>
      <c r="I4118">
        <v>2015</v>
      </c>
      <c r="J4118" t="s">
        <v>20</v>
      </c>
      <c r="K4118" s="2" t="str">
        <f>HYPERLINK("https://www.nba.com/stats/events?CFID=&amp;CFPARAMS=&amp;GameEventID=55&amp;GameID=0021501063&amp;Season=2015-16&amp;flag=1&amp;title=Leonard%208'%20Driving%20Floating%20Jump%20Shot%20(10%20PTS)", "Leonard 8' Driving Floating Jump Shot (10 PTS)")</f>
        <v>Leonard 8' Driving Floating Jump Shot (10 PTS)</v>
      </c>
      <c r="L4118" s="2" t="str">
        <f>HYPERLINK("https://www.nba.com/game/...-vs-...-0021501063/play-by-play?watchFullGame=true", "SAS vs MIA - Q1 04:04.00")</f>
        <v>SAS vs MIA - Q1 04:04.00</v>
      </c>
      <c r="M4118">
        <v>8</v>
      </c>
      <c r="N4118">
        <v>-78</v>
      </c>
      <c r="O4118">
        <v>26</v>
      </c>
      <c r="P4118">
        <v>-78</v>
      </c>
      <c r="Q4118">
        <v>26</v>
      </c>
      <c r="R4118" t="s">
        <v>21</v>
      </c>
      <c r="S4118" t="s">
        <v>21</v>
      </c>
    </row>
    <row r="4119" spans="1:19" hidden="1" x14ac:dyDescent="0.25">
      <c r="A4119">
        <v>21601227</v>
      </c>
      <c r="B4119" t="s">
        <v>18</v>
      </c>
      <c r="C4119" t="s">
        <v>38</v>
      </c>
      <c r="D4119">
        <v>37</v>
      </c>
      <c r="E4119">
        <v>46</v>
      </c>
      <c r="F4119">
        <v>9</v>
      </c>
      <c r="G4119">
        <v>2</v>
      </c>
      <c r="H4119" s="1">
        <v>2.8587962962962963E-3</v>
      </c>
      <c r="I4119">
        <v>2016</v>
      </c>
      <c r="J4119" t="s">
        <v>20</v>
      </c>
      <c r="K4119" s="2" t="str">
        <f>HYPERLINK("https://www.nba.com/stats/events?CFID=&amp;CFPARAMS=&amp;GameEventID=182&amp;GameID=0021601227&amp;Season=2016-17&amp;flag=1&amp;title=Leonard%208'%20Turnaround%20Fadeaway%20(6%20PTS)", "Leonard 8' Turnaround Fadeaway (6 PTS)")</f>
        <v>Leonard 8' Turnaround Fadeaway (6 PTS)</v>
      </c>
      <c r="L4119" s="2" t="str">
        <f>HYPERLINK("https://www.nba.com/game/...-vs-...-0021601227/play-by-play?watchFullGame=true", "SAS vs UTA - Q2 04:07.00")</f>
        <v>SAS vs UTA - Q2 04:07.00</v>
      </c>
      <c r="M4119">
        <v>8</v>
      </c>
      <c r="N4119">
        <v>79</v>
      </c>
      <c r="O4119">
        <v>11</v>
      </c>
      <c r="P4119">
        <v>79</v>
      </c>
      <c r="Q4119">
        <v>11</v>
      </c>
      <c r="R4119" t="s">
        <v>21</v>
      </c>
      <c r="S4119" t="s">
        <v>21</v>
      </c>
    </row>
    <row r="4120" spans="1:19" hidden="1" x14ac:dyDescent="0.25">
      <c r="A4120">
        <v>21500675</v>
      </c>
      <c r="B4120" t="s">
        <v>18</v>
      </c>
      <c r="C4120" t="s">
        <v>38</v>
      </c>
      <c r="D4120">
        <v>14</v>
      </c>
      <c r="E4120">
        <v>20</v>
      </c>
      <c r="F4120">
        <v>6</v>
      </c>
      <c r="G4120">
        <v>1</v>
      </c>
      <c r="H4120" s="1">
        <v>2.8819444444444444E-3</v>
      </c>
      <c r="I4120">
        <v>2015</v>
      </c>
      <c r="J4120" t="s">
        <v>20</v>
      </c>
      <c r="K4120" s="2" t="str">
        <f>HYPERLINK("https://www.nba.com/stats/events?CFID=&amp;CFPARAMS=&amp;GameEventID=69&amp;GameID=0021500675&amp;Season=2015-16&amp;flag=1&amp;title=Leonard%208'%20Turnaround%20Fadeaway%20(4%20PTS)", "Leonard 8' Turnaround Fadeaway (4 PTS)")</f>
        <v>Leonard 8' Turnaround Fadeaway (4 PTS)</v>
      </c>
      <c r="L4120" s="2" t="str">
        <f>HYPERLINK("https://www.nba.com/game/...-vs-...-0021500675/play-by-play?watchFullGame=true", "SAS vs GSW - Q1 04:09.00")</f>
        <v>SAS vs GSW - Q1 04:09.00</v>
      </c>
      <c r="M4120">
        <v>8</v>
      </c>
      <c r="N4120">
        <v>9</v>
      </c>
      <c r="O4120">
        <v>75</v>
      </c>
      <c r="P4120">
        <v>9</v>
      </c>
      <c r="Q4120">
        <v>75</v>
      </c>
      <c r="R4120" t="s">
        <v>21</v>
      </c>
      <c r="S4120" t="s">
        <v>21</v>
      </c>
    </row>
    <row r="4121" spans="1:19" hidden="1" x14ac:dyDescent="0.25">
      <c r="A4121">
        <v>21301030</v>
      </c>
      <c r="B4121" t="s">
        <v>18</v>
      </c>
      <c r="C4121" t="s">
        <v>75</v>
      </c>
      <c r="D4121">
        <v>42</v>
      </c>
      <c r="E4121">
        <v>32</v>
      </c>
      <c r="F4121">
        <v>10</v>
      </c>
      <c r="G4121">
        <v>2</v>
      </c>
      <c r="H4121" s="1">
        <v>2.9282407407407408E-3</v>
      </c>
      <c r="I4121">
        <v>2013</v>
      </c>
      <c r="J4121" t="s">
        <v>20</v>
      </c>
      <c r="K4121" s="2" t="str">
        <f>HYPERLINK("https://www.nba.com/stats/events?CFID=&amp;CFPARAMS=&amp;GameEventID=192&amp;GameID=0021301030&amp;Season=2013-14&amp;flag=1&amp;title=Leonard%208'%20Running%20Hook%20Shot%20(9%20PTS)%20(Parker%202%20AST)", "Leonard 8' Running Hook Shot (9 PTS) (Parker 2 AST)")</f>
        <v>Leonard 8' Running Hook Shot (9 PTS) (Parker 2 AST)</v>
      </c>
      <c r="L4121" s="2" t="str">
        <f>HYPERLINK("https://www.nba.com/game/...-vs-...-0021301030/play-by-play?watchFullGame=true", "SAS vs SAC - Q2 04:13.00")</f>
        <v>SAS vs SAC - Q2 04:13.00</v>
      </c>
      <c r="M4121">
        <v>8</v>
      </c>
      <c r="N4121">
        <v>-2</v>
      </c>
      <c r="O4121">
        <v>78</v>
      </c>
      <c r="P4121">
        <v>-2</v>
      </c>
      <c r="Q4121">
        <v>78</v>
      </c>
      <c r="R4121" t="s">
        <v>21</v>
      </c>
      <c r="S4121" t="s">
        <v>21</v>
      </c>
    </row>
    <row r="4122" spans="1:19" hidden="1" x14ac:dyDescent="0.25">
      <c r="A4122">
        <v>21600942</v>
      </c>
      <c r="B4122" t="s">
        <v>18</v>
      </c>
      <c r="C4122" t="s">
        <v>47</v>
      </c>
      <c r="D4122">
        <v>40</v>
      </c>
      <c r="E4122">
        <v>47</v>
      </c>
      <c r="F4122">
        <v>7</v>
      </c>
      <c r="G4122">
        <v>2</v>
      </c>
      <c r="H4122" s="1">
        <v>3.0439814814814813E-3</v>
      </c>
      <c r="I4122">
        <v>2016</v>
      </c>
      <c r="J4122" t="s">
        <v>20</v>
      </c>
      <c r="K4122" s="2" t="str">
        <f>HYPERLINK("https://www.nba.com/stats/events?CFID=&amp;CFPARAMS=&amp;GameEventID=177&amp;GameID=0021600942&amp;Season=2016-17&amp;flag=1&amp;title=Leonard%208'%20Hook%20Shot%20(14%20PTS)%20(Green%203%20AST)", "Leonard 8' Hook Shot (14 PTS) (Green 3 AST)")</f>
        <v>Leonard 8' Hook Shot (14 PTS) (Green 3 AST)</v>
      </c>
      <c r="L4122" s="2" t="str">
        <f>HYPERLINK("https://www.nba.com/game/...-vs-...-0021600942/play-by-play?watchFullGame=true", "SAS vs HOU - Q2 04:23.00")</f>
        <v>SAS vs HOU - Q2 04:23.00</v>
      </c>
      <c r="M4122">
        <v>8</v>
      </c>
      <c r="N4122">
        <v>19</v>
      </c>
      <c r="O4122">
        <v>80</v>
      </c>
      <c r="P4122">
        <v>19</v>
      </c>
      <c r="Q4122">
        <v>80</v>
      </c>
      <c r="R4122" t="s">
        <v>21</v>
      </c>
      <c r="S4122" t="s">
        <v>21</v>
      </c>
    </row>
    <row r="4123" spans="1:19" hidden="1" x14ac:dyDescent="0.25">
      <c r="A4123">
        <v>21601085</v>
      </c>
      <c r="B4123" t="s">
        <v>18</v>
      </c>
      <c r="C4123" t="s">
        <v>47</v>
      </c>
      <c r="D4123">
        <v>20</v>
      </c>
      <c r="E4123">
        <v>13</v>
      </c>
      <c r="F4123">
        <v>7</v>
      </c>
      <c r="G4123">
        <v>1</v>
      </c>
      <c r="H4123" s="1">
        <v>3.0787037037037037E-3</v>
      </c>
      <c r="I4123">
        <v>2016</v>
      </c>
      <c r="J4123" t="s">
        <v>20</v>
      </c>
      <c r="K4123" s="2" t="str">
        <f>HYPERLINK("https://www.nba.com/stats/events?CFID=&amp;CFPARAMS=&amp;GameEventID=67&amp;GameID=0021601085&amp;Season=2016-17&amp;flag=1&amp;title=Leonard%208'%20Hook%20Shot%20(5%20PTS)", "Leonard 8' Hook Shot (5 PTS)")</f>
        <v>Leonard 8' Hook Shot (5 PTS)</v>
      </c>
      <c r="L4123" s="2" t="str">
        <f>HYPERLINK("https://www.nba.com/game/...-vs-...-0021601085/play-by-play?watchFullGame=true", "SAS vs NYK - Q1 04:26.00")</f>
        <v>SAS vs NYK - Q1 04:26.00</v>
      </c>
      <c r="M4123">
        <v>8</v>
      </c>
      <c r="N4123">
        <v>14</v>
      </c>
      <c r="O4123">
        <v>82</v>
      </c>
      <c r="P4123">
        <v>14</v>
      </c>
      <c r="Q4123">
        <v>82</v>
      </c>
      <c r="R4123" t="s">
        <v>21</v>
      </c>
      <c r="S4123" t="s">
        <v>21</v>
      </c>
    </row>
    <row r="4124" spans="1:19" hidden="1" x14ac:dyDescent="0.25">
      <c r="A4124">
        <v>21800739</v>
      </c>
      <c r="B4124" t="s">
        <v>18</v>
      </c>
      <c r="C4124" t="s">
        <v>37</v>
      </c>
      <c r="D4124">
        <v>108</v>
      </c>
      <c r="E4124">
        <v>108</v>
      </c>
      <c r="F4124">
        <v>0</v>
      </c>
      <c r="G4124">
        <v>4</v>
      </c>
      <c r="H4124" s="1">
        <v>3.0902777777777777E-3</v>
      </c>
      <c r="I4124">
        <v>2018</v>
      </c>
      <c r="J4124" t="s">
        <v>48</v>
      </c>
      <c r="K4124" s="2" t="str">
        <f>HYPERLINK("https://www.nba.com/stats/events?CFID=&amp;CFPARAMS=&amp;GameEventID=637&amp;GameID=0021800739&amp;Season=2018-19&amp;flag=1&amp;title=Leonard%208'%20Fadeaway%20Jumper%20(28%20PTS)%20(Lowry%208%20AST)", "Leonard 8' Fadeaway Jumper (28 PTS) (Lowry 8 AST)")</f>
        <v>Leonard 8' Fadeaway Jumper (28 PTS) (Lowry 8 AST)</v>
      </c>
      <c r="L4124" s="2" t="str">
        <f>HYPERLINK("https://www.nba.com/game/...-vs-...-0021800739/play-by-play?watchFullGame=true", "TOR vs DAL - Q4 04:27.00")</f>
        <v>TOR vs DAL - Q4 04:27.00</v>
      </c>
      <c r="M4124">
        <v>8</v>
      </c>
      <c r="N4124">
        <v>11</v>
      </c>
      <c r="O4124">
        <v>81</v>
      </c>
      <c r="P4124">
        <v>11</v>
      </c>
      <c r="Q4124">
        <v>81</v>
      </c>
      <c r="R4124" t="s">
        <v>21</v>
      </c>
      <c r="S4124" t="s">
        <v>21</v>
      </c>
    </row>
    <row r="4125" spans="1:19" hidden="1" x14ac:dyDescent="0.25">
      <c r="A4125">
        <v>21800347</v>
      </c>
      <c r="B4125" t="s">
        <v>18</v>
      </c>
      <c r="C4125" t="s">
        <v>36</v>
      </c>
      <c r="D4125">
        <v>41</v>
      </c>
      <c r="E4125">
        <v>41</v>
      </c>
      <c r="F4125">
        <v>0</v>
      </c>
      <c r="G4125">
        <v>2</v>
      </c>
      <c r="H4125" s="1">
        <v>3.1134259259259257E-3</v>
      </c>
      <c r="I4125">
        <v>2018</v>
      </c>
      <c r="J4125" t="s">
        <v>48</v>
      </c>
      <c r="K4125" s="2" t="str">
        <f>HYPERLINK("https://www.nba.com/stats/events?CFID=&amp;CFPARAMS=&amp;GameEventID=281&amp;GameID=0021800347&amp;Season=2018-19&amp;flag=1&amp;title=Leonard%208'%20Pullup%20Jump%20Shot%20(12%20PTS)", "Leonard 8' Pullup Jump Shot (12 PTS)")</f>
        <v>Leonard 8' Pullup Jump Shot (12 PTS)</v>
      </c>
      <c r="L4125" s="2" t="str">
        <f>HYPERLINK("https://www.nba.com/game/...-vs-...-0021800347/play-by-play?watchFullGame=true", "TOR vs DEN - Q2 04:29.00")</f>
        <v>TOR vs DEN - Q2 04:29.00</v>
      </c>
      <c r="M4125">
        <v>8</v>
      </c>
      <c r="N4125">
        <v>81</v>
      </c>
      <c r="O4125">
        <v>8</v>
      </c>
      <c r="P4125">
        <v>81</v>
      </c>
      <c r="Q4125">
        <v>8</v>
      </c>
      <c r="R4125" t="s">
        <v>21</v>
      </c>
      <c r="S4125" t="s">
        <v>21</v>
      </c>
    </row>
    <row r="4126" spans="1:19" hidden="1" x14ac:dyDescent="0.25">
      <c r="A4126">
        <v>21500905</v>
      </c>
      <c r="B4126" t="s">
        <v>18</v>
      </c>
      <c r="C4126" t="s">
        <v>37</v>
      </c>
      <c r="D4126">
        <v>93</v>
      </c>
      <c r="E4126">
        <v>78</v>
      </c>
      <c r="F4126">
        <v>15</v>
      </c>
      <c r="G4126">
        <v>4</v>
      </c>
      <c r="H4126" s="1">
        <v>3.1250000000000002E-3</v>
      </c>
      <c r="I4126">
        <v>2015</v>
      </c>
      <c r="J4126" t="s">
        <v>20</v>
      </c>
      <c r="K4126" s="2" t="str">
        <f>HYPERLINK("https://www.nba.com/stats/events?CFID=&amp;CFPARAMS=&amp;GameEventID=411&amp;GameID=0021500905&amp;Season=2015-16&amp;flag=1&amp;title=Leonard%208'%20Fadeaway%20Jumper%20(25%20PTS)%20(Aldridge%203%20AST)", "Leonard 8' Fadeaway Jumper (25 PTS) (Aldridge 3 AST)")</f>
        <v>Leonard 8' Fadeaway Jumper (25 PTS) (Aldridge 3 AST)</v>
      </c>
      <c r="L4126" s="2" t="str">
        <f>HYPERLINK("https://www.nba.com/game/...-vs-...-0021500905/play-by-play?watchFullGame=true", "SAS vs DET - Q4 04:30.00")</f>
        <v>SAS vs DET - Q4 04:30.00</v>
      </c>
      <c r="M4126">
        <v>8</v>
      </c>
      <c r="N4126">
        <v>-52</v>
      </c>
      <c r="O4126">
        <v>67</v>
      </c>
      <c r="P4126">
        <v>-52</v>
      </c>
      <c r="Q4126">
        <v>67</v>
      </c>
      <c r="R4126" t="s">
        <v>21</v>
      </c>
      <c r="S4126" t="s">
        <v>21</v>
      </c>
    </row>
    <row r="4127" spans="1:19" hidden="1" x14ac:dyDescent="0.25">
      <c r="A4127">
        <v>21600782</v>
      </c>
      <c r="B4127" t="s">
        <v>18</v>
      </c>
      <c r="C4127" t="s">
        <v>34</v>
      </c>
      <c r="D4127">
        <v>74</v>
      </c>
      <c r="E4127">
        <v>64</v>
      </c>
      <c r="F4127">
        <v>10</v>
      </c>
      <c r="G4127">
        <v>3</v>
      </c>
      <c r="H4127" s="1">
        <v>3.1481481481481482E-3</v>
      </c>
      <c r="I4127">
        <v>2016</v>
      </c>
      <c r="J4127" t="s">
        <v>20</v>
      </c>
      <c r="K4127" s="2" t="str">
        <f>HYPERLINK("https://www.nba.com/stats/events?CFID=&amp;CFPARAMS=&amp;GameEventID=313&amp;GameID=0021600782&amp;Season=2016-17&amp;flag=1&amp;title=Leonard%208'%20Turnaround%20Jump%20Shot%20(24%20PTS)", "Leonard 8' Turnaround Jump Shot (24 PTS)")</f>
        <v>Leonard 8' Turnaround Jump Shot (24 PTS)</v>
      </c>
      <c r="L4127" s="2" t="str">
        <f>HYPERLINK("https://www.nba.com/game/...-vs-...-0021600782/play-by-play?watchFullGame=true", "SAS vs PHI - Q3 04:32.00")</f>
        <v>SAS vs PHI - Q3 04:32.00</v>
      </c>
      <c r="M4127">
        <v>8</v>
      </c>
      <c r="N4127">
        <v>6</v>
      </c>
      <c r="O4127">
        <v>80</v>
      </c>
      <c r="P4127">
        <v>6</v>
      </c>
      <c r="Q4127">
        <v>80</v>
      </c>
      <c r="R4127" t="s">
        <v>21</v>
      </c>
      <c r="S4127" t="s">
        <v>21</v>
      </c>
    </row>
    <row r="4128" spans="1:19" hidden="1" x14ac:dyDescent="0.25">
      <c r="A4128">
        <v>21801072</v>
      </c>
      <c r="B4128" t="s">
        <v>18</v>
      </c>
      <c r="C4128" t="s">
        <v>67</v>
      </c>
      <c r="D4128">
        <v>83</v>
      </c>
      <c r="E4128">
        <v>64</v>
      </c>
      <c r="F4128">
        <v>19</v>
      </c>
      <c r="G4128">
        <v>3</v>
      </c>
      <c r="H4128" s="1">
        <v>3.2523148148148147E-3</v>
      </c>
      <c r="I4128">
        <v>2018</v>
      </c>
      <c r="J4128" t="s">
        <v>48</v>
      </c>
      <c r="K4128" s="2" t="str">
        <f>HYPERLINK("https://www.nba.com/stats/events?CFID=&amp;CFPARAMS=&amp;GameEventID=396&amp;GameID=0021801072&amp;Season=2018-19&amp;flag=1&amp;title=Leonard%208'%20Turnaround%20Hook%20Shot%20(15%20PTS)%20(VanVleet%204%20AST)", "Leonard 8' Turnaround Hook Shot (15 PTS) (VanVleet 4 AST)")</f>
        <v>Leonard 8' Turnaround Hook Shot (15 PTS) (VanVleet 4 AST)</v>
      </c>
      <c r="L4128" s="2" t="str">
        <f>HYPERLINK("https://www.nba.com/game/...-vs-...-0021801072/play-by-play?watchFullGame=true", "TOR vs OKC - Q3 04:41.00")</f>
        <v>TOR vs OKC - Q3 04:41.00</v>
      </c>
      <c r="M4128">
        <v>8</v>
      </c>
      <c r="N4128">
        <v>33</v>
      </c>
      <c r="O4128">
        <v>72</v>
      </c>
      <c r="P4128">
        <v>33</v>
      </c>
      <c r="Q4128">
        <v>72</v>
      </c>
      <c r="R4128" t="s">
        <v>21</v>
      </c>
      <c r="S4128" t="s">
        <v>21</v>
      </c>
    </row>
    <row r="4129" spans="1:19" hidden="1" x14ac:dyDescent="0.25">
      <c r="A4129">
        <v>41800405</v>
      </c>
      <c r="B4129" t="s">
        <v>18</v>
      </c>
      <c r="C4129" t="s">
        <v>36</v>
      </c>
      <c r="D4129">
        <v>98</v>
      </c>
      <c r="E4129">
        <v>95</v>
      </c>
      <c r="F4129">
        <v>3</v>
      </c>
      <c r="G4129">
        <v>4</v>
      </c>
      <c r="H4129" s="1">
        <v>3.3101851851851851E-3</v>
      </c>
      <c r="I4129" t="s">
        <v>60</v>
      </c>
      <c r="J4129" t="s">
        <v>48</v>
      </c>
      <c r="K4129" s="2" t="str">
        <f>HYPERLINK("https://www.nba.com/stats/events?CFID=&amp;CFPARAMS=&amp;GameEventID=594&amp;GameID=0041800405&amp;Season=2018-19&amp;flag=1&amp;title=Leonard%208'%20Pullup%20Jump%20Shot%20(21%20PTS)", "Leonard 8' Pullup Jump Shot (21 PTS)")</f>
        <v>Leonard 8' Pullup Jump Shot (21 PTS)</v>
      </c>
      <c r="L4129" s="2" t="str">
        <f>HYPERLINK("https://www.nba.com/game/...-vs-...-0041800405/play-by-play?watchFullGame=true", "TOR vs GSW - Q4 04:46.00")</f>
        <v>TOR vs GSW - Q4 04:46.00</v>
      </c>
      <c r="M4129">
        <v>8</v>
      </c>
      <c r="N4129">
        <v>66</v>
      </c>
      <c r="O4129">
        <v>46</v>
      </c>
      <c r="P4129">
        <v>66</v>
      </c>
      <c r="Q4129">
        <v>46</v>
      </c>
      <c r="R4129" t="s">
        <v>21</v>
      </c>
      <c r="S4129" t="s">
        <v>21</v>
      </c>
    </row>
    <row r="4130" spans="1:19" hidden="1" x14ac:dyDescent="0.25">
      <c r="A4130">
        <v>21801169</v>
      </c>
      <c r="B4130" t="s">
        <v>18</v>
      </c>
      <c r="C4130" t="s">
        <v>38</v>
      </c>
      <c r="D4130">
        <v>47</v>
      </c>
      <c r="E4130">
        <v>36</v>
      </c>
      <c r="F4130">
        <v>11</v>
      </c>
      <c r="G4130">
        <v>2</v>
      </c>
      <c r="H4130" s="1">
        <v>3.3680555555555556E-3</v>
      </c>
      <c r="I4130">
        <v>2018</v>
      </c>
      <c r="J4130" t="s">
        <v>48</v>
      </c>
      <c r="K4130" s="2" t="str">
        <f>HYPERLINK("https://www.nba.com/stats/events?CFID=&amp;CFPARAMS=&amp;GameEventID=273&amp;GameID=0021801169&amp;Season=2018-19&amp;flag=1&amp;title=Leonard%208'%20Turnaround%20Fadeaway%20(15%20PTS)", "Leonard 8' Turnaround Fadeaway (15 PTS)")</f>
        <v>Leonard 8' Turnaround Fadeaway (15 PTS)</v>
      </c>
      <c r="L4130" s="2" t="str">
        <f>HYPERLINK("https://www.nba.com/game/...-vs-...-0021801169/play-by-play?watchFullGame=true", "TOR vs BKN - Q2 04:51.00")</f>
        <v>TOR vs BKN - Q2 04:51.00</v>
      </c>
      <c r="M4130">
        <v>8</v>
      </c>
      <c r="N4130">
        <v>83</v>
      </c>
      <c r="O4130">
        <v>13</v>
      </c>
      <c r="P4130">
        <v>83</v>
      </c>
      <c r="Q4130">
        <v>13</v>
      </c>
      <c r="R4130" t="s">
        <v>21</v>
      </c>
      <c r="S4130" t="s">
        <v>21</v>
      </c>
    </row>
    <row r="4131" spans="1:19" hidden="1" x14ac:dyDescent="0.25">
      <c r="A4131">
        <v>21400875</v>
      </c>
      <c r="B4131" t="s">
        <v>18</v>
      </c>
      <c r="C4131" t="s">
        <v>19</v>
      </c>
      <c r="D4131">
        <v>16</v>
      </c>
      <c r="E4131">
        <v>7</v>
      </c>
      <c r="F4131">
        <v>9</v>
      </c>
      <c r="G4131">
        <v>1</v>
      </c>
      <c r="H4131" s="1">
        <v>3.4375E-3</v>
      </c>
      <c r="I4131">
        <v>2014</v>
      </c>
      <c r="J4131" t="s">
        <v>20</v>
      </c>
      <c r="K4131" s="2" t="str">
        <f>HYPERLINK("https://www.nba.com/stats/events?CFID=&amp;CFPARAMS=&amp;GameEventID=70&amp;GameID=0021400875&amp;Season=2014-15&amp;flag=1&amp;title=Leonard%208'%20Jump%20Shot%20(4%20PTS)", "Leonard 8' Jump Shot (4 PTS)")</f>
        <v>Leonard 8' Jump Shot (4 PTS)</v>
      </c>
      <c r="L4131" s="2" t="str">
        <f>HYPERLINK("https://www.nba.com/game/...-vs-...-0021400875/play-by-play?watchFullGame=true", "SAS vs PHX - Q1 04:57.00")</f>
        <v>SAS vs PHX - Q1 04:57.00</v>
      </c>
      <c r="M4131">
        <v>8</v>
      </c>
      <c r="N4131">
        <v>0</v>
      </c>
      <c r="O4131">
        <v>80</v>
      </c>
      <c r="P4131">
        <v>0</v>
      </c>
      <c r="Q4131">
        <v>80</v>
      </c>
      <c r="R4131" t="s">
        <v>21</v>
      </c>
      <c r="S4131" t="s">
        <v>21</v>
      </c>
    </row>
    <row r="4132" spans="1:19" hidden="1" x14ac:dyDescent="0.25">
      <c r="A4132">
        <v>21300589</v>
      </c>
      <c r="B4132" t="s">
        <v>18</v>
      </c>
      <c r="C4132" t="s">
        <v>19</v>
      </c>
      <c r="D4132">
        <v>18</v>
      </c>
      <c r="E4132">
        <v>13</v>
      </c>
      <c r="F4132">
        <v>5</v>
      </c>
      <c r="G4132">
        <v>1</v>
      </c>
      <c r="H4132" s="1">
        <v>3.472222222222222E-3</v>
      </c>
      <c r="I4132">
        <v>2013</v>
      </c>
      <c r="J4132" t="s">
        <v>20</v>
      </c>
      <c r="K4132" s="2" t="str">
        <f>HYPERLINK("https://www.nba.com/stats/events?CFID=&amp;CFPARAMS=&amp;GameEventID=52&amp;GameID=0021300589&amp;Season=2013-14&amp;flag=1&amp;title=Leonard%208'%20Jump%20Shot%20(5%20PTS)", "Leonard 8' Jump Shot (5 PTS)")</f>
        <v>Leonard 8' Jump Shot (5 PTS)</v>
      </c>
      <c r="L4132" s="2" t="str">
        <f>HYPERLINK("https://www.nba.com/game/...-vs-...-0021300589/play-by-play?watchFullGame=true", "SAS vs POR - Q1 05:00.00")</f>
        <v>SAS vs POR - Q1 05:00.00</v>
      </c>
      <c r="M4132">
        <v>8</v>
      </c>
      <c r="N4132">
        <v>0</v>
      </c>
      <c r="O4132">
        <v>83</v>
      </c>
      <c r="P4132">
        <v>0</v>
      </c>
      <c r="Q4132">
        <v>83</v>
      </c>
      <c r="R4132" t="s">
        <v>21</v>
      </c>
      <c r="S4132" t="s">
        <v>21</v>
      </c>
    </row>
    <row r="4133" spans="1:19" hidden="1" x14ac:dyDescent="0.25">
      <c r="A4133">
        <v>21301038</v>
      </c>
      <c r="B4133" t="s">
        <v>18</v>
      </c>
      <c r="C4133" t="s">
        <v>59</v>
      </c>
      <c r="D4133">
        <v>89</v>
      </c>
      <c r="E4133">
        <v>78</v>
      </c>
      <c r="F4133">
        <v>11</v>
      </c>
      <c r="G4133">
        <v>4</v>
      </c>
      <c r="H4133" s="1">
        <v>3.5300925925925925E-3</v>
      </c>
      <c r="I4133">
        <v>2013</v>
      </c>
      <c r="J4133" t="s">
        <v>20</v>
      </c>
      <c r="K4133" s="2" t="str">
        <f>HYPERLINK("https://www.nba.com/stats/events?CFID=&amp;CFPARAMS=&amp;GameEventID=483&amp;GameID=0021301038&amp;Season=2013-14&amp;flag=1&amp;title=Leonard%208'%20Floating%20Jump%20Shot%20(13%20PTS)%20(Splitter%202%20AST)", "Leonard 8' Floating Jump Shot (13 PTS) (Splitter 2 AST)")</f>
        <v>Leonard 8' Floating Jump Shot (13 PTS) (Splitter 2 AST)</v>
      </c>
      <c r="L4133" s="2" t="str">
        <f>HYPERLINK("https://www.nba.com/game/...-vs-...-0021301038/play-by-play?watchFullGame=true", "SAS vs GSW - Q4 05:05.00")</f>
        <v>SAS vs GSW - Q4 05:05.00</v>
      </c>
      <c r="M4133">
        <v>8</v>
      </c>
      <c r="N4133">
        <v>45</v>
      </c>
      <c r="O4133">
        <v>69</v>
      </c>
      <c r="P4133">
        <v>45</v>
      </c>
      <c r="Q4133">
        <v>69</v>
      </c>
      <c r="R4133" t="s">
        <v>21</v>
      </c>
      <c r="S4133" t="s">
        <v>21</v>
      </c>
    </row>
    <row r="4134" spans="1:19" hidden="1" x14ac:dyDescent="0.25">
      <c r="A4134">
        <v>41400162</v>
      </c>
      <c r="B4134" t="s">
        <v>18</v>
      </c>
      <c r="C4134" t="s">
        <v>19</v>
      </c>
      <c r="D4134">
        <v>61</v>
      </c>
      <c r="E4134">
        <v>58</v>
      </c>
      <c r="F4134">
        <v>3</v>
      </c>
      <c r="G4134">
        <v>3</v>
      </c>
      <c r="H4134" s="1">
        <v>3.6458333333333334E-3</v>
      </c>
      <c r="I4134" t="s">
        <v>56</v>
      </c>
      <c r="J4134" t="s">
        <v>20</v>
      </c>
      <c r="K4134" s="2" t="str">
        <f>HYPERLINK("https://www.nba.com/stats/events?CFID=&amp;CFPARAMS=&amp;GameEventID=308&amp;GameID=0041400162&amp;Season=2014-15&amp;flag=1&amp;title=Leonard%208'%20Jump%20Shot%20(15%20PTS)%20(Ginobili%201%20AST)", "Leonard 8' Jump Shot (15 PTS) (Ginobili 1 AST)")</f>
        <v>Leonard 8' Jump Shot (15 PTS) (Ginobili 1 AST)</v>
      </c>
      <c r="L4134" s="2" t="str">
        <f>HYPERLINK("https://www.nba.com/game/...-vs-...-0041400162/play-by-play?watchFullGame=true", "SAS vs LAC - Q3 05:15.00")</f>
        <v>SAS vs LAC - Q3 05:15.00</v>
      </c>
      <c r="M4134">
        <v>8</v>
      </c>
      <c r="N4134">
        <v>-76</v>
      </c>
      <c r="O4134">
        <v>-16</v>
      </c>
      <c r="P4134">
        <v>-76</v>
      </c>
      <c r="Q4134">
        <v>-16</v>
      </c>
      <c r="R4134" t="s">
        <v>21</v>
      </c>
      <c r="S4134" t="s">
        <v>21</v>
      </c>
    </row>
    <row r="4135" spans="1:19" hidden="1" x14ac:dyDescent="0.25">
      <c r="A4135">
        <v>21800459</v>
      </c>
      <c r="B4135" t="s">
        <v>18</v>
      </c>
      <c r="C4135" t="s">
        <v>34</v>
      </c>
      <c r="D4135">
        <v>40</v>
      </c>
      <c r="E4135">
        <v>45</v>
      </c>
      <c r="F4135">
        <v>5</v>
      </c>
      <c r="G4135">
        <v>2</v>
      </c>
      <c r="H4135" s="1">
        <v>3.6805555555555554E-3</v>
      </c>
      <c r="I4135">
        <v>2018</v>
      </c>
      <c r="J4135" t="s">
        <v>48</v>
      </c>
      <c r="K4135" s="2" t="str">
        <f>HYPERLINK("https://www.nba.com/stats/events?CFID=&amp;CFPARAMS=&amp;GameEventID=266&amp;GameID=0021800459&amp;Season=2018-19&amp;flag=1&amp;title=Leonard%208'%20Turnaround%20Jump%20Shot%20(7%20PTS)", "Leonard 8' Turnaround Jump Shot (7 PTS)")</f>
        <v>Leonard 8' Turnaround Jump Shot (7 PTS)</v>
      </c>
      <c r="L4135" s="2" t="str">
        <f>HYPERLINK("https://www.nba.com/game/...-vs-...-0021800459/play-by-play?watchFullGame=true", "TOR vs IND - Q2 05:18.00")</f>
        <v>TOR vs IND - Q2 05:18.00</v>
      </c>
      <c r="M4135">
        <v>8</v>
      </c>
      <c r="N4135">
        <v>15</v>
      </c>
      <c r="O4135">
        <v>78</v>
      </c>
      <c r="P4135">
        <v>15</v>
      </c>
      <c r="Q4135">
        <v>78</v>
      </c>
      <c r="R4135" t="s">
        <v>21</v>
      </c>
      <c r="S4135" t="s">
        <v>21</v>
      </c>
    </row>
    <row r="4136" spans="1:19" hidden="1" x14ac:dyDescent="0.25">
      <c r="A4136">
        <v>21401168</v>
      </c>
      <c r="B4136" t="s">
        <v>18</v>
      </c>
      <c r="C4136" t="s">
        <v>19</v>
      </c>
      <c r="D4136">
        <v>43</v>
      </c>
      <c r="E4136">
        <v>49</v>
      </c>
      <c r="F4136">
        <v>6</v>
      </c>
      <c r="G4136">
        <v>2</v>
      </c>
      <c r="H4136" s="1">
        <v>3.7152777777777778E-3</v>
      </c>
      <c r="I4136">
        <v>2014</v>
      </c>
      <c r="J4136" t="s">
        <v>20</v>
      </c>
      <c r="K4136" s="2" t="str">
        <f>HYPERLINK("https://www.nba.com/stats/events?CFID=&amp;CFPARAMS=&amp;GameEventID=202&amp;GameID=0021401168&amp;Season=2014-15&amp;flag=1&amp;title=Leonard%208'%20Jump%20Shot%20(4%20PTS)", "Leonard 8' Jump Shot (4 PTS)")</f>
        <v>Leonard 8' Jump Shot (4 PTS)</v>
      </c>
      <c r="L4136" s="2" t="str">
        <f>HYPERLINK("https://www.nba.com/game/...-vs-...-0021401168/play-by-play?watchFullGame=true", "SAS vs HOU - Q2 05:21.00")</f>
        <v>SAS vs HOU - Q2 05:21.00</v>
      </c>
      <c r="M4136">
        <v>8</v>
      </c>
      <c r="N4136">
        <v>-40</v>
      </c>
      <c r="O4136">
        <v>67</v>
      </c>
      <c r="P4136">
        <v>-40</v>
      </c>
      <c r="Q4136">
        <v>67</v>
      </c>
      <c r="R4136" t="s">
        <v>21</v>
      </c>
      <c r="S4136" t="s">
        <v>21</v>
      </c>
    </row>
    <row r="4137" spans="1:19" hidden="1" x14ac:dyDescent="0.25">
      <c r="A4137">
        <v>21500207</v>
      </c>
      <c r="B4137" t="s">
        <v>18</v>
      </c>
      <c r="C4137" t="s">
        <v>38</v>
      </c>
      <c r="D4137">
        <v>84</v>
      </c>
      <c r="E4137">
        <v>73</v>
      </c>
      <c r="F4137">
        <v>11</v>
      </c>
      <c r="G4137">
        <v>4</v>
      </c>
      <c r="H4137" s="1">
        <v>3.7268518518518519E-3</v>
      </c>
      <c r="I4137">
        <v>2015</v>
      </c>
      <c r="J4137" t="s">
        <v>20</v>
      </c>
      <c r="K4137" s="2" t="str">
        <f>HYPERLINK("https://www.nba.com/stats/events?CFID=&amp;CFPARAMS=&amp;GameEventID=422&amp;GameID=0021500207&amp;Season=2015-16&amp;flag=1&amp;title=Leonard%208'%20Turnaround%20Fadeaway%20(24%20PTS)", "Leonard 8' Turnaround Fadeaway (24 PTS)")</f>
        <v>Leonard 8' Turnaround Fadeaway (24 PTS)</v>
      </c>
      <c r="L4137" s="2" t="str">
        <f>HYPERLINK("https://www.nba.com/game/...-vs-...-0021500207/play-by-play?watchFullGame=true", "SAS vs PHX - Q4 05:22.00")</f>
        <v>SAS vs PHX - Q4 05:22.00</v>
      </c>
      <c r="M4137">
        <v>8</v>
      </c>
      <c r="N4137">
        <v>78</v>
      </c>
      <c r="O4137">
        <v>21</v>
      </c>
      <c r="P4137">
        <v>78</v>
      </c>
      <c r="Q4137">
        <v>21</v>
      </c>
      <c r="R4137" t="s">
        <v>21</v>
      </c>
      <c r="S4137" t="s">
        <v>21</v>
      </c>
    </row>
    <row r="4138" spans="1:19" hidden="1" x14ac:dyDescent="0.25">
      <c r="A4138">
        <v>21600086</v>
      </c>
      <c r="B4138" t="s">
        <v>18</v>
      </c>
      <c r="C4138" t="s">
        <v>42</v>
      </c>
      <c r="D4138">
        <v>43</v>
      </c>
      <c r="E4138">
        <v>58</v>
      </c>
      <c r="F4138">
        <v>15</v>
      </c>
      <c r="G4138">
        <v>2</v>
      </c>
      <c r="H4138" s="1">
        <v>3.8541666666666668E-3</v>
      </c>
      <c r="I4138">
        <v>2016</v>
      </c>
      <c r="J4138" t="s">
        <v>20</v>
      </c>
      <c r="K4138" s="2" t="str">
        <f>HYPERLINK("https://www.nba.com/stats/events?CFID=&amp;CFPARAMS=&amp;GameEventID=216&amp;GameID=0021600086&amp;Season=2016-17&amp;flag=1&amp;title=Leonard%208'%20Driving%20Floating%20Jump%20Shot%20(14%20PTS)%20(Mills%203%20AST)", "Leonard 8' Driving Floating Jump Shot (14 PTS) (Mills 3 AST)")</f>
        <v>Leonard 8' Driving Floating Jump Shot (14 PTS) (Mills 3 AST)</v>
      </c>
      <c r="L4138" s="2" t="str">
        <f>HYPERLINK("https://www.nba.com/game/...-vs-...-0021600086/play-by-play?watchFullGame=true", "SAS vs LAC - Q2 05:33.00")</f>
        <v>SAS vs LAC - Q2 05:33.00</v>
      </c>
      <c r="M4138">
        <v>8</v>
      </c>
      <c r="N4138">
        <v>69</v>
      </c>
      <c r="O4138">
        <v>43</v>
      </c>
      <c r="P4138">
        <v>69</v>
      </c>
      <c r="Q4138">
        <v>43</v>
      </c>
      <c r="R4138" t="s">
        <v>21</v>
      </c>
      <c r="S4138" t="s">
        <v>21</v>
      </c>
    </row>
    <row r="4139" spans="1:19" hidden="1" x14ac:dyDescent="0.25">
      <c r="A4139">
        <v>21601227</v>
      </c>
      <c r="B4139" t="s">
        <v>18</v>
      </c>
      <c r="C4139" t="s">
        <v>19</v>
      </c>
      <c r="D4139">
        <v>10</v>
      </c>
      <c r="E4139">
        <v>11</v>
      </c>
      <c r="F4139">
        <v>1</v>
      </c>
      <c r="G4139">
        <v>1</v>
      </c>
      <c r="H4139" s="1">
        <v>3.9467592592592592E-3</v>
      </c>
      <c r="I4139">
        <v>2016</v>
      </c>
      <c r="J4139" t="s">
        <v>20</v>
      </c>
      <c r="K4139" s="2" t="str">
        <f>HYPERLINK("https://www.nba.com/stats/events?CFID=&amp;CFPARAMS=&amp;GameEventID=54&amp;GameID=0021601227&amp;Season=2016-17&amp;flag=1&amp;title=Leonard%208'%20Jump%20Shot%20(2%20PTS)", "Leonard 8' Jump Shot (2 PTS)")</f>
        <v>Leonard 8' Jump Shot (2 PTS)</v>
      </c>
      <c r="L4139" s="2" t="str">
        <f>HYPERLINK("https://www.nba.com/game/...-vs-...-0021601227/play-by-play?watchFullGame=true", "SAS vs UTA - Q1 05:41.00")</f>
        <v>SAS vs UTA - Q1 05:41.00</v>
      </c>
      <c r="M4139">
        <v>8</v>
      </c>
      <c r="N4139">
        <v>-27</v>
      </c>
      <c r="O4139">
        <v>70</v>
      </c>
      <c r="P4139">
        <v>-27</v>
      </c>
      <c r="Q4139">
        <v>70</v>
      </c>
      <c r="R4139" t="s">
        <v>21</v>
      </c>
      <c r="S4139" t="s">
        <v>21</v>
      </c>
    </row>
    <row r="4140" spans="1:19" hidden="1" x14ac:dyDescent="0.25">
      <c r="A4140">
        <v>41500235</v>
      </c>
      <c r="B4140" t="s">
        <v>18</v>
      </c>
      <c r="C4140" t="s">
        <v>29</v>
      </c>
      <c r="D4140">
        <v>65</v>
      </c>
      <c r="E4140">
        <v>53</v>
      </c>
      <c r="F4140">
        <v>12</v>
      </c>
      <c r="G4140">
        <v>3</v>
      </c>
      <c r="H4140" s="1">
        <v>3.9583333333333337E-3</v>
      </c>
      <c r="I4140" t="s">
        <v>57</v>
      </c>
      <c r="J4140" t="s">
        <v>20</v>
      </c>
      <c r="K4140" s="2" t="str">
        <f>HYPERLINK("https://www.nba.com/stats/events?CFID=&amp;CFPARAMS=&amp;GameEventID=323&amp;GameID=0041500235&amp;Season=2015-16&amp;flag=1&amp;title=Leonard%208'%20Jump%20Bank%20Shot%20(21%20PTS)", "Leonard 8' Jump Bank Shot (21 PTS)")</f>
        <v>Leonard 8' Jump Bank Shot (21 PTS)</v>
      </c>
      <c r="L4140" s="2" t="str">
        <f>HYPERLINK("https://www.nba.com/game/...-vs-...-0041500235/play-by-play?watchFullGame=true", "SAS vs OKC - Q3 05:42.00")</f>
        <v>SAS vs OKC - Q3 05:42.00</v>
      </c>
      <c r="M4140">
        <v>8</v>
      </c>
      <c r="N4140">
        <v>73</v>
      </c>
      <c r="O4140">
        <v>26</v>
      </c>
      <c r="P4140">
        <v>73</v>
      </c>
      <c r="Q4140">
        <v>26</v>
      </c>
      <c r="R4140" t="s">
        <v>21</v>
      </c>
      <c r="S4140" t="s">
        <v>21</v>
      </c>
    </row>
    <row r="4141" spans="1:19" hidden="1" x14ac:dyDescent="0.25">
      <c r="A4141">
        <v>41800403</v>
      </c>
      <c r="B4141" t="s">
        <v>18</v>
      </c>
      <c r="C4141" t="s">
        <v>67</v>
      </c>
      <c r="D4141">
        <v>78</v>
      </c>
      <c r="E4141">
        <v>67</v>
      </c>
      <c r="F4141">
        <v>11</v>
      </c>
      <c r="G4141">
        <v>3</v>
      </c>
      <c r="H4141" s="1">
        <v>3.9930555555555552E-3</v>
      </c>
      <c r="I4141" t="s">
        <v>60</v>
      </c>
      <c r="J4141" t="s">
        <v>48</v>
      </c>
      <c r="K4141" s="2" t="str">
        <f>HYPERLINK("https://www.nba.com/stats/events?CFID=&amp;CFPARAMS=&amp;GameEventID=420&amp;GameID=0041800403&amp;Season=2018-19&amp;flag=1&amp;title=Leonard%208'%20Turnaround%20Hook%20Shot%20(17%20PTS)", "Leonard 8' Turnaround Hook Shot (17 PTS)")</f>
        <v>Leonard 8' Turnaround Hook Shot (17 PTS)</v>
      </c>
      <c r="L4141" s="2" t="str">
        <f>HYPERLINK("https://www.nba.com/game/...-vs-...-0041800403/play-by-play?watchFullGame=true", "TOR vs GSW - Q3 05:45.00")</f>
        <v>TOR vs GSW - Q3 05:45.00</v>
      </c>
      <c r="M4141">
        <v>8</v>
      </c>
      <c r="N4141">
        <v>5</v>
      </c>
      <c r="O4141">
        <v>82</v>
      </c>
      <c r="P4141">
        <v>5</v>
      </c>
      <c r="Q4141">
        <v>82</v>
      </c>
      <c r="R4141" t="s">
        <v>21</v>
      </c>
      <c r="S4141" t="s">
        <v>21</v>
      </c>
    </row>
    <row r="4142" spans="1:19" hidden="1" x14ac:dyDescent="0.25">
      <c r="A4142">
        <v>41200153</v>
      </c>
      <c r="B4142" t="s">
        <v>18</v>
      </c>
      <c r="C4142" t="s">
        <v>34</v>
      </c>
      <c r="D4142">
        <v>75</v>
      </c>
      <c r="E4142">
        <v>57</v>
      </c>
      <c r="F4142">
        <v>18</v>
      </c>
      <c r="G4142">
        <v>3</v>
      </c>
      <c r="H4142" s="1">
        <v>4.0162037037037041E-3</v>
      </c>
      <c r="I4142" t="s">
        <v>53</v>
      </c>
      <c r="J4142" t="s">
        <v>20</v>
      </c>
      <c r="K4142" s="2" t="str">
        <f>HYPERLINK("https://www.nba.com/stats/events?CFID=&amp;CFPARAMS=&amp;GameEventID=304&amp;GameID=0041200153&amp;Season=2012-13&amp;flag=1&amp;title=Leonard%208'%20Turnaround%20Jump%20Shot%20(12%20PTS)", "Leonard 8' Turnaround Jump Shot (12 PTS)")</f>
        <v>Leonard 8' Turnaround Jump Shot (12 PTS)</v>
      </c>
      <c r="L4142" s="2" t="str">
        <f>HYPERLINK("https://www.nba.com/game/...-vs-...-0041200153/play-by-play?watchFullGame=true", "SAS vs LAL - Q3 05:47.00")</f>
        <v>SAS vs LAL - Q3 05:47.00</v>
      </c>
      <c r="M4142">
        <v>8</v>
      </c>
      <c r="N4142">
        <v>48</v>
      </c>
      <c r="O4142">
        <v>60</v>
      </c>
      <c r="P4142">
        <v>48</v>
      </c>
      <c r="Q4142">
        <v>60</v>
      </c>
      <c r="R4142" t="s">
        <v>21</v>
      </c>
      <c r="S4142" t="s">
        <v>21</v>
      </c>
    </row>
    <row r="4143" spans="1:19" hidden="1" x14ac:dyDescent="0.25">
      <c r="A4143">
        <v>41200153</v>
      </c>
      <c r="B4143" t="s">
        <v>18</v>
      </c>
      <c r="C4143" t="s">
        <v>47</v>
      </c>
      <c r="D4143">
        <v>15</v>
      </c>
      <c r="E4143">
        <v>8</v>
      </c>
      <c r="F4143">
        <v>7</v>
      </c>
      <c r="G4143">
        <v>1</v>
      </c>
      <c r="H4143" s="1">
        <v>4.0972222222222226E-3</v>
      </c>
      <c r="I4143" t="s">
        <v>53</v>
      </c>
      <c r="J4143" t="s">
        <v>20</v>
      </c>
      <c r="K4143" s="2" t="str">
        <f>HYPERLINK("https://www.nba.com/stats/events?CFID=&amp;CFPARAMS=&amp;GameEventID=67&amp;GameID=0041200153&amp;Season=2012-13&amp;flag=1&amp;title=Leonard%208'%20Hook%20Shot%20(6%20PTS)%20(Green%202%20AST)", "Leonard 8' Hook Shot (6 PTS) (Green 2 AST)")</f>
        <v>Leonard 8' Hook Shot (6 PTS) (Green 2 AST)</v>
      </c>
      <c r="L4143" s="2" t="str">
        <f>HYPERLINK("https://www.nba.com/game/...-vs-...-0041200153/play-by-play?watchFullGame=true", "SAS vs LAL - Q1 05:54.00")</f>
        <v>SAS vs LAL - Q1 05:54.00</v>
      </c>
      <c r="M4143">
        <v>8</v>
      </c>
      <c r="N4143">
        <v>78</v>
      </c>
      <c r="O4143">
        <v>15</v>
      </c>
      <c r="P4143">
        <v>78</v>
      </c>
      <c r="Q4143">
        <v>15</v>
      </c>
      <c r="R4143" t="s">
        <v>21</v>
      </c>
      <c r="S4143" t="s">
        <v>21</v>
      </c>
    </row>
    <row r="4144" spans="1:19" hidden="1" x14ac:dyDescent="0.25">
      <c r="A4144">
        <v>41600151</v>
      </c>
      <c r="B4144" t="s">
        <v>18</v>
      </c>
      <c r="C4144" t="s">
        <v>67</v>
      </c>
      <c r="D4144">
        <v>64</v>
      </c>
      <c r="E4144">
        <v>55</v>
      </c>
      <c r="F4144">
        <v>9</v>
      </c>
      <c r="G4144">
        <v>3</v>
      </c>
      <c r="H4144" s="1">
        <v>4.1898148148148146E-3</v>
      </c>
      <c r="I4144" t="s">
        <v>58</v>
      </c>
      <c r="J4144" t="s">
        <v>20</v>
      </c>
      <c r="K4144" s="2" t="str">
        <f>HYPERLINK("https://www.nba.com/stats/events?CFID=&amp;CFPARAMS=&amp;GameEventID=281&amp;GameID=0041600151&amp;Season=2016-17&amp;flag=1&amp;title=Leonard%208'%20Turnaround%20Hook%20Shot%20(21%20PTS)", "Leonard 8' Turnaround Hook Shot (21 PTS)")</f>
        <v>Leonard 8' Turnaround Hook Shot (21 PTS)</v>
      </c>
      <c r="L4144" s="2" t="str">
        <f>HYPERLINK("https://www.nba.com/game/...-vs-...-0041600151/play-by-play?watchFullGame=true", "SAS vs MEM - Q3 06:02.00")</f>
        <v>SAS vs MEM - Q3 06:02.00</v>
      </c>
      <c r="M4144">
        <v>8</v>
      </c>
      <c r="N4144">
        <v>38</v>
      </c>
      <c r="O4144">
        <v>65</v>
      </c>
      <c r="P4144">
        <v>38</v>
      </c>
      <c r="Q4144">
        <v>65</v>
      </c>
      <c r="R4144" t="s">
        <v>21</v>
      </c>
      <c r="S4144" t="s">
        <v>21</v>
      </c>
    </row>
    <row r="4145" spans="1:19" hidden="1" x14ac:dyDescent="0.25">
      <c r="A4145">
        <v>21600016</v>
      </c>
      <c r="B4145" t="s">
        <v>18</v>
      </c>
      <c r="C4145" t="s">
        <v>30</v>
      </c>
      <c r="D4145">
        <v>8</v>
      </c>
      <c r="E4145">
        <v>14</v>
      </c>
      <c r="F4145">
        <v>6</v>
      </c>
      <c r="G4145">
        <v>1</v>
      </c>
      <c r="H4145" s="1">
        <v>4.2129629629629626E-3</v>
      </c>
      <c r="I4145">
        <v>2016</v>
      </c>
      <c r="J4145" t="s">
        <v>20</v>
      </c>
      <c r="K4145" s="2" t="str">
        <f>HYPERLINK("https://www.nba.com/stats/events?CFID=&amp;CFPARAMS=&amp;GameEventID=44&amp;GameID=0021600016&amp;Season=2016-17&amp;flag=1&amp;title=Leonard%208'%20Running%20Jump%20Shot%20(8%20PTS)", "Leonard 8' Running Jump Shot (8 PTS)")</f>
        <v>Leonard 8' Running Jump Shot (8 PTS)</v>
      </c>
      <c r="L4145" s="2" t="str">
        <f>HYPERLINK("https://www.nba.com/game/...-vs-...-0021600016/play-by-play?watchFullGame=true", "SAS vs SAC - Q1 06:04.00")</f>
        <v>SAS vs SAC - Q1 06:04.00</v>
      </c>
      <c r="M4145">
        <v>8</v>
      </c>
      <c r="N4145">
        <v>28</v>
      </c>
      <c r="O4145">
        <v>75</v>
      </c>
      <c r="P4145">
        <v>28</v>
      </c>
      <c r="Q4145">
        <v>75</v>
      </c>
      <c r="R4145" t="s">
        <v>21</v>
      </c>
      <c r="S4145" t="s">
        <v>21</v>
      </c>
    </row>
    <row r="4146" spans="1:19" hidden="1" x14ac:dyDescent="0.25">
      <c r="A4146">
        <v>41600232</v>
      </c>
      <c r="B4146" t="s">
        <v>18</v>
      </c>
      <c r="C4146" t="s">
        <v>36</v>
      </c>
      <c r="D4146">
        <v>105</v>
      </c>
      <c r="E4146">
        <v>88</v>
      </c>
      <c r="F4146">
        <v>17</v>
      </c>
      <c r="G4146">
        <v>4</v>
      </c>
      <c r="H4146" s="1">
        <v>4.31712962962963E-3</v>
      </c>
      <c r="I4146" t="s">
        <v>58</v>
      </c>
      <c r="J4146" t="s">
        <v>20</v>
      </c>
      <c r="K4146" s="2" t="str">
        <f>HYPERLINK("https://www.nba.com/stats/events?CFID=&amp;CFPARAMS=&amp;GameEventID=400&amp;GameID=0041600232&amp;Season=2016-17&amp;flag=1&amp;title=Leonard%208'%20Pullup%20Jump%20Shot%20(30%20PTS)", "Leonard 8' Pullup Jump Shot (30 PTS)")</f>
        <v>Leonard 8' Pullup Jump Shot (30 PTS)</v>
      </c>
      <c r="L4146" s="2" t="str">
        <f>HYPERLINK("https://www.nba.com/game/...-vs-...-0041600232/play-by-play?watchFullGame=true", "SAS vs HOU - Q4 06:13.00")</f>
        <v>SAS vs HOU - Q4 06:13.00</v>
      </c>
      <c r="M4146">
        <v>8</v>
      </c>
      <c r="N4146">
        <v>25</v>
      </c>
      <c r="O4146">
        <v>77</v>
      </c>
      <c r="P4146">
        <v>25</v>
      </c>
      <c r="Q4146">
        <v>77</v>
      </c>
      <c r="R4146" t="s">
        <v>21</v>
      </c>
      <c r="S4146" t="s">
        <v>21</v>
      </c>
    </row>
    <row r="4147" spans="1:19" hidden="1" x14ac:dyDescent="0.25">
      <c r="A4147">
        <v>21300520</v>
      </c>
      <c r="B4147" t="s">
        <v>18</v>
      </c>
      <c r="C4147" t="s">
        <v>19</v>
      </c>
      <c r="D4147">
        <v>33</v>
      </c>
      <c r="E4147">
        <v>24</v>
      </c>
      <c r="F4147">
        <v>9</v>
      </c>
      <c r="G4147">
        <v>2</v>
      </c>
      <c r="H4147" s="1">
        <v>4.4444444444444444E-3</v>
      </c>
      <c r="I4147">
        <v>2013</v>
      </c>
      <c r="J4147" t="s">
        <v>20</v>
      </c>
      <c r="K4147" s="2" t="str">
        <f>HYPERLINK("https://www.nba.com/stats/events?CFID=&amp;CFPARAMS=&amp;GameEventID=191&amp;GameID=0021300520&amp;Season=2013-14&amp;flag=1&amp;title=Leonard%208'%20Jump%20Shot%20(9%20PTS)%20(Diaw%202%20AST)", "Leonard 8' Jump Shot (9 PTS) (Diaw 2 AST)")</f>
        <v>Leonard 8' Jump Shot (9 PTS) (Diaw 2 AST)</v>
      </c>
      <c r="L4147" s="2" t="str">
        <f>HYPERLINK("https://www.nba.com/game/...-vs-...-0021300520/play-by-play?watchFullGame=true", "SAS vs DAL - Q2 06:24.00")</f>
        <v>SAS vs DAL - Q2 06:24.00</v>
      </c>
      <c r="M4147">
        <v>8</v>
      </c>
      <c r="N4147">
        <v>-71</v>
      </c>
      <c r="O4147">
        <v>30</v>
      </c>
      <c r="P4147">
        <v>-71</v>
      </c>
      <c r="Q4147">
        <v>30</v>
      </c>
      <c r="R4147" t="s">
        <v>21</v>
      </c>
      <c r="S4147" t="s">
        <v>21</v>
      </c>
    </row>
    <row r="4148" spans="1:19" hidden="1" x14ac:dyDescent="0.25">
      <c r="A4148">
        <v>21400964</v>
      </c>
      <c r="B4148" t="s">
        <v>18</v>
      </c>
      <c r="C4148" t="s">
        <v>19</v>
      </c>
      <c r="D4148">
        <v>48</v>
      </c>
      <c r="E4148">
        <v>43</v>
      </c>
      <c r="F4148">
        <v>5</v>
      </c>
      <c r="G4148">
        <v>2</v>
      </c>
      <c r="H4148" s="1">
        <v>4.5138888888888885E-3</v>
      </c>
      <c r="I4148">
        <v>2014</v>
      </c>
      <c r="J4148" t="s">
        <v>20</v>
      </c>
      <c r="K4148" s="2" t="str">
        <f>HYPERLINK("https://www.nba.com/stats/events?CFID=&amp;CFPARAMS=&amp;GameEventID=180&amp;GameID=0021400964&amp;Season=2014-15&amp;flag=1&amp;title=Leonard%208'%20Jump%20Shot%20(12%20PTS)%20(Parker%202%20AST)", "Leonard 8' Jump Shot (12 PTS) (Parker 2 AST)")</f>
        <v>Leonard 8' Jump Shot (12 PTS) (Parker 2 AST)</v>
      </c>
      <c r="L4148" s="2" t="str">
        <f>HYPERLINK("https://www.nba.com/game/...-vs-...-0021400964/play-by-play?watchFullGame=true", "SAS vs CLE - Q2 06:30.00")</f>
        <v>SAS vs CLE - Q2 06:30.00</v>
      </c>
      <c r="M4148">
        <v>8</v>
      </c>
      <c r="N4148">
        <v>-15</v>
      </c>
      <c r="O4148">
        <v>77</v>
      </c>
      <c r="P4148">
        <v>-15</v>
      </c>
      <c r="Q4148">
        <v>77</v>
      </c>
      <c r="R4148" t="s">
        <v>21</v>
      </c>
      <c r="S4148" t="s">
        <v>21</v>
      </c>
    </row>
    <row r="4149" spans="1:19" hidden="1" x14ac:dyDescent="0.25">
      <c r="A4149">
        <v>21600727</v>
      </c>
      <c r="B4149" t="s">
        <v>18</v>
      </c>
      <c r="C4149" t="s">
        <v>19</v>
      </c>
      <c r="D4149">
        <v>10</v>
      </c>
      <c r="E4149">
        <v>8</v>
      </c>
      <c r="F4149">
        <v>2</v>
      </c>
      <c r="G4149">
        <v>1</v>
      </c>
      <c r="H4149" s="1">
        <v>4.7106481481481478E-3</v>
      </c>
      <c r="I4149">
        <v>2016</v>
      </c>
      <c r="J4149" t="s">
        <v>20</v>
      </c>
      <c r="K4149" s="2" t="str">
        <f>HYPERLINK("https://www.nba.com/stats/events?CFID=&amp;CFPARAMS=&amp;GameEventID=58&amp;GameID=0021600727&amp;Season=2016-17&amp;flag=1&amp;title=Leonard%208'%20Jump%20Shot%20(2%20PTS)", "Leonard 8' Jump Shot (2 PTS)")</f>
        <v>Leonard 8' Jump Shot (2 PTS)</v>
      </c>
      <c r="L4149" s="2" t="str">
        <f>HYPERLINK("https://www.nba.com/game/...-vs-...-0021600727/play-by-play?watchFullGame=true", "SAS vs OKC - Q1 06:47.00")</f>
        <v>SAS vs OKC - Q1 06:47.00</v>
      </c>
      <c r="M4149">
        <v>8</v>
      </c>
      <c r="N4149">
        <v>-14</v>
      </c>
      <c r="O4149">
        <v>77</v>
      </c>
      <c r="P4149">
        <v>-14</v>
      </c>
      <c r="Q4149">
        <v>77</v>
      </c>
      <c r="R4149" t="s">
        <v>21</v>
      </c>
      <c r="S4149" t="s">
        <v>21</v>
      </c>
    </row>
    <row r="4150" spans="1:19" hidden="1" x14ac:dyDescent="0.25">
      <c r="A4150">
        <v>21601056</v>
      </c>
      <c r="B4150" t="s">
        <v>18</v>
      </c>
      <c r="C4150" t="s">
        <v>59</v>
      </c>
      <c r="D4150">
        <v>86</v>
      </c>
      <c r="E4150">
        <v>80</v>
      </c>
      <c r="F4150">
        <v>6</v>
      </c>
      <c r="G4150">
        <v>4</v>
      </c>
      <c r="H4150" s="1">
        <v>5.092592592592593E-3</v>
      </c>
      <c r="I4150">
        <v>2016</v>
      </c>
      <c r="J4150" t="s">
        <v>20</v>
      </c>
      <c r="K4150" s="2" t="str">
        <f>HYPERLINK("https://www.nba.com/stats/events?CFID=&amp;CFPARAMS=&amp;GameEventID=412&amp;GameID=0021601056&amp;Season=2016-17&amp;flag=1&amp;title=Leonard%208'%20Floating%20Jump%20Shot%20(18%20PTS)", "Leonard 8' Floating Jump Shot (18 PTS)")</f>
        <v>Leonard 8' Floating Jump Shot (18 PTS)</v>
      </c>
      <c r="L4150" s="2" t="str">
        <f>HYPERLINK("https://www.nba.com/game/...-vs-...-0021601056/play-by-play?watchFullGame=true", "SAS vs MIN - Q4 07:20.00")</f>
        <v>SAS vs MIN - Q4 07:20.00</v>
      </c>
      <c r="M4150">
        <v>8</v>
      </c>
      <c r="N4150">
        <v>73</v>
      </c>
      <c r="O4150">
        <v>41</v>
      </c>
      <c r="P4150">
        <v>73</v>
      </c>
      <c r="Q4150">
        <v>41</v>
      </c>
      <c r="R4150" t="s">
        <v>21</v>
      </c>
      <c r="S4150" t="s">
        <v>21</v>
      </c>
    </row>
    <row r="4151" spans="1:19" hidden="1" x14ac:dyDescent="0.25">
      <c r="A4151">
        <v>21600336</v>
      </c>
      <c r="B4151" t="s">
        <v>18</v>
      </c>
      <c r="C4151" t="s">
        <v>19</v>
      </c>
      <c r="D4151">
        <v>70</v>
      </c>
      <c r="E4151">
        <v>80</v>
      </c>
      <c r="F4151">
        <v>10</v>
      </c>
      <c r="G4151">
        <v>4</v>
      </c>
      <c r="H4151" s="1">
        <v>5.4629629629629629E-3</v>
      </c>
      <c r="I4151">
        <v>2016</v>
      </c>
      <c r="J4151" t="s">
        <v>20</v>
      </c>
      <c r="K4151" s="2" t="str">
        <f>HYPERLINK("https://www.nba.com/stats/events?CFID=&amp;CFPARAMS=&amp;GameEventID=441&amp;GameID=0021600336&amp;Season=2016-17&amp;flag=1&amp;title=Leonard%208'%20Jump%20Shot%20(18%20PTS)", "Leonard 8' Jump Shot (18 PTS)")</f>
        <v>Leonard 8' Jump Shot (18 PTS)</v>
      </c>
      <c r="L4151" s="2" t="str">
        <f>HYPERLINK("https://www.nba.com/game/...-vs-...-0021600336/play-by-play?watchFullGame=true", "SAS vs CHI - Q4 07:52.00")</f>
        <v>SAS vs CHI - Q4 07:52.00</v>
      </c>
      <c r="M4151">
        <v>8</v>
      </c>
      <c r="N4151">
        <v>66</v>
      </c>
      <c r="O4151">
        <v>51</v>
      </c>
      <c r="P4151">
        <v>66</v>
      </c>
      <c r="Q4151">
        <v>51</v>
      </c>
      <c r="R4151" t="s">
        <v>21</v>
      </c>
      <c r="S4151" t="s">
        <v>21</v>
      </c>
    </row>
    <row r="4152" spans="1:19" hidden="1" x14ac:dyDescent="0.25">
      <c r="A4152">
        <v>21500040</v>
      </c>
      <c r="B4152" t="s">
        <v>18</v>
      </c>
      <c r="C4152" t="s">
        <v>34</v>
      </c>
      <c r="D4152">
        <v>29</v>
      </c>
      <c r="E4152">
        <v>19</v>
      </c>
      <c r="F4152">
        <v>10</v>
      </c>
      <c r="G4152">
        <v>2</v>
      </c>
      <c r="H4152" s="1">
        <v>5.7754629629629631E-3</v>
      </c>
      <c r="I4152">
        <v>2015</v>
      </c>
      <c r="J4152" t="s">
        <v>20</v>
      </c>
      <c r="K4152" s="2" t="str">
        <f>HYPERLINK("https://www.nba.com/stats/events?CFID=&amp;CFPARAMS=&amp;GameEventID=167&amp;GameID=0021500040&amp;Season=2015-16&amp;flag=1&amp;title=Leonard%208'%20Turnaround%20Jump%20Shot%20(8%20PTS)%20(Duncan%201%20AST)", "Leonard 8' Turnaround Jump Shot (8 PTS) (Duncan 1 AST)")</f>
        <v>Leonard 8' Turnaround Jump Shot (8 PTS) (Duncan 1 AST)</v>
      </c>
      <c r="L4152" s="2" t="str">
        <f>HYPERLINK("https://www.nba.com/game/...-vs-...-0021500040/play-by-play?watchFullGame=true", "SAS vs BOS - Q2 08:19.00")</f>
        <v>SAS vs BOS - Q2 08:19.00</v>
      </c>
      <c r="M4152">
        <v>8</v>
      </c>
      <c r="N4152">
        <v>-81</v>
      </c>
      <c r="O4152">
        <v>13</v>
      </c>
      <c r="P4152">
        <v>-81</v>
      </c>
      <c r="Q4152">
        <v>13</v>
      </c>
      <c r="R4152" t="s">
        <v>21</v>
      </c>
      <c r="S4152" t="s">
        <v>21</v>
      </c>
    </row>
    <row r="4153" spans="1:19" hidden="1" x14ac:dyDescent="0.25">
      <c r="A4153">
        <v>21401223</v>
      </c>
      <c r="B4153" t="s">
        <v>18</v>
      </c>
      <c r="C4153" t="s">
        <v>34</v>
      </c>
      <c r="D4153">
        <v>55</v>
      </c>
      <c r="E4153">
        <v>69</v>
      </c>
      <c r="F4153">
        <v>14</v>
      </c>
      <c r="G4153">
        <v>3</v>
      </c>
      <c r="H4153" s="1">
        <v>5.9143518518518521E-3</v>
      </c>
      <c r="I4153">
        <v>2014</v>
      </c>
      <c r="J4153" t="s">
        <v>20</v>
      </c>
      <c r="K4153" s="2" t="str">
        <f>HYPERLINK("https://www.nba.com/stats/events?CFID=&amp;CFPARAMS=&amp;GameEventID=245&amp;GameID=0021401223&amp;Season=2014-15&amp;flag=1&amp;title=Leonard%208'%20Turnaround%20Jump%20Shot%20(12%20PTS)", "Leonard 8' Turnaround Jump Shot (12 PTS)")</f>
        <v>Leonard 8' Turnaround Jump Shot (12 PTS)</v>
      </c>
      <c r="L4153" s="2" t="str">
        <f>HYPERLINK("https://www.nba.com/game/...-vs-...-0021401223/play-by-play?watchFullGame=true", "SAS vs NOP - Q3 08:31.00")</f>
        <v>SAS vs NOP - Q3 08:31.00</v>
      </c>
      <c r="M4153">
        <v>8</v>
      </c>
      <c r="N4153">
        <v>1</v>
      </c>
      <c r="O4153">
        <v>78</v>
      </c>
      <c r="P4153">
        <v>1</v>
      </c>
      <c r="Q4153">
        <v>78</v>
      </c>
      <c r="R4153" t="s">
        <v>21</v>
      </c>
      <c r="S4153" t="s">
        <v>21</v>
      </c>
    </row>
    <row r="4154" spans="1:19" hidden="1" x14ac:dyDescent="0.25">
      <c r="A4154">
        <v>21500872</v>
      </c>
      <c r="B4154" t="s">
        <v>18</v>
      </c>
      <c r="C4154" t="s">
        <v>34</v>
      </c>
      <c r="D4154">
        <v>6</v>
      </c>
      <c r="E4154">
        <v>0</v>
      </c>
      <c r="F4154">
        <v>6</v>
      </c>
      <c r="G4154">
        <v>1</v>
      </c>
      <c r="H4154" s="1">
        <v>5.9259259259259256E-3</v>
      </c>
      <c r="I4154">
        <v>2015</v>
      </c>
      <c r="J4154" t="s">
        <v>20</v>
      </c>
      <c r="K4154" s="2" t="str">
        <f>HYPERLINK("https://www.nba.com/stats/events?CFID=&amp;CFPARAMS=&amp;GameEventID=26&amp;GameID=0021500872&amp;Season=2015-16&amp;flag=1&amp;title=Leonard%208'%20Turnaround%20Jump%20Shot%20(2%20PTS)", "Leonard 8' Turnaround Jump Shot (2 PTS)")</f>
        <v>Leonard 8' Turnaround Jump Shot (2 PTS)</v>
      </c>
      <c r="L4154" s="2" t="str">
        <f>HYPERLINK("https://www.nba.com/game/...-vs-...-0021500872/play-by-play?watchFullGame=true", "SAS vs HOU - Q1 08:32.00")</f>
        <v>SAS vs HOU - Q1 08:32.00</v>
      </c>
      <c r="M4154">
        <v>8</v>
      </c>
      <c r="N4154">
        <v>-16</v>
      </c>
      <c r="O4154">
        <v>75</v>
      </c>
      <c r="P4154">
        <v>-16</v>
      </c>
      <c r="Q4154">
        <v>75</v>
      </c>
      <c r="R4154" t="s">
        <v>21</v>
      </c>
      <c r="S4154" t="s">
        <v>21</v>
      </c>
    </row>
    <row r="4155" spans="1:19" hidden="1" x14ac:dyDescent="0.25">
      <c r="A4155">
        <v>21800055</v>
      </c>
      <c r="B4155" t="s">
        <v>18</v>
      </c>
      <c r="C4155" t="s">
        <v>37</v>
      </c>
      <c r="D4155">
        <v>11</v>
      </c>
      <c r="E4155">
        <v>4</v>
      </c>
      <c r="F4155">
        <v>7</v>
      </c>
      <c r="G4155">
        <v>1</v>
      </c>
      <c r="H4155" s="1">
        <v>5.9375000000000001E-3</v>
      </c>
      <c r="I4155">
        <v>2018</v>
      </c>
      <c r="J4155" t="s">
        <v>48</v>
      </c>
      <c r="K4155" s="2" t="str">
        <f>HYPERLINK("https://www.nba.com/stats/events?CFID=&amp;CFPARAMS=&amp;GameEventID=34&amp;GameID=0021800055&amp;Season=2018-19&amp;flag=1&amp;title=Leonard%208'%20Fadeaway%20Jumper%20(6%20PTS)", "Leonard 8' Fadeaway Jumper (6 PTS)")</f>
        <v>Leonard 8' Fadeaway Jumper (6 PTS)</v>
      </c>
      <c r="L4155" s="2" t="str">
        <f>HYPERLINK("https://www.nba.com/game/...-vs-...-0021800055/play-by-play?watchFullGame=true", "TOR vs MIN - Q1 08:33.00")</f>
        <v>TOR vs MIN - Q1 08:33.00</v>
      </c>
      <c r="M4155">
        <v>8</v>
      </c>
      <c r="N4155">
        <v>-38</v>
      </c>
      <c r="O4155">
        <v>75</v>
      </c>
      <c r="P4155">
        <v>-38</v>
      </c>
      <c r="Q4155">
        <v>75</v>
      </c>
      <c r="R4155" t="s">
        <v>21</v>
      </c>
      <c r="S4155" t="s">
        <v>21</v>
      </c>
    </row>
    <row r="4156" spans="1:19" hidden="1" x14ac:dyDescent="0.25">
      <c r="A4156">
        <v>21700402</v>
      </c>
      <c r="B4156" t="s">
        <v>18</v>
      </c>
      <c r="C4156" t="s">
        <v>47</v>
      </c>
      <c r="D4156">
        <v>6</v>
      </c>
      <c r="E4156">
        <v>10</v>
      </c>
      <c r="F4156">
        <v>4</v>
      </c>
      <c r="G4156">
        <v>1</v>
      </c>
      <c r="H4156" s="1">
        <v>5.9606481481481481E-3</v>
      </c>
      <c r="I4156">
        <v>2017</v>
      </c>
      <c r="J4156" t="s">
        <v>20</v>
      </c>
      <c r="K4156" s="2" t="str">
        <f>HYPERLINK("https://www.nba.com/stats/events?CFID=&amp;CFPARAMS=&amp;GameEventID=31&amp;GameID=0021700402&amp;Season=2017-18&amp;flag=1&amp;title=Leonard%208'%20Hook%20Shot%20(4%20PTS)", "Leonard 8' Hook Shot (4 PTS)")</f>
        <v>Leonard 8' Hook Shot (4 PTS)</v>
      </c>
      <c r="L4156" s="2" t="str">
        <f>HYPERLINK("https://www.nba.com/game/...-vs-...-0021700402/play-by-play?watchFullGame=true", "SAS vs DAL - Q1 08:35.00")</f>
        <v>SAS vs DAL - Q1 08:35.00</v>
      </c>
      <c r="M4156">
        <v>8</v>
      </c>
      <c r="N4156">
        <v>10</v>
      </c>
      <c r="O4156">
        <v>76</v>
      </c>
      <c r="P4156">
        <v>10</v>
      </c>
      <c r="Q4156">
        <v>76</v>
      </c>
      <c r="R4156" t="s">
        <v>21</v>
      </c>
      <c r="S4156" t="s">
        <v>21</v>
      </c>
    </row>
    <row r="4157" spans="1:19" hidden="1" x14ac:dyDescent="0.25">
      <c r="A4157">
        <v>21501001</v>
      </c>
      <c r="B4157" t="s">
        <v>18</v>
      </c>
      <c r="C4157" t="s">
        <v>36</v>
      </c>
      <c r="D4157">
        <v>6</v>
      </c>
      <c r="E4157">
        <v>6</v>
      </c>
      <c r="F4157">
        <v>0</v>
      </c>
      <c r="G4157">
        <v>1</v>
      </c>
      <c r="H4157" s="1">
        <v>6.2037037037037035E-3</v>
      </c>
      <c r="I4157">
        <v>2015</v>
      </c>
      <c r="J4157" t="s">
        <v>20</v>
      </c>
      <c r="K4157" s="2" t="str">
        <f>HYPERLINK("https://www.nba.com/stats/events?CFID=&amp;CFPARAMS=&amp;GameEventID=24&amp;GameID=0021501001&amp;Season=2015-16&amp;flag=1&amp;title=Leonard%208'%20Pullup%20Jump%20Shot%20(2%20PTS)%20(Parker%201%20AST)", "Leonard 8' Pullup Jump Shot (2 PTS) (Parker 1 AST)")</f>
        <v>Leonard 8' Pullup Jump Shot (2 PTS) (Parker 1 AST)</v>
      </c>
      <c r="L4157" s="2" t="str">
        <f>HYPERLINK("https://www.nba.com/game/...-vs-...-0021501001/play-by-play?watchFullGame=true", "SAS vs LAC - Q1 08:56.00")</f>
        <v>SAS vs LAC - Q1 08:56.00</v>
      </c>
      <c r="M4157">
        <v>8</v>
      </c>
      <c r="N4157">
        <v>33</v>
      </c>
      <c r="O4157">
        <v>77</v>
      </c>
      <c r="P4157">
        <v>33</v>
      </c>
      <c r="Q4157">
        <v>77</v>
      </c>
      <c r="R4157" t="s">
        <v>21</v>
      </c>
      <c r="S4157" t="s">
        <v>21</v>
      </c>
    </row>
    <row r="4158" spans="1:19" hidden="1" x14ac:dyDescent="0.25">
      <c r="A4158">
        <v>41300224</v>
      </c>
      <c r="B4158" t="s">
        <v>18</v>
      </c>
      <c r="C4158" t="s">
        <v>38</v>
      </c>
      <c r="D4158">
        <v>74</v>
      </c>
      <c r="E4158">
        <v>90</v>
      </c>
      <c r="F4158">
        <v>16</v>
      </c>
      <c r="G4158">
        <v>4</v>
      </c>
      <c r="H4158" s="1">
        <v>6.2500000000000003E-3</v>
      </c>
      <c r="I4158" t="s">
        <v>55</v>
      </c>
      <c r="J4158" t="s">
        <v>20</v>
      </c>
      <c r="K4158" s="2" t="str">
        <f>HYPERLINK("https://www.nba.com/stats/events?CFID=&amp;CFPARAMS=&amp;GameEventID=420&amp;GameID=0041300224&amp;Season=2013-14&amp;flag=1&amp;title=Leonard%208'%20Turnaround%20Fadeaway%20(11%20PTS)", "Leonard 8' Turnaround Fadeaway (11 PTS)")</f>
        <v>Leonard 8' Turnaround Fadeaway (11 PTS)</v>
      </c>
      <c r="L4158" s="2" t="str">
        <f>HYPERLINK("https://www.nba.com/game/...-vs-...-0041300224/play-by-play?watchFullGame=true", "SAS vs POR - Q4 09:00.00")</f>
        <v>SAS vs POR - Q4 09:00.00</v>
      </c>
      <c r="M4158">
        <v>8</v>
      </c>
      <c r="N4158">
        <v>-81</v>
      </c>
      <c r="O4158">
        <v>9</v>
      </c>
      <c r="P4158">
        <v>-81</v>
      </c>
      <c r="Q4158">
        <v>9</v>
      </c>
      <c r="R4158" t="s">
        <v>21</v>
      </c>
      <c r="S4158" t="s">
        <v>21</v>
      </c>
    </row>
    <row r="4159" spans="1:19" hidden="1" x14ac:dyDescent="0.25">
      <c r="A4159">
        <v>41800216</v>
      </c>
      <c r="B4159" t="s">
        <v>18</v>
      </c>
      <c r="C4159" t="s">
        <v>42</v>
      </c>
      <c r="D4159">
        <v>48</v>
      </c>
      <c r="E4159">
        <v>62</v>
      </c>
      <c r="F4159">
        <v>14</v>
      </c>
      <c r="G4159">
        <v>3</v>
      </c>
      <c r="H4159" s="1">
        <v>6.4467592592592588E-3</v>
      </c>
      <c r="I4159" t="s">
        <v>60</v>
      </c>
      <c r="J4159" t="s">
        <v>48</v>
      </c>
      <c r="K4159" s="2" t="str">
        <f>HYPERLINK("https://www.nba.com/stats/events?CFID=&amp;CFPARAMS=&amp;GameEventID=345&amp;GameID=0041800216&amp;Season=2018-19&amp;flag=1&amp;title=Leonard%208'%20Driving%20Floating%20Jump%20Shot%20(16%20PTS)", "Leonard 8' Driving Floating Jump Shot (16 PTS)")</f>
        <v>Leonard 8' Driving Floating Jump Shot (16 PTS)</v>
      </c>
      <c r="L4159" s="2" t="str">
        <f>HYPERLINK("https://www.nba.com/game/...-vs-...-0041800216/play-by-play?watchFullGame=true", "TOR vs PHI - Q3 09:17.00")</f>
        <v>TOR vs PHI - Q3 09:17.00</v>
      </c>
      <c r="M4159">
        <v>8</v>
      </c>
      <c r="N4159">
        <v>-7</v>
      </c>
      <c r="O4159">
        <v>84</v>
      </c>
      <c r="P4159">
        <v>-7</v>
      </c>
      <c r="Q4159">
        <v>84</v>
      </c>
      <c r="R4159" t="s">
        <v>21</v>
      </c>
      <c r="S4159" t="s">
        <v>21</v>
      </c>
    </row>
    <row r="4160" spans="1:19" hidden="1" x14ac:dyDescent="0.25">
      <c r="A4160">
        <v>21600016</v>
      </c>
      <c r="B4160" t="s">
        <v>18</v>
      </c>
      <c r="C4160" t="s">
        <v>49</v>
      </c>
      <c r="D4160">
        <v>2</v>
      </c>
      <c r="E4160">
        <v>4</v>
      </c>
      <c r="F4160">
        <v>2</v>
      </c>
      <c r="G4160">
        <v>1</v>
      </c>
      <c r="H4160" s="1">
        <v>6.5046296296296293E-3</v>
      </c>
      <c r="I4160">
        <v>2016</v>
      </c>
      <c r="J4160" t="s">
        <v>20</v>
      </c>
      <c r="K4160" s="2" t="str">
        <f>HYPERLINK("https://www.nba.com/stats/events?CFID=&amp;CFPARAMS=&amp;GameEventID=18&amp;GameID=0021600016&amp;Season=2016-17&amp;flag=1&amp;title=Leonard%208'%20Driving%20Floating%20Bank%20Jump%20Shot%20(2%20PTS)", "Leonard 8' Driving Floating Bank Jump Shot (2 PTS)")</f>
        <v>Leonard 8' Driving Floating Bank Jump Shot (2 PTS)</v>
      </c>
      <c r="L4160" s="2" t="str">
        <f>HYPERLINK("https://www.nba.com/game/...-vs-...-0021600016/play-by-play?watchFullGame=true", "SAS vs SAC - Q1 09:22.00")</f>
        <v>SAS vs SAC - Q1 09:22.00</v>
      </c>
      <c r="M4160">
        <v>8</v>
      </c>
      <c r="N4160">
        <v>50</v>
      </c>
      <c r="O4160">
        <v>62</v>
      </c>
      <c r="P4160">
        <v>50</v>
      </c>
      <c r="Q4160">
        <v>62</v>
      </c>
      <c r="R4160" t="s">
        <v>21</v>
      </c>
      <c r="S4160" t="s">
        <v>21</v>
      </c>
    </row>
    <row r="4161" spans="1:19" hidden="1" x14ac:dyDescent="0.25">
      <c r="A4161">
        <v>21800019</v>
      </c>
      <c r="B4161" t="s">
        <v>18</v>
      </c>
      <c r="C4161" t="s">
        <v>38</v>
      </c>
      <c r="D4161">
        <v>57</v>
      </c>
      <c r="E4161">
        <v>60</v>
      </c>
      <c r="F4161">
        <v>3</v>
      </c>
      <c r="G4161">
        <v>3</v>
      </c>
      <c r="H4161" s="1">
        <v>6.9791666666666665E-3</v>
      </c>
      <c r="I4161">
        <v>2018</v>
      </c>
      <c r="J4161" t="s">
        <v>48</v>
      </c>
      <c r="K4161" s="2" t="str">
        <f>HYPERLINK("https://www.nba.com/stats/events?CFID=&amp;CFPARAMS=&amp;GameEventID=352&amp;GameID=0021800019&amp;Season=2018-19&amp;flag=1&amp;title=Leonard%208'%20Turnaround%20Fadeaway%20(15%20PTS)", "Leonard 8' Turnaround Fadeaway (15 PTS)")</f>
        <v>Leonard 8' Turnaround Fadeaway (15 PTS)</v>
      </c>
      <c r="L4161" s="2" t="str">
        <f>HYPERLINK("https://www.nba.com/game/...-vs-...-0021800019/play-by-play?watchFullGame=true", "TOR vs BOS - Q3 10:03.00")</f>
        <v>TOR vs BOS - Q3 10:03.00</v>
      </c>
      <c r="M4161">
        <v>8</v>
      </c>
      <c r="N4161">
        <v>-20</v>
      </c>
      <c r="O4161">
        <v>81</v>
      </c>
      <c r="P4161">
        <v>-20</v>
      </c>
      <c r="Q4161">
        <v>81</v>
      </c>
      <c r="R4161" t="s">
        <v>21</v>
      </c>
      <c r="S4161" t="s">
        <v>21</v>
      </c>
    </row>
    <row r="4162" spans="1:19" hidden="1" x14ac:dyDescent="0.25">
      <c r="A4162">
        <v>41200405</v>
      </c>
      <c r="B4162" t="s">
        <v>18</v>
      </c>
      <c r="C4162" t="s">
        <v>59</v>
      </c>
      <c r="D4162">
        <v>36</v>
      </c>
      <c r="E4162">
        <v>22</v>
      </c>
      <c r="F4162">
        <v>14</v>
      </c>
      <c r="G4162">
        <v>2</v>
      </c>
      <c r="H4162" s="1">
        <v>7.0717592592592594E-3</v>
      </c>
      <c r="I4162" t="s">
        <v>53</v>
      </c>
      <c r="J4162" t="s">
        <v>20</v>
      </c>
      <c r="K4162" s="2" t="str">
        <f>HYPERLINK("https://www.nba.com/stats/events?CFID=&amp;CFPARAMS=&amp;GameEventID=143&amp;GameID=0041200405&amp;Season=2012-13&amp;flag=1&amp;title=Leonard%208'%20Floating%20Jump%20Shot%20(9%20PTS)", "Leonard 8' Floating Jump Shot (9 PTS)")</f>
        <v>Leonard 8' Floating Jump Shot (9 PTS)</v>
      </c>
      <c r="L4162" s="2" t="str">
        <f>HYPERLINK("https://www.nba.com/game/...-vs-...-0041200405/play-by-play?watchFullGame=true", "SAS vs MIA - Q2 10:11.00")</f>
        <v>SAS vs MIA - Q2 10:11.00</v>
      </c>
      <c r="M4162">
        <v>8</v>
      </c>
      <c r="N4162">
        <v>-8</v>
      </c>
      <c r="O4162">
        <v>77</v>
      </c>
      <c r="P4162">
        <v>-8</v>
      </c>
      <c r="Q4162">
        <v>77</v>
      </c>
      <c r="R4162" t="s">
        <v>21</v>
      </c>
      <c r="S4162" t="s">
        <v>21</v>
      </c>
    </row>
    <row r="4163" spans="1:19" hidden="1" x14ac:dyDescent="0.25">
      <c r="A4163">
        <v>21800983</v>
      </c>
      <c r="B4163" t="s">
        <v>18</v>
      </c>
      <c r="C4163" t="s">
        <v>67</v>
      </c>
      <c r="D4163">
        <v>5</v>
      </c>
      <c r="E4163">
        <v>4</v>
      </c>
      <c r="F4163">
        <v>1</v>
      </c>
      <c r="G4163">
        <v>1</v>
      </c>
      <c r="H4163" s="1">
        <v>7.1412037037037034E-3</v>
      </c>
      <c r="I4163">
        <v>2018</v>
      </c>
      <c r="J4163" t="s">
        <v>48</v>
      </c>
      <c r="K4163" s="2" t="str">
        <f>HYPERLINK("https://www.nba.com/stats/events?CFID=&amp;CFPARAMS=&amp;GameEventID=21&amp;GameID=0021800983&amp;Season=2018-19&amp;flag=1&amp;title=Leonard%208'%20Turnaround%20Hook%20Shot%20(2%20PTS)", "Leonard 8' Turnaround Hook Shot (2 PTS)")</f>
        <v>Leonard 8' Turnaround Hook Shot (2 PTS)</v>
      </c>
      <c r="L4163" s="2" t="str">
        <f>HYPERLINK("https://www.nba.com/game/...-vs-...-0021800983/play-by-play?watchFullGame=true", "TOR vs NOP - Q1 10:17.00")</f>
        <v>TOR vs NOP - Q1 10:17.00</v>
      </c>
      <c r="M4163">
        <v>8</v>
      </c>
      <c r="N4163">
        <v>16</v>
      </c>
      <c r="O4163">
        <v>77</v>
      </c>
      <c r="P4163">
        <v>16</v>
      </c>
      <c r="Q4163">
        <v>77</v>
      </c>
      <c r="R4163" t="s">
        <v>21</v>
      </c>
      <c r="S4163" t="s">
        <v>21</v>
      </c>
    </row>
    <row r="4164" spans="1:19" hidden="1" x14ac:dyDescent="0.25">
      <c r="A4164">
        <v>21601118</v>
      </c>
      <c r="B4164" t="s">
        <v>18</v>
      </c>
      <c r="C4164" t="s">
        <v>34</v>
      </c>
      <c r="D4164">
        <v>4</v>
      </c>
      <c r="E4164">
        <v>0</v>
      </c>
      <c r="F4164">
        <v>4</v>
      </c>
      <c r="G4164">
        <v>1</v>
      </c>
      <c r="H4164" s="1">
        <v>7.2916666666666668E-3</v>
      </c>
      <c r="I4164">
        <v>2016</v>
      </c>
      <c r="J4164" t="s">
        <v>20</v>
      </c>
      <c r="K4164" s="2" t="str">
        <f>HYPERLINK("https://www.nba.com/stats/events?CFID=&amp;CFPARAMS=&amp;GameEventID=16&amp;GameID=0021601118&amp;Season=2016-17&amp;flag=1&amp;title=Leonard%208'%20Turnaround%20Jump%20Shot%20(2%20PTS)", "Leonard 8' Turnaround Jump Shot (2 PTS)")</f>
        <v>Leonard 8' Turnaround Jump Shot (2 PTS)</v>
      </c>
      <c r="L4164" s="2" t="str">
        <f>HYPERLINK("https://www.nba.com/game/...-vs-...-0021601118/play-by-play?watchFullGame=true", "SAS vs GSW - Q1 10:30.00")</f>
        <v>SAS vs GSW - Q1 10:30.00</v>
      </c>
      <c r="M4164">
        <v>8</v>
      </c>
      <c r="N4164">
        <v>12</v>
      </c>
      <c r="O4164">
        <v>75</v>
      </c>
      <c r="P4164">
        <v>12</v>
      </c>
      <c r="Q4164">
        <v>75</v>
      </c>
      <c r="R4164" t="s">
        <v>21</v>
      </c>
      <c r="S4164" t="s">
        <v>21</v>
      </c>
    </row>
    <row r="4165" spans="1:19" hidden="1" x14ac:dyDescent="0.25">
      <c r="A4165">
        <v>21300245</v>
      </c>
      <c r="B4165" t="s">
        <v>18</v>
      </c>
      <c r="C4165" t="s">
        <v>19</v>
      </c>
      <c r="D4165">
        <v>50</v>
      </c>
      <c r="E4165">
        <v>60</v>
      </c>
      <c r="F4165">
        <v>10</v>
      </c>
      <c r="G4165">
        <v>3</v>
      </c>
      <c r="H4165" s="1">
        <v>7.3032407407407404E-3</v>
      </c>
      <c r="I4165">
        <v>2013</v>
      </c>
      <c r="J4165" t="s">
        <v>20</v>
      </c>
      <c r="K4165" s="2" t="str">
        <f>HYPERLINK("https://www.nba.com/stats/events?CFID=&amp;CFPARAMS=&amp;GameEventID=261&amp;GameID=0021300245&amp;Season=2013-14&amp;flag=1&amp;title=Leonard%208'%20Jump%20Shot%20(6%20PTS)", "Leonard 8' Jump Shot (6 PTS)")</f>
        <v>Leonard 8' Jump Shot (6 PTS)</v>
      </c>
      <c r="L4165" s="2" t="str">
        <f>HYPERLINK("https://www.nba.com/game/...-vs-...-0021300245/play-by-play?watchFullGame=true", "SAS vs HOU - Q3 10:31.00")</f>
        <v>SAS vs HOU - Q3 10:31.00</v>
      </c>
      <c r="M4165">
        <v>8</v>
      </c>
      <c r="N4165">
        <v>51</v>
      </c>
      <c r="O4165">
        <v>63</v>
      </c>
      <c r="P4165">
        <v>51</v>
      </c>
      <c r="Q4165">
        <v>63</v>
      </c>
      <c r="R4165" t="s">
        <v>21</v>
      </c>
      <c r="S4165" t="s">
        <v>21</v>
      </c>
    </row>
    <row r="4166" spans="1:19" hidden="1" x14ac:dyDescent="0.25">
      <c r="A4166">
        <v>21501201</v>
      </c>
      <c r="B4166" t="s">
        <v>18</v>
      </c>
      <c r="C4166" t="s">
        <v>36</v>
      </c>
      <c r="D4166">
        <v>4</v>
      </c>
      <c r="E4166">
        <v>0</v>
      </c>
      <c r="F4166">
        <v>4</v>
      </c>
      <c r="G4166">
        <v>1</v>
      </c>
      <c r="H4166" s="1">
        <v>7.4305555555555557E-3</v>
      </c>
      <c r="I4166">
        <v>2015</v>
      </c>
      <c r="J4166" t="s">
        <v>20</v>
      </c>
      <c r="K4166" s="2" t="str">
        <f>HYPERLINK("https://www.nba.com/stats/events?CFID=&amp;CFPARAMS=&amp;GameEventID=9&amp;GameID=0021501201&amp;Season=2015-16&amp;flag=1&amp;title=Leonard%208'%20Pullup%20Jump%20Shot%20(4%20PTS)", "Leonard 8' Pullup Jump Shot (4 PTS)")</f>
        <v>Leonard 8' Pullup Jump Shot (4 PTS)</v>
      </c>
      <c r="L4166" s="2" t="str">
        <f>HYPERLINK("https://www.nba.com/game/...-vs-...-0021501201/play-by-play?watchFullGame=true", "SAS vs GSW - Q1 10:42.00")</f>
        <v>SAS vs GSW - Q1 10:42.00</v>
      </c>
      <c r="M4166">
        <v>8</v>
      </c>
      <c r="N4166">
        <v>-12</v>
      </c>
      <c r="O4166">
        <v>77</v>
      </c>
      <c r="P4166">
        <v>-12</v>
      </c>
      <c r="Q4166">
        <v>77</v>
      </c>
      <c r="R4166" t="s">
        <v>21</v>
      </c>
      <c r="S4166" t="s">
        <v>21</v>
      </c>
    </row>
    <row r="4167" spans="1:19" hidden="1" x14ac:dyDescent="0.25">
      <c r="A4167">
        <v>21300978</v>
      </c>
      <c r="B4167" t="s">
        <v>18</v>
      </c>
      <c r="C4167" t="s">
        <v>19</v>
      </c>
      <c r="D4167">
        <v>63</v>
      </c>
      <c r="E4167">
        <v>34</v>
      </c>
      <c r="F4167">
        <v>29</v>
      </c>
      <c r="G4167">
        <v>3</v>
      </c>
      <c r="H4167" s="1">
        <v>7.4768518518518517E-3</v>
      </c>
      <c r="I4167">
        <v>2013</v>
      </c>
      <c r="J4167" t="s">
        <v>20</v>
      </c>
      <c r="K4167" s="2" t="str">
        <f>HYPERLINK("https://www.nba.com/stats/events?CFID=&amp;CFPARAMS=&amp;GameEventID=290&amp;GameID=0021300978&amp;Season=2013-14&amp;flag=1&amp;title=Leonard%208'%20Jump%20Shot%20(8%20PTS)", "Leonard 8' Jump Shot (8 PTS)")</f>
        <v>Leonard 8' Jump Shot (8 PTS)</v>
      </c>
      <c r="L4167" s="2" t="str">
        <f>HYPERLINK("https://www.nba.com/game/...-vs-...-0021300978/play-by-play?watchFullGame=true", "SAS vs LAL - Q3 10:46.00")</f>
        <v>SAS vs LAL - Q3 10:46.00</v>
      </c>
      <c r="M4167">
        <v>8</v>
      </c>
      <c r="N4167">
        <v>40</v>
      </c>
      <c r="O4167">
        <v>74</v>
      </c>
      <c r="P4167">
        <v>40</v>
      </c>
      <c r="Q4167">
        <v>74</v>
      </c>
      <c r="R4167" t="s">
        <v>21</v>
      </c>
      <c r="S4167" t="s">
        <v>21</v>
      </c>
    </row>
    <row r="4168" spans="1:19" hidden="1" x14ac:dyDescent="0.25">
      <c r="A4168">
        <v>21300094</v>
      </c>
      <c r="B4168" t="s">
        <v>18</v>
      </c>
      <c r="C4168" t="s">
        <v>37</v>
      </c>
      <c r="D4168">
        <v>94</v>
      </c>
      <c r="E4168">
        <v>62</v>
      </c>
      <c r="F4168">
        <v>32</v>
      </c>
      <c r="G4168">
        <v>4</v>
      </c>
      <c r="H4168" s="1">
        <v>7.6967592592592591E-3</v>
      </c>
      <c r="I4168">
        <v>2013</v>
      </c>
      <c r="J4168" t="s">
        <v>20</v>
      </c>
      <c r="K4168" s="2" t="str">
        <f>HYPERLINK("https://www.nba.com/stats/events?CFID=&amp;CFPARAMS=&amp;GameEventID=401&amp;GameID=0021300094&amp;Season=2013-14&amp;flag=1&amp;title=Leonard%208'%20Fadeaway%20Jumper%20(18%20PTS)%20(Ginobili%205%20AST)", "Leonard 8' Fadeaway Jumper (18 PTS) (Ginobili 5 AST)")</f>
        <v>Leonard 8' Fadeaway Jumper (18 PTS) (Ginobili 5 AST)</v>
      </c>
      <c r="L4168" s="2" t="str">
        <f>HYPERLINK("https://www.nba.com/game/...-vs-...-0021300094/play-by-play?watchFullGame=true", "SAS vs NYK - Q4 11:05.00")</f>
        <v>SAS vs NYK - Q4 11:05.00</v>
      </c>
      <c r="M4168">
        <v>8</v>
      </c>
      <c r="N4168">
        <v>75</v>
      </c>
      <c r="O4168">
        <v>22</v>
      </c>
      <c r="P4168">
        <v>75</v>
      </c>
      <c r="Q4168">
        <v>22</v>
      </c>
      <c r="R4168" t="s">
        <v>21</v>
      </c>
      <c r="S4168" t="s">
        <v>21</v>
      </c>
    </row>
    <row r="4169" spans="1:19" hidden="1" x14ac:dyDescent="0.25">
      <c r="A4169">
        <v>21600657</v>
      </c>
      <c r="B4169" t="s">
        <v>18</v>
      </c>
      <c r="C4169" t="s">
        <v>59</v>
      </c>
      <c r="D4169">
        <v>86</v>
      </c>
      <c r="E4169">
        <v>89</v>
      </c>
      <c r="F4169">
        <v>3</v>
      </c>
      <c r="G4169">
        <v>4</v>
      </c>
      <c r="H4169" s="1">
        <v>7.766203703703704E-3</v>
      </c>
      <c r="I4169">
        <v>2016</v>
      </c>
      <c r="J4169" t="s">
        <v>20</v>
      </c>
      <c r="K4169" s="2" t="str">
        <f>HYPERLINK("https://www.nba.com/stats/events?CFID=&amp;CFPARAMS=&amp;GameEventID=372&amp;GameID=0021600657&amp;Season=2016-17&amp;flag=1&amp;title=Leonard%208'%20Floating%20Jump%20Shot%20(25%20PTS)%20(Murray%205%20AST)", "Leonard 8' Floating Jump Shot (25 PTS) (Murray 5 AST)")</f>
        <v>Leonard 8' Floating Jump Shot (25 PTS) (Murray 5 AST)</v>
      </c>
      <c r="L4169" s="2" t="str">
        <f>HYPERLINK("https://www.nba.com/game/...-vs-...-0021600657/play-by-play?watchFullGame=true", "SAS vs CLE - Q4 11:11.00")</f>
        <v>SAS vs CLE - Q4 11:11.00</v>
      </c>
      <c r="M4169">
        <v>8</v>
      </c>
      <c r="N4169">
        <v>51</v>
      </c>
      <c r="O4169">
        <v>56</v>
      </c>
      <c r="P4169">
        <v>51</v>
      </c>
      <c r="Q4169">
        <v>56</v>
      </c>
      <c r="R4169" t="s">
        <v>21</v>
      </c>
      <c r="S4169" t="s">
        <v>21</v>
      </c>
    </row>
    <row r="4170" spans="1:19" hidden="1" x14ac:dyDescent="0.25">
      <c r="A4170">
        <v>21300451</v>
      </c>
      <c r="B4170" t="s">
        <v>18</v>
      </c>
      <c r="C4170" t="s">
        <v>19</v>
      </c>
      <c r="D4170">
        <v>59</v>
      </c>
      <c r="E4170">
        <v>51</v>
      </c>
      <c r="F4170">
        <v>8</v>
      </c>
      <c r="G4170">
        <v>3</v>
      </c>
      <c r="H4170" s="1">
        <v>7.789351851851852E-3</v>
      </c>
      <c r="I4170">
        <v>2013</v>
      </c>
      <c r="J4170" t="s">
        <v>20</v>
      </c>
      <c r="K4170" s="2" t="str">
        <f>HYPERLINK("https://www.nba.com/stats/events?CFID=&amp;CFPARAMS=&amp;GameEventID=284&amp;GameID=0021300451&amp;Season=2013-14&amp;flag=1&amp;title=Leonard%208'%20Jump%20Shot%20(2%20PTS)%20(Duncan%202%20AST)", "Leonard 8' Jump Shot (2 PTS) (Duncan 2 AST)")</f>
        <v>Leonard 8' Jump Shot (2 PTS) (Duncan 2 AST)</v>
      </c>
      <c r="L4170" s="2" t="str">
        <f>HYPERLINK("https://www.nba.com/game/...-vs-...-0021300451/play-by-play?watchFullGame=true", "SAS vs SAC - Q3 11:13.00")</f>
        <v>SAS vs SAC - Q3 11:13.00</v>
      </c>
      <c r="M4170">
        <v>8</v>
      </c>
      <c r="N4170">
        <v>0</v>
      </c>
      <c r="O4170">
        <v>78</v>
      </c>
      <c r="P4170">
        <v>0</v>
      </c>
      <c r="Q4170">
        <v>78</v>
      </c>
      <c r="R4170" t="s">
        <v>21</v>
      </c>
      <c r="S4170" t="s">
        <v>21</v>
      </c>
    </row>
    <row r="4171" spans="1:19" hidden="1" x14ac:dyDescent="0.25">
      <c r="A4171">
        <v>41300221</v>
      </c>
      <c r="B4171" t="s">
        <v>18</v>
      </c>
      <c r="C4171" t="s">
        <v>61</v>
      </c>
      <c r="D4171">
        <v>2</v>
      </c>
      <c r="E4171">
        <v>0</v>
      </c>
      <c r="F4171">
        <v>2</v>
      </c>
      <c r="G4171">
        <v>1</v>
      </c>
      <c r="H4171" s="1">
        <v>7.8356481481481489E-3</v>
      </c>
      <c r="I4171" t="s">
        <v>55</v>
      </c>
      <c r="J4171" t="s">
        <v>20</v>
      </c>
      <c r="K4171" s="2" t="str">
        <f>HYPERLINK("https://www.nba.com/stats/events?CFID=&amp;CFPARAMS=&amp;GameEventID=8&amp;GameID=0041300221&amp;Season=2013-14&amp;flag=1&amp;title=Leonard%208'%20Turnaround%20Bank%20Shot%20(2%20PTS)", "Leonard 8' Turnaround Bank Shot (2 PTS)")</f>
        <v>Leonard 8' Turnaround Bank Shot (2 PTS)</v>
      </c>
      <c r="L4171" s="2" t="str">
        <f>HYPERLINK("https://www.nba.com/game/...-vs-...-0041300221/play-by-play?watchFullGame=true", "SAS vs POR - Q1 11:17.00")</f>
        <v>SAS vs POR - Q1 11:17.00</v>
      </c>
      <c r="M4171">
        <v>8</v>
      </c>
      <c r="N4171">
        <v>83</v>
      </c>
      <c r="O4171">
        <v>7</v>
      </c>
      <c r="P4171">
        <v>83</v>
      </c>
      <c r="Q4171">
        <v>7</v>
      </c>
      <c r="R4171" t="s">
        <v>21</v>
      </c>
      <c r="S4171" t="s">
        <v>21</v>
      </c>
    </row>
    <row r="4172" spans="1:19" hidden="1" x14ac:dyDescent="0.25">
      <c r="A4172">
        <v>21400361</v>
      </c>
      <c r="B4172" t="s">
        <v>18</v>
      </c>
      <c r="C4172" t="s">
        <v>36</v>
      </c>
      <c r="D4172">
        <v>45</v>
      </c>
      <c r="E4172">
        <v>50</v>
      </c>
      <c r="F4172">
        <v>5</v>
      </c>
      <c r="G4172">
        <v>3</v>
      </c>
      <c r="H4172" s="1">
        <v>7.8819444444444449E-3</v>
      </c>
      <c r="I4172">
        <v>2014</v>
      </c>
      <c r="J4172" t="s">
        <v>20</v>
      </c>
      <c r="K4172" s="2" t="str">
        <f>HYPERLINK("https://www.nba.com/stats/events?CFID=&amp;CFPARAMS=&amp;GameEventID=255&amp;GameID=0021400361&amp;Season=2014-15&amp;flag=1&amp;title=Leonard%208'%20Pullup%20Jump%20Shot%20(11%20PTS)%20(Diaw%207%20AST)", "Leonard 8' Pullup Jump Shot (11 PTS) (Diaw 7 AST)")</f>
        <v>Leonard 8' Pullup Jump Shot (11 PTS) (Diaw 7 AST)</v>
      </c>
      <c r="L4172" s="2" t="str">
        <f>HYPERLINK("https://www.nba.com/game/...-vs-...-0021400361/play-by-play?watchFullGame=true", "SAS vs POR - Q3 11:21.00")</f>
        <v>SAS vs POR - Q3 11:21.00</v>
      </c>
      <c r="M4172">
        <v>8</v>
      </c>
      <c r="N4172">
        <v>-78</v>
      </c>
      <c r="O4172">
        <v>0</v>
      </c>
      <c r="P4172">
        <v>-78</v>
      </c>
      <c r="Q4172">
        <v>0</v>
      </c>
      <c r="R4172" t="s">
        <v>21</v>
      </c>
      <c r="S4172" t="s">
        <v>21</v>
      </c>
    </row>
    <row r="4173" spans="1:19" hidden="1" x14ac:dyDescent="0.25">
      <c r="A4173">
        <v>41400167</v>
      </c>
      <c r="B4173" t="s">
        <v>18</v>
      </c>
      <c r="C4173" t="s">
        <v>59</v>
      </c>
      <c r="D4173">
        <v>2</v>
      </c>
      <c r="E4173">
        <v>0</v>
      </c>
      <c r="F4173">
        <v>2</v>
      </c>
      <c r="G4173">
        <v>1</v>
      </c>
      <c r="H4173" s="1">
        <v>8.067129629629629E-3</v>
      </c>
      <c r="I4173" t="s">
        <v>56</v>
      </c>
      <c r="J4173" t="s">
        <v>20</v>
      </c>
      <c r="K4173" s="2" t="str">
        <f>HYPERLINK("https://www.nba.com/stats/events?CFID=&amp;CFPARAMS=&amp;GameEventID=2&amp;GameID=0041400167&amp;Season=2014-15&amp;flag=1&amp;title=Leonard%208'%20Floating%20Jump%20Shot%20(2%20PTS)%20(Parker%201%20AST)", "Leonard 8' Floating Jump Shot (2 PTS) (Parker 1 AST)")</f>
        <v>Leonard 8' Floating Jump Shot (2 PTS) (Parker 1 AST)</v>
      </c>
      <c r="L4173" s="2" t="str">
        <f>HYPERLINK("https://www.nba.com/game/...-vs-...-0041400167/play-by-play?watchFullGame=true", "SAS vs LAC - Q1 11:37.00")</f>
        <v>SAS vs LAC - Q1 11:37.00</v>
      </c>
      <c r="M4173">
        <v>8</v>
      </c>
      <c r="N4173">
        <v>62</v>
      </c>
      <c r="O4173">
        <v>53</v>
      </c>
      <c r="P4173">
        <v>62</v>
      </c>
      <c r="Q4173">
        <v>53</v>
      </c>
      <c r="R4173" t="s">
        <v>21</v>
      </c>
      <c r="S4173" t="s">
        <v>21</v>
      </c>
    </row>
    <row r="4174" spans="1:19" hidden="1" x14ac:dyDescent="0.25">
      <c r="A4174">
        <v>21500742</v>
      </c>
      <c r="B4174" t="s">
        <v>18</v>
      </c>
      <c r="C4174" t="s">
        <v>59</v>
      </c>
      <c r="D4174">
        <v>108</v>
      </c>
      <c r="E4174">
        <v>97</v>
      </c>
      <c r="F4174">
        <v>11</v>
      </c>
      <c r="G4174">
        <v>4</v>
      </c>
      <c r="H4174" s="1">
        <v>4.0856481481481478E-4</v>
      </c>
      <c r="I4174">
        <v>2015</v>
      </c>
      <c r="J4174" t="s">
        <v>20</v>
      </c>
      <c r="K4174" s="2" t="str">
        <f>HYPERLINK("https://www.nba.com/stats/events?CFID=&amp;CFPARAMS=&amp;GameEventID=481&amp;GameID=0021500742&amp;Season=2015-16&amp;flag=1&amp;title=Leonard%207'%20Floating%20Jump%20Shot%20(26%20PTS)%20(Parker%208%20AST)", "Leonard 7' Floating Jump Shot (26 PTS) (Parker 8 AST)")</f>
        <v>Leonard 7' Floating Jump Shot (26 PTS) (Parker 8 AST)</v>
      </c>
      <c r="L4174" s="2" t="str">
        <f>HYPERLINK("https://www.nba.com/game/...-vs-...-0021500742/play-by-play?watchFullGame=true", "SAS vs NOP - Q4 00:35.30")</f>
        <v>SAS vs NOP - Q4 00:35.30</v>
      </c>
      <c r="M4174">
        <v>7</v>
      </c>
      <c r="N4174">
        <v>46</v>
      </c>
      <c r="O4174">
        <v>46</v>
      </c>
      <c r="P4174">
        <v>46</v>
      </c>
      <c r="Q4174">
        <v>46</v>
      </c>
      <c r="R4174" t="s">
        <v>21</v>
      </c>
      <c r="S4174" t="s">
        <v>21</v>
      </c>
    </row>
    <row r="4175" spans="1:19" hidden="1" x14ac:dyDescent="0.25">
      <c r="A4175">
        <v>41200235</v>
      </c>
      <c r="B4175" t="s">
        <v>18</v>
      </c>
      <c r="C4175" t="s">
        <v>54</v>
      </c>
      <c r="D4175">
        <v>54</v>
      </c>
      <c r="E4175">
        <v>51</v>
      </c>
      <c r="F4175">
        <v>3</v>
      </c>
      <c r="G4175">
        <v>2</v>
      </c>
      <c r="H4175" s="1">
        <v>8.7962962962962962E-4</v>
      </c>
      <c r="I4175" t="s">
        <v>53</v>
      </c>
      <c r="J4175" t="s">
        <v>20</v>
      </c>
      <c r="K4175" s="2" t="str">
        <f>HYPERLINK("https://www.nba.com/stats/events?CFID=&amp;CFPARAMS=&amp;GameEventID=232&amp;GameID=0041200235&amp;Season=2012-13&amp;flag=1&amp;title=Leonard%207'%20Driving%20Jump%20Shot%20(9%20PTS)%20(Ginobili%204%20AST)", "Leonard 7' Driving Jump Shot (9 PTS) (Ginobili 4 AST)")</f>
        <v>Leonard 7' Driving Jump Shot (9 PTS) (Ginobili 4 AST)</v>
      </c>
      <c r="L4175" s="2" t="str">
        <f>HYPERLINK("https://www.nba.com/game/...-vs-...-0041200235/play-by-play?watchFullGame=true", "SAS vs GSW - Q2 01:16.00")</f>
        <v>SAS vs GSW - Q2 01:16.00</v>
      </c>
      <c r="M4175">
        <v>7</v>
      </c>
      <c r="N4175">
        <v>-73</v>
      </c>
      <c r="O4175">
        <v>14</v>
      </c>
      <c r="P4175">
        <v>-73</v>
      </c>
      <c r="Q4175">
        <v>14</v>
      </c>
      <c r="R4175" t="s">
        <v>21</v>
      </c>
      <c r="S4175" t="s">
        <v>21</v>
      </c>
    </row>
    <row r="4176" spans="1:19" hidden="1" x14ac:dyDescent="0.25">
      <c r="A4176">
        <v>21800359</v>
      </c>
      <c r="B4176" t="s">
        <v>18</v>
      </c>
      <c r="C4176" t="s">
        <v>77</v>
      </c>
      <c r="D4176">
        <v>50</v>
      </c>
      <c r="E4176">
        <v>46</v>
      </c>
      <c r="F4176">
        <v>4</v>
      </c>
      <c r="G4176">
        <v>2</v>
      </c>
      <c r="H4176" s="1">
        <v>1.1574074074074073E-3</v>
      </c>
      <c r="I4176">
        <v>2018</v>
      </c>
      <c r="J4176" t="s">
        <v>48</v>
      </c>
      <c r="K4176" s="2" t="str">
        <f>HYPERLINK("https://www.nba.com/stats/events?CFID=&amp;CFPARAMS=&amp;GameEventID=341&amp;GameID=0021800359&amp;Season=2018-19&amp;flag=1&amp;title=Leonard%207'%20Turnaround%20Fadeaway%20Bank%20Jump%20Shot%20(18%20PTS)", "Leonard 7' Turnaround Fadeaway Bank Jump Shot (18 PTS)")</f>
        <v>Leonard 7' Turnaround Fadeaway Bank Jump Shot (18 PTS)</v>
      </c>
      <c r="L4176" s="2" t="str">
        <f>HYPERLINK("https://www.nba.com/game/...-vs-...-0021800359/play-by-play?watchFullGame=true", "TOR vs PHI - Q2 01:40.00")</f>
        <v>TOR vs PHI - Q2 01:40.00</v>
      </c>
      <c r="M4176">
        <v>7</v>
      </c>
      <c r="N4176">
        <v>-40</v>
      </c>
      <c r="O4176">
        <v>52</v>
      </c>
      <c r="P4176">
        <v>-40</v>
      </c>
      <c r="Q4176">
        <v>52</v>
      </c>
      <c r="R4176" t="s">
        <v>21</v>
      </c>
      <c r="S4176" t="s">
        <v>21</v>
      </c>
    </row>
    <row r="4177" spans="1:19" hidden="1" x14ac:dyDescent="0.25">
      <c r="A4177">
        <v>21401110</v>
      </c>
      <c r="B4177" t="s">
        <v>18</v>
      </c>
      <c r="C4177" t="s">
        <v>62</v>
      </c>
      <c r="D4177">
        <v>91</v>
      </c>
      <c r="E4177">
        <v>75</v>
      </c>
      <c r="F4177">
        <v>16</v>
      </c>
      <c r="G4177">
        <v>4</v>
      </c>
      <c r="H4177" s="1">
        <v>1.25E-3</v>
      </c>
      <c r="I4177">
        <v>2014</v>
      </c>
      <c r="J4177" t="s">
        <v>20</v>
      </c>
      <c r="K4177" s="2" t="str">
        <f>HYPERLINK("https://www.nba.com/stats/events?CFID=&amp;CFPARAMS=&amp;GameEventID=489&amp;GameID=0021401110&amp;Season=2014-15&amp;flag=1&amp;title=Leonard%207'%20Jump%20Hook%20Shot%20(22%20PTS)", "Leonard 7' Jump Hook Shot (22 PTS)")</f>
        <v>Leonard 7' Jump Hook Shot (22 PTS)</v>
      </c>
      <c r="L4177" s="2" t="str">
        <f>HYPERLINK("https://www.nba.com/game/...-vs-...-0021401110/play-by-play?watchFullGame=true", "SAS vs MIA - Q4 01:48.00")</f>
        <v>SAS vs MIA - Q4 01:48.00</v>
      </c>
      <c r="M4177">
        <v>7</v>
      </c>
      <c r="N4177">
        <v>70</v>
      </c>
      <c r="O4177">
        <v>17</v>
      </c>
      <c r="P4177">
        <v>70</v>
      </c>
      <c r="Q4177">
        <v>17</v>
      </c>
      <c r="R4177" t="s">
        <v>21</v>
      </c>
      <c r="S4177" t="s">
        <v>21</v>
      </c>
    </row>
    <row r="4178" spans="1:19" hidden="1" x14ac:dyDescent="0.25">
      <c r="A4178">
        <v>41400161</v>
      </c>
      <c r="B4178" t="s">
        <v>18</v>
      </c>
      <c r="C4178" t="s">
        <v>62</v>
      </c>
      <c r="D4178">
        <v>59</v>
      </c>
      <c r="E4178">
        <v>71</v>
      </c>
      <c r="F4178">
        <v>12</v>
      </c>
      <c r="G4178">
        <v>3</v>
      </c>
      <c r="H4178" s="1">
        <v>1.5393518518518519E-3</v>
      </c>
      <c r="I4178" t="s">
        <v>56</v>
      </c>
      <c r="J4178" t="s">
        <v>20</v>
      </c>
      <c r="K4178" s="2" t="str">
        <f>HYPERLINK("https://www.nba.com/stats/events?CFID=&amp;CFPARAMS=&amp;GameEventID=433&amp;GameID=0041400161&amp;Season=2014-15&amp;flag=1&amp;title=Leonard%207'%20Jump%20Hook%20Shot%20(11%20PTS)%20(Ginobili%204%20AST)", "Leonard 7' Jump Hook Shot (11 PTS) (Ginobili 4 AST)")</f>
        <v>Leonard 7' Jump Hook Shot (11 PTS) (Ginobili 4 AST)</v>
      </c>
      <c r="L4178" s="2" t="str">
        <f>HYPERLINK("https://www.nba.com/game/...-vs-...-0041400161/play-by-play?watchFullGame=true", "SAS vs LAC - Q3 02:13.00")</f>
        <v>SAS vs LAC - Q3 02:13.00</v>
      </c>
      <c r="M4178">
        <v>7</v>
      </c>
      <c r="N4178">
        <v>-68</v>
      </c>
      <c r="O4178">
        <v>0</v>
      </c>
      <c r="P4178">
        <v>-68</v>
      </c>
      <c r="Q4178">
        <v>0</v>
      </c>
      <c r="R4178" t="s">
        <v>21</v>
      </c>
      <c r="S4178" t="s">
        <v>21</v>
      </c>
    </row>
    <row r="4179" spans="1:19" hidden="1" x14ac:dyDescent="0.25">
      <c r="A4179">
        <v>21400241</v>
      </c>
      <c r="B4179" t="s">
        <v>18</v>
      </c>
      <c r="C4179" t="s">
        <v>30</v>
      </c>
      <c r="D4179">
        <v>73</v>
      </c>
      <c r="E4179">
        <v>69</v>
      </c>
      <c r="F4179">
        <v>4</v>
      </c>
      <c r="G4179">
        <v>3</v>
      </c>
      <c r="H4179" s="1">
        <v>1.6319444444444445E-3</v>
      </c>
      <c r="I4179">
        <v>2014</v>
      </c>
      <c r="J4179" t="s">
        <v>20</v>
      </c>
      <c r="K4179" s="2" t="str">
        <f>HYPERLINK("https://www.nba.com/stats/events?CFID=&amp;CFPARAMS=&amp;GameEventID=327&amp;GameID=0021400241&amp;Season=2014-15&amp;flag=1&amp;title=Leonard%207'%20Running%20Jump%20Shot%20(12%20PTS)", "Leonard 7' Running Jump Shot (12 PTS)")</f>
        <v>Leonard 7' Running Jump Shot (12 PTS)</v>
      </c>
      <c r="L4179" s="2" t="str">
        <f>HYPERLINK("https://www.nba.com/game/...-vs-...-0021400241/play-by-play?watchFullGame=true", "SAS vs BOS - Q3 02:21.00")</f>
        <v>SAS vs BOS - Q3 02:21.00</v>
      </c>
      <c r="M4179">
        <v>7</v>
      </c>
      <c r="N4179">
        <v>54</v>
      </c>
      <c r="O4179">
        <v>37</v>
      </c>
      <c r="P4179">
        <v>54</v>
      </c>
      <c r="Q4179">
        <v>37</v>
      </c>
      <c r="R4179" t="s">
        <v>21</v>
      </c>
      <c r="S4179" t="s">
        <v>21</v>
      </c>
    </row>
    <row r="4180" spans="1:19" hidden="1" x14ac:dyDescent="0.25">
      <c r="A4180">
        <v>21400931</v>
      </c>
      <c r="B4180" t="s">
        <v>18</v>
      </c>
      <c r="C4180" t="s">
        <v>19</v>
      </c>
      <c r="D4180">
        <v>50</v>
      </c>
      <c r="E4180">
        <v>36</v>
      </c>
      <c r="F4180">
        <v>14</v>
      </c>
      <c r="G4180">
        <v>2</v>
      </c>
      <c r="H4180" s="1">
        <v>1.7013888888888888E-3</v>
      </c>
      <c r="I4180">
        <v>2014</v>
      </c>
      <c r="J4180" t="s">
        <v>20</v>
      </c>
      <c r="K4180" s="2" t="str">
        <f>HYPERLINK("https://www.nba.com/stats/events?CFID=&amp;CFPARAMS=&amp;GameEventID=225&amp;GameID=0021400931&amp;Season=2014-15&amp;flag=1&amp;title=Leonard%207'%20Jump%20Shot%20(8%20PTS)", "Leonard 7' Jump Shot (8 PTS)")</f>
        <v>Leonard 7' Jump Shot (8 PTS)</v>
      </c>
      <c r="L4180" s="2" t="str">
        <f>HYPERLINK("https://www.nba.com/game/...-vs-...-0021400931/play-by-play?watchFullGame=true", "SAS vs CHI - Q2 02:27.00")</f>
        <v>SAS vs CHI - Q2 02:27.00</v>
      </c>
      <c r="M4180">
        <v>7</v>
      </c>
      <c r="N4180">
        <v>26</v>
      </c>
      <c r="O4180">
        <v>60</v>
      </c>
      <c r="P4180">
        <v>26</v>
      </c>
      <c r="Q4180">
        <v>60</v>
      </c>
      <c r="R4180" t="s">
        <v>21</v>
      </c>
      <c r="S4180" t="s">
        <v>21</v>
      </c>
    </row>
    <row r="4181" spans="1:19" hidden="1" x14ac:dyDescent="0.25">
      <c r="A4181">
        <v>21600925</v>
      </c>
      <c r="B4181" t="s">
        <v>18</v>
      </c>
      <c r="C4181" t="s">
        <v>34</v>
      </c>
      <c r="D4181">
        <v>92</v>
      </c>
      <c r="E4181">
        <v>90</v>
      </c>
      <c r="F4181">
        <v>2</v>
      </c>
      <c r="G4181">
        <v>5</v>
      </c>
      <c r="H4181" s="1">
        <v>1.8171296296296297E-3</v>
      </c>
      <c r="I4181">
        <v>2016</v>
      </c>
      <c r="J4181" t="s">
        <v>20</v>
      </c>
      <c r="K4181" s="2" t="str">
        <f>HYPERLINK("https://www.nba.com/stats/events?CFID=&amp;CFPARAMS=&amp;GameEventID=539&amp;GameID=0021600925&amp;Season=2016-17&amp;flag=1&amp;title=Leonard%207'%20Turnaround%20Jump%20Shot%20(32%20PTS)%20(Gasol%203%20AST)", "Leonard 7' Turnaround Jump Shot (32 PTS) (Gasol 3 AST)")</f>
        <v>Leonard 7' Turnaround Jump Shot (32 PTS) (Gasol 3 AST)</v>
      </c>
      <c r="L4181" s="2" t="str">
        <f>HYPERLINK("https://www.nba.com/game/...-vs-...-0021600925/play-by-play?watchFullGame=true", "SAS vs MIN - Q5 02:37.00")</f>
        <v>SAS vs MIN - Q5 02:37.00</v>
      </c>
      <c r="M4181">
        <v>7</v>
      </c>
      <c r="N4181">
        <v>-50</v>
      </c>
      <c r="O4181">
        <v>52</v>
      </c>
      <c r="P4181">
        <v>-50</v>
      </c>
      <c r="Q4181">
        <v>52</v>
      </c>
      <c r="R4181" t="s">
        <v>21</v>
      </c>
      <c r="S4181" t="s">
        <v>21</v>
      </c>
    </row>
    <row r="4182" spans="1:19" hidden="1" x14ac:dyDescent="0.25">
      <c r="A4182">
        <v>41800211</v>
      </c>
      <c r="B4182" t="s">
        <v>18</v>
      </c>
      <c r="C4182" t="s">
        <v>30</v>
      </c>
      <c r="D4182">
        <v>57</v>
      </c>
      <c r="E4182">
        <v>46</v>
      </c>
      <c r="F4182">
        <v>11</v>
      </c>
      <c r="G4182">
        <v>2</v>
      </c>
      <c r="H4182" s="1">
        <v>1.9097222222222222E-3</v>
      </c>
      <c r="I4182" t="s">
        <v>60</v>
      </c>
      <c r="J4182" t="s">
        <v>48</v>
      </c>
      <c r="K4182" s="2" t="str">
        <f>HYPERLINK("https://www.nba.com/stats/events?CFID=&amp;CFPARAMS=&amp;GameEventID=293&amp;GameID=0041800211&amp;Season=2018-19&amp;flag=1&amp;title=Leonard%207'%20Running%20Jump%20Shot%20(27%20PTS)", "Leonard 7' Running Jump Shot (27 PTS)")</f>
        <v>Leonard 7' Running Jump Shot (27 PTS)</v>
      </c>
      <c r="L4182" s="2" t="str">
        <f>HYPERLINK("https://www.nba.com/game/...-vs-...-0041800211/play-by-play?watchFullGame=true", "TOR vs PHI - Q2 02:45.00")</f>
        <v>TOR vs PHI - Q2 02:45.00</v>
      </c>
      <c r="M4182">
        <v>7</v>
      </c>
      <c r="N4182">
        <v>-10</v>
      </c>
      <c r="O4182">
        <v>68</v>
      </c>
      <c r="P4182">
        <v>-10</v>
      </c>
      <c r="Q4182">
        <v>68</v>
      </c>
      <c r="R4182" t="s">
        <v>21</v>
      </c>
      <c r="S4182" t="s">
        <v>21</v>
      </c>
    </row>
    <row r="4183" spans="1:19" hidden="1" x14ac:dyDescent="0.25">
      <c r="A4183">
        <v>21500546</v>
      </c>
      <c r="B4183" t="s">
        <v>18</v>
      </c>
      <c r="C4183" t="s">
        <v>19</v>
      </c>
      <c r="D4183">
        <v>46</v>
      </c>
      <c r="E4183">
        <v>43</v>
      </c>
      <c r="F4183">
        <v>3</v>
      </c>
      <c r="G4183">
        <v>2</v>
      </c>
      <c r="H4183" s="1">
        <v>1.9212962962962964E-3</v>
      </c>
      <c r="I4183">
        <v>2015</v>
      </c>
      <c r="J4183" t="s">
        <v>20</v>
      </c>
      <c r="K4183" s="2" t="str">
        <f>HYPERLINK("https://www.nba.com/stats/events?CFID=&amp;CFPARAMS=&amp;GameEventID=245&amp;GameID=0021500546&amp;Season=2015-16&amp;flag=1&amp;title=Leonard%207'%20Jump%20Shot%20(13%20PTS)", "Leonard 7' Jump Shot (13 PTS)")</f>
        <v>Leonard 7' Jump Shot (13 PTS)</v>
      </c>
      <c r="L4183" s="2" t="str">
        <f>HYPERLINK("https://www.nba.com/game/...-vs-...-0021500546/play-by-play?watchFullGame=true", "SAS vs NYK - Q2 02:46.00")</f>
        <v>SAS vs NYK - Q2 02:46.00</v>
      </c>
      <c r="M4183">
        <v>7</v>
      </c>
      <c r="N4183">
        <v>-68</v>
      </c>
      <c r="O4183">
        <v>7</v>
      </c>
      <c r="P4183">
        <v>-68</v>
      </c>
      <c r="Q4183">
        <v>7</v>
      </c>
      <c r="R4183" t="s">
        <v>21</v>
      </c>
      <c r="S4183" t="s">
        <v>21</v>
      </c>
    </row>
    <row r="4184" spans="1:19" hidden="1" x14ac:dyDescent="0.25">
      <c r="A4184">
        <v>41200403</v>
      </c>
      <c r="B4184" t="s">
        <v>18</v>
      </c>
      <c r="C4184" t="s">
        <v>19</v>
      </c>
      <c r="D4184">
        <v>73</v>
      </c>
      <c r="E4184">
        <v>52</v>
      </c>
      <c r="F4184">
        <v>21</v>
      </c>
      <c r="G4184">
        <v>3</v>
      </c>
      <c r="H4184" s="1">
        <v>2.0370370370370369E-3</v>
      </c>
      <c r="I4184" t="s">
        <v>53</v>
      </c>
      <c r="J4184" t="s">
        <v>20</v>
      </c>
      <c r="K4184" s="2" t="str">
        <f>HYPERLINK("https://www.nba.com/stats/events?CFID=&amp;CFPARAMS=&amp;GameEventID=340&amp;GameID=0041200403&amp;Season=2012-13&amp;flag=1&amp;title=Leonard%207'%20Jump%20Shot%20(12%20PTS)", "Leonard 7' Jump Shot (12 PTS)")</f>
        <v>Leonard 7' Jump Shot (12 PTS)</v>
      </c>
      <c r="L4184" s="2" t="str">
        <f>HYPERLINK("https://www.nba.com/game/...-vs-...-0041200403/play-by-play?watchFullGame=true", "SAS vs MIA - Q3 02:56.00")</f>
        <v>SAS vs MIA - Q3 02:56.00</v>
      </c>
      <c r="M4184">
        <v>7</v>
      </c>
      <c r="N4184">
        <v>61</v>
      </c>
      <c r="O4184">
        <v>36</v>
      </c>
      <c r="P4184">
        <v>61</v>
      </c>
      <c r="Q4184">
        <v>36</v>
      </c>
      <c r="R4184" t="s">
        <v>21</v>
      </c>
      <c r="S4184" t="s">
        <v>21</v>
      </c>
    </row>
    <row r="4185" spans="1:19" hidden="1" x14ac:dyDescent="0.25">
      <c r="A4185">
        <v>21800724</v>
      </c>
      <c r="B4185" t="s">
        <v>18</v>
      </c>
      <c r="C4185" t="s">
        <v>40</v>
      </c>
      <c r="D4185">
        <v>101</v>
      </c>
      <c r="E4185">
        <v>113</v>
      </c>
      <c r="F4185">
        <v>12</v>
      </c>
      <c r="G4185">
        <v>4</v>
      </c>
      <c r="H4185" s="1">
        <v>2.1296296296296298E-3</v>
      </c>
      <c r="I4185">
        <v>2018</v>
      </c>
      <c r="J4185" t="s">
        <v>48</v>
      </c>
      <c r="K4185" s="2" t="str">
        <f>HYPERLINK("https://www.nba.com/stats/events?CFID=&amp;CFPARAMS=&amp;GameEventID=617&amp;GameID=0021800724&amp;Season=2018-19&amp;flag=1&amp;title=Leonard%207'%20Driving%20Finger%20Roll%20Layup%20(25%20PTS)", "Leonard 7' Driving Finger Roll Layup (25 PTS)")</f>
        <v>Leonard 7' Driving Finger Roll Layup (25 PTS)</v>
      </c>
      <c r="L4185" s="2" t="str">
        <f>HYPERLINK("https://www.nba.com/game/...-vs-...-0021800724/play-by-play?watchFullGame=true", "TOR vs HOU - Q4 03:04.00")</f>
        <v>TOR vs HOU - Q4 03:04.00</v>
      </c>
      <c r="M4185">
        <v>7</v>
      </c>
      <c r="N4185">
        <v>-13</v>
      </c>
      <c r="O4185">
        <v>69</v>
      </c>
      <c r="P4185">
        <v>-13</v>
      </c>
      <c r="Q4185">
        <v>69</v>
      </c>
      <c r="R4185" t="s">
        <v>21</v>
      </c>
      <c r="S4185" t="s">
        <v>21</v>
      </c>
    </row>
    <row r="4186" spans="1:19" hidden="1" x14ac:dyDescent="0.25">
      <c r="A4186">
        <v>21400949</v>
      </c>
      <c r="B4186" t="s">
        <v>18</v>
      </c>
      <c r="C4186" t="s">
        <v>36</v>
      </c>
      <c r="D4186">
        <v>102</v>
      </c>
      <c r="E4186">
        <v>94</v>
      </c>
      <c r="F4186">
        <v>8</v>
      </c>
      <c r="G4186">
        <v>4</v>
      </c>
      <c r="H4186" s="1">
        <v>2.3263888888888887E-3</v>
      </c>
      <c r="I4186">
        <v>2014</v>
      </c>
      <c r="J4186" t="s">
        <v>20</v>
      </c>
      <c r="K4186" s="2" t="str">
        <f>HYPERLINK("https://www.nba.com/stats/events?CFID=&amp;CFPARAMS=&amp;GameEventID=475&amp;GameID=0021400949&amp;Season=2014-15&amp;flag=1&amp;title=Leonard%207'%20Pullup%20Jump%20Shot%20(20%20PTS)", "Leonard 7' Pullup Jump Shot (20 PTS)")</f>
        <v>Leonard 7' Pullup Jump Shot (20 PTS)</v>
      </c>
      <c r="L4186" s="2" t="str">
        <f>HYPERLINK("https://www.nba.com/game/...-vs-...-0021400949/play-by-play?watchFullGame=true", "SAS vs TOR - Q4 03:21.00")</f>
        <v>SAS vs TOR - Q4 03:21.00</v>
      </c>
      <c r="M4186">
        <v>7</v>
      </c>
      <c r="N4186">
        <v>50</v>
      </c>
      <c r="O4186">
        <v>53</v>
      </c>
      <c r="P4186">
        <v>50</v>
      </c>
      <c r="Q4186">
        <v>53</v>
      </c>
      <c r="R4186" t="s">
        <v>21</v>
      </c>
      <c r="S4186" t="s">
        <v>21</v>
      </c>
    </row>
    <row r="4187" spans="1:19" hidden="1" x14ac:dyDescent="0.25">
      <c r="A4187">
        <v>41500236</v>
      </c>
      <c r="B4187" t="s">
        <v>18</v>
      </c>
      <c r="C4187" t="s">
        <v>37</v>
      </c>
      <c r="D4187">
        <v>59</v>
      </c>
      <c r="E4187">
        <v>84</v>
      </c>
      <c r="F4187">
        <v>25</v>
      </c>
      <c r="G4187">
        <v>3</v>
      </c>
      <c r="H4187" s="1">
        <v>2.3379629629629631E-3</v>
      </c>
      <c r="I4187" t="s">
        <v>57</v>
      </c>
      <c r="J4187" t="s">
        <v>20</v>
      </c>
      <c r="K4187" s="2" t="str">
        <f>HYPERLINK("https://www.nba.com/stats/events?CFID=&amp;CFPARAMS=&amp;GameEventID=345&amp;GameID=0041500236&amp;Season=2015-16&amp;flag=1&amp;title=Leonard%207'%20Fadeaway%20Jumper%20(16%20PTS)", "Leonard 7' Fadeaway Jumper (16 PTS)")</f>
        <v>Leonard 7' Fadeaway Jumper (16 PTS)</v>
      </c>
      <c r="L4187" s="2" t="str">
        <f>HYPERLINK("https://www.nba.com/game/...-vs-...-0041500236/play-by-play?watchFullGame=true", "SAS vs OKC - Q3 03:22.00")</f>
        <v>SAS vs OKC - Q3 03:22.00</v>
      </c>
      <c r="M4187">
        <v>7</v>
      </c>
      <c r="N4187">
        <v>43</v>
      </c>
      <c r="O4187">
        <v>52</v>
      </c>
      <c r="P4187">
        <v>43</v>
      </c>
      <c r="Q4187">
        <v>52</v>
      </c>
      <c r="R4187" t="s">
        <v>21</v>
      </c>
      <c r="S4187" t="s">
        <v>21</v>
      </c>
    </row>
    <row r="4188" spans="1:19" hidden="1" x14ac:dyDescent="0.25">
      <c r="A4188">
        <v>21600225</v>
      </c>
      <c r="B4188" t="s">
        <v>18</v>
      </c>
      <c r="C4188" t="s">
        <v>38</v>
      </c>
      <c r="D4188">
        <v>100</v>
      </c>
      <c r="E4188">
        <v>94</v>
      </c>
      <c r="F4188">
        <v>6</v>
      </c>
      <c r="G4188">
        <v>4</v>
      </c>
      <c r="H4188" s="1">
        <v>2.3842592592592591E-3</v>
      </c>
      <c r="I4188">
        <v>2016</v>
      </c>
      <c r="J4188" t="s">
        <v>20</v>
      </c>
      <c r="K4188" s="2" t="str">
        <f>HYPERLINK("https://www.nba.com/stats/events?CFID=&amp;CFPARAMS=&amp;GameEventID=458&amp;GameID=0021600225&amp;Season=2016-17&amp;flag=1&amp;title=Leonard%207'%20Turnaround%20Fadeaway%20(21%20PTS)", "Leonard 7' Turnaround Fadeaway (21 PTS)")</f>
        <v>Leonard 7' Turnaround Fadeaway (21 PTS)</v>
      </c>
      <c r="L4188" s="2" t="str">
        <f>HYPERLINK("https://www.nba.com/game/...-vs-...-0021600225/play-by-play?watchFullGame=true", "SAS vs BOS - Q4 03:26.00")</f>
        <v>SAS vs BOS - Q4 03:26.00</v>
      </c>
      <c r="M4188">
        <v>7</v>
      </c>
      <c r="N4188">
        <v>32</v>
      </c>
      <c r="O4188">
        <v>65</v>
      </c>
      <c r="P4188">
        <v>32</v>
      </c>
      <c r="Q4188">
        <v>65</v>
      </c>
      <c r="R4188" t="s">
        <v>21</v>
      </c>
      <c r="S4188" t="s">
        <v>21</v>
      </c>
    </row>
    <row r="4189" spans="1:19" hidden="1" x14ac:dyDescent="0.25">
      <c r="A4189">
        <v>21801083</v>
      </c>
      <c r="B4189" t="s">
        <v>18</v>
      </c>
      <c r="C4189" t="s">
        <v>42</v>
      </c>
      <c r="D4189">
        <v>101</v>
      </c>
      <c r="E4189">
        <v>106</v>
      </c>
      <c r="F4189">
        <v>5</v>
      </c>
      <c r="G4189">
        <v>4</v>
      </c>
      <c r="H4189" s="1">
        <v>2.488425925925926E-3</v>
      </c>
      <c r="I4189">
        <v>2018</v>
      </c>
      <c r="J4189" t="s">
        <v>48</v>
      </c>
      <c r="K4189" s="2" t="str">
        <f>HYPERLINK("https://www.nba.com/stats/events?CFID=&amp;CFPARAMS=&amp;GameEventID=581&amp;GameID=0021801083&amp;Season=2018-19&amp;flag=1&amp;title=Leonard%207'%20Driving%20Floating%20Jump%20Shot%20(31%20PTS)", "Leonard 7' Driving Floating Jump Shot (31 PTS)")</f>
        <v>Leonard 7' Driving Floating Jump Shot (31 PTS)</v>
      </c>
      <c r="L4189" s="2" t="str">
        <f>HYPERLINK("https://www.nba.com/game/...-vs-...-0021801083/play-by-play?watchFullGame=true", "TOR vs OKC - Q4 03:35.00")</f>
        <v>TOR vs OKC - Q4 03:35.00</v>
      </c>
      <c r="M4189">
        <v>7</v>
      </c>
      <c r="N4189">
        <v>30</v>
      </c>
      <c r="O4189">
        <v>61</v>
      </c>
      <c r="P4189">
        <v>30</v>
      </c>
      <c r="Q4189">
        <v>61</v>
      </c>
      <c r="R4189" t="s">
        <v>21</v>
      </c>
      <c r="S4189" t="s">
        <v>21</v>
      </c>
    </row>
    <row r="4190" spans="1:19" hidden="1" x14ac:dyDescent="0.25">
      <c r="A4190">
        <v>21500905</v>
      </c>
      <c r="B4190" t="s">
        <v>18</v>
      </c>
      <c r="C4190" t="s">
        <v>47</v>
      </c>
      <c r="D4190">
        <v>95</v>
      </c>
      <c r="E4190">
        <v>80</v>
      </c>
      <c r="F4190">
        <v>15</v>
      </c>
      <c r="G4190">
        <v>4</v>
      </c>
      <c r="H4190" s="1">
        <v>2.627314814814815E-3</v>
      </c>
      <c r="I4190">
        <v>2015</v>
      </c>
      <c r="J4190" t="s">
        <v>20</v>
      </c>
      <c r="K4190" s="2" t="str">
        <f>HYPERLINK("https://www.nba.com/stats/events?CFID=&amp;CFPARAMS=&amp;GameEventID=413&amp;GameID=0021500905&amp;Season=2015-16&amp;flag=1&amp;title=Leonard%207'%20Hook%20Shot%20(27%20PTS)%20(Parker%204%20AST)", "Leonard 7' Hook Shot (27 PTS) (Parker 4 AST)")</f>
        <v>Leonard 7' Hook Shot (27 PTS) (Parker 4 AST)</v>
      </c>
      <c r="L4190" s="2" t="str">
        <f>HYPERLINK("https://www.nba.com/game/...-vs-...-0021500905/play-by-play?watchFullGame=true", "SAS vs DET - Q4 03:47.00")</f>
        <v>SAS vs DET - Q4 03:47.00</v>
      </c>
      <c r="M4190">
        <v>7</v>
      </c>
      <c r="N4190">
        <v>68</v>
      </c>
      <c r="O4190">
        <v>16</v>
      </c>
      <c r="P4190">
        <v>68</v>
      </c>
      <c r="Q4190">
        <v>16</v>
      </c>
      <c r="R4190" t="s">
        <v>21</v>
      </c>
      <c r="S4190" t="s">
        <v>21</v>
      </c>
    </row>
    <row r="4191" spans="1:19" hidden="1" x14ac:dyDescent="0.25">
      <c r="A4191">
        <v>41200314</v>
      </c>
      <c r="B4191" t="s">
        <v>18</v>
      </c>
      <c r="C4191" t="s">
        <v>36</v>
      </c>
      <c r="D4191">
        <v>36</v>
      </c>
      <c r="E4191">
        <v>27</v>
      </c>
      <c r="F4191">
        <v>9</v>
      </c>
      <c r="G4191">
        <v>2</v>
      </c>
      <c r="H4191" s="1">
        <v>2.673611111111111E-3</v>
      </c>
      <c r="I4191" t="s">
        <v>53</v>
      </c>
      <c r="J4191" t="s">
        <v>20</v>
      </c>
      <c r="K4191" s="2" t="str">
        <f>HYPERLINK("https://www.nba.com/stats/events?CFID=&amp;CFPARAMS=&amp;GameEventID=212&amp;GameID=0041200314&amp;Season=2012-13&amp;flag=1&amp;title=Leonard%207'%20Pullup%20Jump%20Shot%20(6%20PTS)", "Leonard 7' Pullup Jump Shot (6 PTS)")</f>
        <v>Leonard 7' Pullup Jump Shot (6 PTS)</v>
      </c>
      <c r="L4191" s="2" t="str">
        <f>HYPERLINK("https://www.nba.com/game/...-vs-...-0041200314/play-by-play?watchFullGame=true", "SAS vs MEM - Q2 03:51.00")</f>
        <v>SAS vs MEM - Q2 03:51.00</v>
      </c>
      <c r="M4191">
        <v>7</v>
      </c>
      <c r="N4191">
        <v>28</v>
      </c>
      <c r="O4191">
        <v>63</v>
      </c>
      <c r="P4191">
        <v>28</v>
      </c>
      <c r="Q4191">
        <v>63</v>
      </c>
      <c r="R4191" t="s">
        <v>21</v>
      </c>
      <c r="S4191" t="s">
        <v>21</v>
      </c>
    </row>
    <row r="4192" spans="1:19" hidden="1" x14ac:dyDescent="0.25">
      <c r="A4192">
        <v>41300221</v>
      </c>
      <c r="B4192" t="s">
        <v>18</v>
      </c>
      <c r="C4192" t="s">
        <v>29</v>
      </c>
      <c r="D4192">
        <v>18</v>
      </c>
      <c r="E4192">
        <v>7</v>
      </c>
      <c r="F4192">
        <v>11</v>
      </c>
      <c r="G4192">
        <v>1</v>
      </c>
      <c r="H4192" s="1">
        <v>2.7893518518518519E-3</v>
      </c>
      <c r="I4192" t="s">
        <v>55</v>
      </c>
      <c r="J4192" t="s">
        <v>20</v>
      </c>
      <c r="K4192" s="2" t="str">
        <f>HYPERLINK("https://www.nba.com/stats/events?CFID=&amp;CFPARAMS=&amp;GameEventID=81&amp;GameID=0041300221&amp;Season=2013-14&amp;flag=1&amp;title=Leonard%207'%20Jump%20Bank%20Shot%20(6%20PTS)", "Leonard 7' Jump Bank Shot (6 PTS)")</f>
        <v>Leonard 7' Jump Bank Shot (6 PTS)</v>
      </c>
      <c r="L4192" s="2" t="str">
        <f>HYPERLINK("https://www.nba.com/game/...-vs-...-0041300221/play-by-play?watchFullGame=true", "SAS vs POR - Q1 04:01.00")</f>
        <v>SAS vs POR - Q1 04:01.00</v>
      </c>
      <c r="M4192">
        <v>7</v>
      </c>
      <c r="N4192">
        <v>-67</v>
      </c>
      <c r="O4192">
        <v>-3</v>
      </c>
      <c r="P4192">
        <v>-67</v>
      </c>
      <c r="Q4192">
        <v>-3</v>
      </c>
      <c r="R4192" t="s">
        <v>21</v>
      </c>
      <c r="S4192" t="s">
        <v>21</v>
      </c>
    </row>
    <row r="4193" spans="1:19" hidden="1" x14ac:dyDescent="0.25">
      <c r="A4193">
        <v>21400191</v>
      </c>
      <c r="B4193" t="s">
        <v>18</v>
      </c>
      <c r="C4193" t="s">
        <v>37</v>
      </c>
      <c r="D4193">
        <v>92</v>
      </c>
      <c r="E4193">
        <v>79</v>
      </c>
      <c r="F4193">
        <v>13</v>
      </c>
      <c r="G4193">
        <v>4</v>
      </c>
      <c r="H4193" s="1">
        <v>2.8240740740740739E-3</v>
      </c>
      <c r="I4193">
        <v>2014</v>
      </c>
      <c r="J4193" t="s">
        <v>20</v>
      </c>
      <c r="K4193" s="2" t="str">
        <f>HYPERLINK("https://www.nba.com/stats/events?CFID=&amp;CFPARAMS=&amp;GameEventID=414&amp;GameID=0021400191&amp;Season=2014-15&amp;flag=1&amp;title=Leonard%207'%20Fadeaway%20Jumper%20(18%20PTS)", "Leonard 7' Fadeaway Jumper (18 PTS)")</f>
        <v>Leonard 7' Fadeaway Jumper (18 PTS)</v>
      </c>
      <c r="L4193" s="2" t="str">
        <f>HYPERLINK("https://www.nba.com/game/...-vs-...-0021400191/play-by-play?watchFullGame=true", "SAS vs BKN - Q4 04:04.00")</f>
        <v>SAS vs BKN - Q4 04:04.00</v>
      </c>
      <c r="M4193">
        <v>7</v>
      </c>
      <c r="N4193">
        <v>1</v>
      </c>
      <c r="O4193">
        <v>67</v>
      </c>
      <c r="P4193">
        <v>1</v>
      </c>
      <c r="Q4193">
        <v>67</v>
      </c>
      <c r="R4193" t="s">
        <v>21</v>
      </c>
      <c r="S4193" t="s">
        <v>21</v>
      </c>
    </row>
    <row r="4194" spans="1:19" hidden="1" x14ac:dyDescent="0.25">
      <c r="A4194">
        <v>21400354</v>
      </c>
      <c r="B4194" t="s">
        <v>18</v>
      </c>
      <c r="C4194" t="s">
        <v>30</v>
      </c>
      <c r="D4194">
        <v>85</v>
      </c>
      <c r="E4194">
        <v>77</v>
      </c>
      <c r="F4194">
        <v>8</v>
      </c>
      <c r="G4194">
        <v>4</v>
      </c>
      <c r="H4194" s="1">
        <v>2.9861111111111113E-3</v>
      </c>
      <c r="I4194">
        <v>2014</v>
      </c>
      <c r="J4194" t="s">
        <v>20</v>
      </c>
      <c r="K4194" s="2" t="str">
        <f>HYPERLINK("https://www.nba.com/stats/events?CFID=&amp;CFPARAMS=&amp;GameEventID=509&amp;GameID=0021400354&amp;Season=2014-15&amp;flag=1&amp;title=Leonard%207'%20Running%20Jump%20Shot%20(16%20PTS)", "Leonard 7' Running Jump Shot (16 PTS)")</f>
        <v>Leonard 7' Running Jump Shot (16 PTS)</v>
      </c>
      <c r="L4194" s="2" t="str">
        <f>HYPERLINK("https://www.nba.com/game/...-vs-...-0021400354/play-by-play?watchFullGame=true", "SAS vs DEN - Q4 04:18.00")</f>
        <v>SAS vs DEN - Q4 04:18.00</v>
      </c>
      <c r="M4194">
        <v>7</v>
      </c>
      <c r="N4194">
        <v>51</v>
      </c>
      <c r="O4194">
        <v>44</v>
      </c>
      <c r="P4194">
        <v>51</v>
      </c>
      <c r="Q4194">
        <v>44</v>
      </c>
      <c r="R4194" t="s">
        <v>21</v>
      </c>
      <c r="S4194" t="s">
        <v>21</v>
      </c>
    </row>
    <row r="4195" spans="1:19" hidden="1" x14ac:dyDescent="0.25">
      <c r="A4195">
        <v>21800506</v>
      </c>
      <c r="B4195" t="s">
        <v>18</v>
      </c>
      <c r="C4195" t="s">
        <v>49</v>
      </c>
      <c r="D4195">
        <v>67</v>
      </c>
      <c r="E4195">
        <v>74</v>
      </c>
      <c r="F4195">
        <v>7</v>
      </c>
      <c r="G4195">
        <v>3</v>
      </c>
      <c r="H4195" s="1">
        <v>3.0092592592592593E-3</v>
      </c>
      <c r="I4195">
        <v>2018</v>
      </c>
      <c r="J4195" t="s">
        <v>48</v>
      </c>
      <c r="K4195" s="2" t="str">
        <f>HYPERLINK("https://www.nba.com/stats/events?CFID=&amp;CFPARAMS=&amp;GameEventID=385&amp;GameID=0021800506&amp;Season=2018-19&amp;flag=1&amp;title=Leonard%207'%20Driving%20Floating%20Bank%20Jump%20Shot%20(20%20PTS)%20(Siakam%201%20AST)", "Leonard 7' Driving Floating Bank Jump Shot (20 PTS) (Siakam 1 AST)")</f>
        <v>Leonard 7' Driving Floating Bank Jump Shot (20 PTS) (Siakam 1 AST)</v>
      </c>
      <c r="L4195" s="2" t="str">
        <f>HYPERLINK("https://www.nba.com/game/...-vs-...-0021800506/play-by-play?watchFullGame=true", "TOR vs MIA - Q3 04:20.00")</f>
        <v>TOR vs MIA - Q3 04:20.00</v>
      </c>
      <c r="M4195">
        <v>7</v>
      </c>
      <c r="N4195">
        <v>-30</v>
      </c>
      <c r="O4195">
        <v>63</v>
      </c>
      <c r="P4195">
        <v>-30</v>
      </c>
      <c r="Q4195">
        <v>63</v>
      </c>
      <c r="R4195" t="s">
        <v>21</v>
      </c>
      <c r="S4195" t="s">
        <v>21</v>
      </c>
    </row>
    <row r="4196" spans="1:19" hidden="1" x14ac:dyDescent="0.25">
      <c r="A4196">
        <v>21500742</v>
      </c>
      <c r="B4196" t="s">
        <v>18</v>
      </c>
      <c r="C4196" t="s">
        <v>34</v>
      </c>
      <c r="D4196">
        <v>100</v>
      </c>
      <c r="E4196">
        <v>89</v>
      </c>
      <c r="F4196">
        <v>11</v>
      </c>
      <c r="G4196">
        <v>4</v>
      </c>
      <c r="H4196" s="1">
        <v>3.0555555555555557E-3</v>
      </c>
      <c r="I4196">
        <v>2015</v>
      </c>
      <c r="J4196" t="s">
        <v>20</v>
      </c>
      <c r="K4196" s="2" t="str">
        <f>HYPERLINK("https://www.nba.com/stats/events?CFID=&amp;CFPARAMS=&amp;GameEventID=439&amp;GameID=0021500742&amp;Season=2015-16&amp;flag=1&amp;title=Leonard%207'%20Turnaround%20Jump%20Shot%20(24%20PTS)", "Leonard 7' Turnaround Jump Shot (24 PTS)")</f>
        <v>Leonard 7' Turnaround Jump Shot (24 PTS)</v>
      </c>
      <c r="L4196" s="2" t="str">
        <f>HYPERLINK("https://www.nba.com/game/...-vs-...-0021500742/play-by-play?watchFullGame=true", "SAS vs NOP - Q4 04:24.00")</f>
        <v>SAS vs NOP - Q4 04:24.00</v>
      </c>
      <c r="M4196">
        <v>7</v>
      </c>
      <c r="N4196">
        <v>30</v>
      </c>
      <c r="O4196">
        <v>65</v>
      </c>
      <c r="P4196">
        <v>30</v>
      </c>
      <c r="Q4196">
        <v>65</v>
      </c>
      <c r="R4196" t="s">
        <v>21</v>
      </c>
      <c r="S4196" t="s">
        <v>21</v>
      </c>
    </row>
    <row r="4197" spans="1:19" hidden="1" x14ac:dyDescent="0.25">
      <c r="A4197">
        <v>21601042</v>
      </c>
      <c r="B4197" t="s">
        <v>18</v>
      </c>
      <c r="C4197" t="s">
        <v>29</v>
      </c>
      <c r="D4197">
        <v>46</v>
      </c>
      <c r="E4197">
        <v>40</v>
      </c>
      <c r="F4197">
        <v>6</v>
      </c>
      <c r="G4197">
        <v>2</v>
      </c>
      <c r="H4197" s="1">
        <v>3.0555555555555557E-3</v>
      </c>
      <c r="I4197">
        <v>2016</v>
      </c>
      <c r="J4197" t="s">
        <v>20</v>
      </c>
      <c r="K4197" s="2" t="str">
        <f>HYPERLINK("https://www.nba.com/stats/events?CFID=&amp;CFPARAMS=&amp;GameEventID=217&amp;GameID=0021601042&amp;Season=2016-17&amp;flag=1&amp;title=Leonard%207'%20Jump%20Bank%20Shot%20(10%20PTS)", "Leonard 7' Jump Bank Shot (10 PTS)")</f>
        <v>Leonard 7' Jump Bank Shot (10 PTS)</v>
      </c>
      <c r="L4197" s="2" t="str">
        <f>HYPERLINK("https://www.nba.com/game/...-vs-...-0021601042/play-by-play?watchFullGame=true", "SAS vs SAC - Q2 04:24.00")</f>
        <v>SAS vs SAC - Q2 04:24.00</v>
      </c>
      <c r="M4197">
        <v>7</v>
      </c>
      <c r="N4197">
        <v>69</v>
      </c>
      <c r="O4197">
        <v>7</v>
      </c>
      <c r="P4197">
        <v>69</v>
      </c>
      <c r="Q4197">
        <v>7</v>
      </c>
      <c r="R4197" t="s">
        <v>21</v>
      </c>
      <c r="S4197" t="s">
        <v>21</v>
      </c>
    </row>
    <row r="4198" spans="1:19" hidden="1" x14ac:dyDescent="0.25">
      <c r="A4198">
        <v>21500103</v>
      </c>
      <c r="B4198" t="s">
        <v>18</v>
      </c>
      <c r="C4198" t="s">
        <v>47</v>
      </c>
      <c r="D4198">
        <v>42</v>
      </c>
      <c r="E4198">
        <v>37</v>
      </c>
      <c r="F4198">
        <v>5</v>
      </c>
      <c r="G4198">
        <v>2</v>
      </c>
      <c r="H4198" s="1">
        <v>3.1134259259259257E-3</v>
      </c>
      <c r="I4198">
        <v>2015</v>
      </c>
      <c r="J4198" t="s">
        <v>20</v>
      </c>
      <c r="K4198" s="2" t="str">
        <f>HYPERLINK("https://www.nba.com/stats/events?CFID=&amp;CFPARAMS=&amp;GameEventID=193&amp;GameID=0021500103&amp;Season=2015-16&amp;flag=1&amp;title=Leonard%207'%20Hook%20Shot%20(10%20PTS)", "Leonard 7' Hook Shot (10 PTS)")</f>
        <v>Leonard 7' Hook Shot (10 PTS)</v>
      </c>
      <c r="L4198" s="2" t="str">
        <f>HYPERLINK("https://www.nba.com/game/...-vs-...-0021500103/play-by-play?watchFullGame=true", "SAS vs SAC - Q2 04:29.00")</f>
        <v>SAS vs SAC - Q2 04:29.00</v>
      </c>
      <c r="M4198">
        <v>7</v>
      </c>
      <c r="N4198">
        <v>66</v>
      </c>
      <c r="O4198">
        <v>2</v>
      </c>
      <c r="P4198">
        <v>66</v>
      </c>
      <c r="Q4198">
        <v>2</v>
      </c>
      <c r="R4198" t="s">
        <v>21</v>
      </c>
      <c r="S4198" t="s">
        <v>21</v>
      </c>
    </row>
    <row r="4199" spans="1:19" hidden="1" x14ac:dyDescent="0.25">
      <c r="A4199">
        <v>41800111</v>
      </c>
      <c r="B4199" t="s">
        <v>18</v>
      </c>
      <c r="C4199" t="s">
        <v>38</v>
      </c>
      <c r="D4199">
        <v>92</v>
      </c>
      <c r="E4199">
        <v>89</v>
      </c>
      <c r="F4199">
        <v>3</v>
      </c>
      <c r="G4199">
        <v>4</v>
      </c>
      <c r="H4199" s="1">
        <v>3.1944444444444446E-3</v>
      </c>
      <c r="I4199" t="s">
        <v>60</v>
      </c>
      <c r="J4199" t="s">
        <v>48</v>
      </c>
      <c r="K4199" s="2" t="str">
        <f>HYPERLINK("https://www.nba.com/stats/events?CFID=&amp;CFPARAMS=&amp;GameEventID=565&amp;GameID=0041800111&amp;Season=2018-19&amp;flag=1&amp;title=Leonard%207'%20Turnaround%20Fadeaway%20(20%20PTS)", "Leonard 7' Turnaround Fadeaway (20 PTS)")</f>
        <v>Leonard 7' Turnaround Fadeaway (20 PTS)</v>
      </c>
      <c r="L4199" s="2" t="str">
        <f>HYPERLINK("https://www.nba.com/game/...-vs-...-0041800111/play-by-play?watchFullGame=true", "TOR vs ORL - Q4 04:36.00")</f>
        <v>TOR vs ORL - Q4 04:36.00</v>
      </c>
      <c r="M4199">
        <v>7</v>
      </c>
      <c r="N4199">
        <v>5</v>
      </c>
      <c r="O4199">
        <v>74</v>
      </c>
      <c r="P4199">
        <v>5</v>
      </c>
      <c r="Q4199">
        <v>74</v>
      </c>
      <c r="R4199" t="s">
        <v>21</v>
      </c>
      <c r="S4199" t="s">
        <v>21</v>
      </c>
    </row>
    <row r="4200" spans="1:19" hidden="1" x14ac:dyDescent="0.25">
      <c r="A4200">
        <v>41200235</v>
      </c>
      <c r="B4200" t="s">
        <v>18</v>
      </c>
      <c r="C4200" t="s">
        <v>19</v>
      </c>
      <c r="D4200">
        <v>20</v>
      </c>
      <c r="E4200">
        <v>15</v>
      </c>
      <c r="F4200">
        <v>5</v>
      </c>
      <c r="G4200">
        <v>1</v>
      </c>
      <c r="H4200" s="1">
        <v>3.2870370370370371E-3</v>
      </c>
      <c r="I4200" t="s">
        <v>53</v>
      </c>
      <c r="J4200" t="s">
        <v>20</v>
      </c>
      <c r="K4200" s="2" t="str">
        <f>HYPERLINK("https://www.nba.com/stats/events?CFID=&amp;CFPARAMS=&amp;GameEventID=68&amp;GameID=0041200235&amp;Season=2012-13&amp;flag=1&amp;title=Leonard%207'%20Jump%20Shot%20(4%20PTS)%20(Ginobili%201%20AST)", "Leonard 7' Jump Shot (4 PTS) (Ginobili 1 AST)")</f>
        <v>Leonard 7' Jump Shot (4 PTS) (Ginobili 1 AST)</v>
      </c>
      <c r="L4200" s="2" t="str">
        <f>HYPERLINK("https://www.nba.com/game/...-vs-...-0041200235/play-by-play?watchFullGame=true", "SAS vs GSW - Q1 04:44.00")</f>
        <v>SAS vs GSW - Q1 04:44.00</v>
      </c>
      <c r="M4200">
        <v>7</v>
      </c>
      <c r="N4200">
        <v>39</v>
      </c>
      <c r="O4200">
        <v>58</v>
      </c>
      <c r="P4200">
        <v>39</v>
      </c>
      <c r="Q4200">
        <v>58</v>
      </c>
      <c r="R4200" t="s">
        <v>21</v>
      </c>
      <c r="S4200" t="s">
        <v>21</v>
      </c>
    </row>
    <row r="4201" spans="1:19" hidden="1" x14ac:dyDescent="0.25">
      <c r="A4201">
        <v>21600114</v>
      </c>
      <c r="B4201" t="s">
        <v>18</v>
      </c>
      <c r="C4201" t="s">
        <v>19</v>
      </c>
      <c r="D4201">
        <v>16</v>
      </c>
      <c r="E4201">
        <v>15</v>
      </c>
      <c r="F4201">
        <v>1</v>
      </c>
      <c r="G4201">
        <v>1</v>
      </c>
      <c r="H4201" s="1">
        <v>3.4837962962962965E-3</v>
      </c>
      <c r="I4201">
        <v>2016</v>
      </c>
      <c r="J4201" t="s">
        <v>20</v>
      </c>
      <c r="K4201" s="2" t="str">
        <f>HYPERLINK("https://www.nba.com/stats/events?CFID=&amp;CFPARAMS=&amp;GameEventID=65&amp;GameID=0021600114&amp;Season=2016-17&amp;flag=1&amp;title=Leonard%207'%20Jump%20Shot%20(7%20PTS)", "Leonard 7' Jump Shot (7 PTS)")</f>
        <v>Leonard 7' Jump Shot (7 PTS)</v>
      </c>
      <c r="L4201" s="2" t="str">
        <f>HYPERLINK("https://www.nba.com/game/...-vs-...-0021600114/play-by-play?watchFullGame=true", "SAS vs HOU - Q1 05:01.00")</f>
        <v>SAS vs HOU - Q1 05:01.00</v>
      </c>
      <c r="M4201">
        <v>7</v>
      </c>
      <c r="N4201">
        <v>45</v>
      </c>
      <c r="O4201">
        <v>47</v>
      </c>
      <c r="P4201">
        <v>45</v>
      </c>
      <c r="Q4201">
        <v>47</v>
      </c>
      <c r="R4201" t="s">
        <v>21</v>
      </c>
      <c r="S4201" t="s">
        <v>21</v>
      </c>
    </row>
    <row r="4202" spans="1:19" hidden="1" x14ac:dyDescent="0.25">
      <c r="A4202">
        <v>41200406</v>
      </c>
      <c r="B4202" t="s">
        <v>18</v>
      </c>
      <c r="C4202" t="s">
        <v>54</v>
      </c>
      <c r="D4202">
        <v>84</v>
      </c>
      <c r="E4202">
        <v>85</v>
      </c>
      <c r="F4202">
        <v>1</v>
      </c>
      <c r="G4202">
        <v>4</v>
      </c>
      <c r="H4202" s="1">
        <v>3.5532407407407409E-3</v>
      </c>
      <c r="I4202" t="s">
        <v>53</v>
      </c>
      <c r="J4202" t="s">
        <v>20</v>
      </c>
      <c r="K4202" s="2" t="str">
        <f>HYPERLINK("https://www.nba.com/stats/events?CFID=&amp;CFPARAMS=&amp;GameEventID=439&amp;GameID=0041200406&amp;Season=2012-13&amp;flag=1&amp;title=Leonard%207'%20Driving%20Jump%20Shot%20(17%20PTS)", "Leonard 7' Driving Jump Shot (17 PTS)")</f>
        <v>Leonard 7' Driving Jump Shot (17 PTS)</v>
      </c>
      <c r="L4202" s="2" t="str">
        <f>HYPERLINK("https://www.nba.com/game/...-vs-...-0041200406/play-by-play?watchFullGame=true", "SAS vs MIA - Q4 05:07.00")</f>
        <v>SAS vs MIA - Q4 05:07.00</v>
      </c>
      <c r="M4202">
        <v>7</v>
      </c>
      <c r="N4202">
        <v>-7</v>
      </c>
      <c r="O4202">
        <v>67</v>
      </c>
      <c r="P4202">
        <v>-7</v>
      </c>
      <c r="Q4202">
        <v>67</v>
      </c>
      <c r="R4202" t="s">
        <v>21</v>
      </c>
      <c r="S4202" t="s">
        <v>21</v>
      </c>
    </row>
    <row r="4203" spans="1:19" hidden="1" x14ac:dyDescent="0.25">
      <c r="A4203">
        <v>21601209</v>
      </c>
      <c r="B4203" t="s">
        <v>18</v>
      </c>
      <c r="C4203" t="s">
        <v>49</v>
      </c>
      <c r="D4203">
        <v>15</v>
      </c>
      <c r="E4203">
        <v>20</v>
      </c>
      <c r="F4203">
        <v>5</v>
      </c>
      <c r="G4203">
        <v>1</v>
      </c>
      <c r="H4203" s="1">
        <v>3.6805555555555554E-3</v>
      </c>
      <c r="I4203">
        <v>2016</v>
      </c>
      <c r="J4203" t="s">
        <v>20</v>
      </c>
      <c r="K4203" s="2" t="str">
        <f>HYPERLINK("https://www.nba.com/stats/events?CFID=&amp;CFPARAMS=&amp;GameEventID=46&amp;GameID=0021601209&amp;Season=2016-17&amp;flag=1&amp;title=Leonard%207'%20Driving%20Floating%20Bank%20Jump%20Shot%20(4%20PTS)", "Leonard 7' Driving Floating Bank Jump Shot (4 PTS)")</f>
        <v>Leonard 7' Driving Floating Bank Jump Shot (4 PTS)</v>
      </c>
      <c r="L4203" s="2" t="str">
        <f>HYPERLINK("https://www.nba.com/game/...-vs-...-0021601209/play-by-play?watchFullGame=true", "SAS vs POR - Q1 05:18.00")</f>
        <v>SAS vs POR - Q1 05:18.00</v>
      </c>
      <c r="M4203">
        <v>7</v>
      </c>
      <c r="N4203">
        <v>-66</v>
      </c>
      <c r="O4203">
        <v>16</v>
      </c>
      <c r="P4203">
        <v>-66</v>
      </c>
      <c r="Q4203">
        <v>16</v>
      </c>
      <c r="R4203" t="s">
        <v>21</v>
      </c>
      <c r="S4203" t="s">
        <v>21</v>
      </c>
    </row>
    <row r="4204" spans="1:19" hidden="1" x14ac:dyDescent="0.25">
      <c r="A4204">
        <v>41300223</v>
      </c>
      <c r="B4204" t="s">
        <v>18</v>
      </c>
      <c r="C4204" t="s">
        <v>67</v>
      </c>
      <c r="D4204">
        <v>48</v>
      </c>
      <c r="E4204">
        <v>29</v>
      </c>
      <c r="F4204">
        <v>19</v>
      </c>
      <c r="G4204">
        <v>2</v>
      </c>
      <c r="H4204" s="1">
        <v>3.7962962962962963E-3</v>
      </c>
      <c r="I4204" t="s">
        <v>55</v>
      </c>
      <c r="J4204" t="s">
        <v>20</v>
      </c>
      <c r="K4204" s="2" t="str">
        <f>HYPERLINK("https://www.nba.com/stats/events?CFID=&amp;CFPARAMS=&amp;GameEventID=164&amp;GameID=0041300223&amp;Season=2013-14&amp;flag=1&amp;title=Leonard%207'%20Turnaround%20Hook%20Shot%20(4%20PTS)", "Leonard 7' Turnaround Hook Shot (4 PTS)")</f>
        <v>Leonard 7' Turnaround Hook Shot (4 PTS)</v>
      </c>
      <c r="L4204" s="2" t="str">
        <f>HYPERLINK("https://www.nba.com/game/...-vs-...-0041300223/play-by-play?watchFullGame=true", "SAS vs POR - Q2 05:28.00")</f>
        <v>SAS vs POR - Q2 05:28.00</v>
      </c>
      <c r="M4204">
        <v>7</v>
      </c>
      <c r="N4204">
        <v>72</v>
      </c>
      <c r="O4204">
        <v>7</v>
      </c>
      <c r="P4204">
        <v>72</v>
      </c>
      <c r="Q4204">
        <v>7</v>
      </c>
      <c r="R4204" t="s">
        <v>21</v>
      </c>
      <c r="S4204" t="s">
        <v>21</v>
      </c>
    </row>
    <row r="4205" spans="1:19" hidden="1" x14ac:dyDescent="0.25">
      <c r="A4205">
        <v>41800405</v>
      </c>
      <c r="B4205" t="s">
        <v>18</v>
      </c>
      <c r="C4205" t="s">
        <v>37</v>
      </c>
      <c r="D4205">
        <v>41</v>
      </c>
      <c r="E4205">
        <v>52</v>
      </c>
      <c r="F4205">
        <v>11</v>
      </c>
      <c r="G4205">
        <v>2</v>
      </c>
      <c r="H4205" s="1">
        <v>4.0509259259259257E-3</v>
      </c>
      <c r="I4205" t="s">
        <v>60</v>
      </c>
      <c r="J4205" t="s">
        <v>48</v>
      </c>
      <c r="K4205" s="2" t="str">
        <f>HYPERLINK("https://www.nba.com/stats/events?CFID=&amp;CFPARAMS=&amp;GameEventID=273&amp;GameID=0041800405&amp;Season=2018-19&amp;flag=1&amp;title=Leonard%207'%20Fadeaway%20Jumper%20(8%20PTS)", "Leonard 7' Fadeaway Jumper (8 PTS)")</f>
        <v>Leonard 7' Fadeaway Jumper (8 PTS)</v>
      </c>
      <c r="L4205" s="2" t="str">
        <f>HYPERLINK("https://www.nba.com/game/...-vs-...-0041800405/play-by-play?watchFullGame=true", "TOR vs GSW - Q2 05:50.00")</f>
        <v>TOR vs GSW - Q2 05:50.00</v>
      </c>
      <c r="M4205">
        <v>7</v>
      </c>
      <c r="N4205">
        <v>49</v>
      </c>
      <c r="O4205">
        <v>43</v>
      </c>
      <c r="P4205">
        <v>49</v>
      </c>
      <c r="Q4205">
        <v>43</v>
      </c>
      <c r="R4205" t="s">
        <v>21</v>
      </c>
      <c r="S4205" t="s">
        <v>21</v>
      </c>
    </row>
    <row r="4206" spans="1:19" hidden="1" x14ac:dyDescent="0.25">
      <c r="A4206">
        <v>41800213</v>
      </c>
      <c r="B4206" t="s">
        <v>18</v>
      </c>
      <c r="C4206" t="s">
        <v>36</v>
      </c>
      <c r="D4206">
        <v>38</v>
      </c>
      <c r="E4206">
        <v>45</v>
      </c>
      <c r="F4206">
        <v>7</v>
      </c>
      <c r="G4206">
        <v>2</v>
      </c>
      <c r="H4206" s="1">
        <v>4.0856481481481481E-3</v>
      </c>
      <c r="I4206" t="s">
        <v>60</v>
      </c>
      <c r="J4206" t="s">
        <v>48</v>
      </c>
      <c r="K4206" s="2" t="str">
        <f>HYPERLINK("https://www.nba.com/stats/events?CFID=&amp;CFPARAMS=&amp;GameEventID=232&amp;GameID=0041800213&amp;Season=2018-19&amp;flag=1&amp;title=Leonard%207'%20Pullup%20Jump%20Shot%20(11%20PTS)", "Leonard 7' Pullup Jump Shot (11 PTS)")</f>
        <v>Leonard 7' Pullup Jump Shot (11 PTS)</v>
      </c>
      <c r="L4206" s="2" t="str">
        <f>HYPERLINK("https://www.nba.com/game/...-vs-...-0041800213/play-by-play?watchFullGame=true", "TOR vs PHI - Q2 05:53.00")</f>
        <v>TOR vs PHI - Q2 05:53.00</v>
      </c>
      <c r="M4206">
        <v>7</v>
      </c>
      <c r="N4206">
        <v>-67</v>
      </c>
      <c r="O4206">
        <v>20</v>
      </c>
      <c r="P4206">
        <v>-67</v>
      </c>
      <c r="Q4206">
        <v>20</v>
      </c>
      <c r="R4206" t="s">
        <v>21</v>
      </c>
      <c r="S4206" t="s">
        <v>21</v>
      </c>
    </row>
    <row r="4207" spans="1:19" hidden="1" x14ac:dyDescent="0.25">
      <c r="A4207">
        <v>21800506</v>
      </c>
      <c r="B4207" t="s">
        <v>18</v>
      </c>
      <c r="C4207" t="s">
        <v>31</v>
      </c>
      <c r="D4207">
        <v>10</v>
      </c>
      <c r="E4207">
        <v>19</v>
      </c>
      <c r="F4207">
        <v>9</v>
      </c>
      <c r="G4207">
        <v>1</v>
      </c>
      <c r="H4207" s="1">
        <v>4.0972222222222226E-3</v>
      </c>
      <c r="I4207">
        <v>2018</v>
      </c>
      <c r="J4207" t="s">
        <v>48</v>
      </c>
      <c r="K4207" s="2" t="str">
        <f>HYPERLINK("https://www.nba.com/stats/events?CFID=&amp;CFPARAMS=&amp;GameEventID=56&amp;GameID=0021800506&amp;Season=2018-19&amp;flag=1&amp;title=Leonard%207'%20Driving%20Hook%20Shot%20(4%20PTS)", "Leonard 7' Driving Hook Shot (4 PTS)")</f>
        <v>Leonard 7' Driving Hook Shot (4 PTS)</v>
      </c>
      <c r="L4207" s="2" t="str">
        <f>HYPERLINK("https://www.nba.com/game/...-vs-...-0021800506/play-by-play?watchFullGame=true", "TOR vs MIA - Q1 05:54.00")</f>
        <v>TOR vs MIA - Q1 05:54.00</v>
      </c>
      <c r="M4207">
        <v>7</v>
      </c>
      <c r="N4207">
        <v>4</v>
      </c>
      <c r="O4207">
        <v>71</v>
      </c>
      <c r="P4207">
        <v>4</v>
      </c>
      <c r="Q4207">
        <v>71</v>
      </c>
      <c r="R4207" t="s">
        <v>21</v>
      </c>
      <c r="S4207" t="s">
        <v>21</v>
      </c>
    </row>
    <row r="4208" spans="1:19" hidden="1" x14ac:dyDescent="0.25">
      <c r="A4208">
        <v>41300143</v>
      </c>
      <c r="B4208" t="s">
        <v>18</v>
      </c>
      <c r="C4208" t="s">
        <v>67</v>
      </c>
      <c r="D4208">
        <v>63</v>
      </c>
      <c r="E4208">
        <v>67</v>
      </c>
      <c r="F4208">
        <v>4</v>
      </c>
      <c r="G4208">
        <v>3</v>
      </c>
      <c r="H4208" s="1">
        <v>4.5023148148148149E-3</v>
      </c>
      <c r="I4208" t="s">
        <v>55</v>
      </c>
      <c r="J4208" t="s">
        <v>20</v>
      </c>
      <c r="K4208" s="2" t="str">
        <f>HYPERLINK("https://www.nba.com/stats/events?CFID=&amp;CFPARAMS=&amp;GameEventID=256&amp;GameID=0041300143&amp;Season=2013-14&amp;flag=1&amp;title=Leonard%207'%20Turnaround%20Hook%20Shot%20(9%20PTS)", "Leonard 7' Turnaround Hook Shot (9 PTS)")</f>
        <v>Leonard 7' Turnaround Hook Shot (9 PTS)</v>
      </c>
      <c r="L4208" s="2" t="str">
        <f>HYPERLINK("https://www.nba.com/game/...-vs-...-0041300143/play-by-play?watchFullGame=true", "SAS vs DAL - Q3 06:29.00")</f>
        <v>SAS vs DAL - Q3 06:29.00</v>
      </c>
      <c r="M4208">
        <v>7</v>
      </c>
      <c r="N4208">
        <v>-7</v>
      </c>
      <c r="O4208">
        <v>72</v>
      </c>
      <c r="P4208">
        <v>-7</v>
      </c>
      <c r="Q4208">
        <v>72</v>
      </c>
      <c r="R4208" t="s">
        <v>21</v>
      </c>
      <c r="S4208" t="s">
        <v>21</v>
      </c>
    </row>
    <row r="4209" spans="1:19" hidden="1" x14ac:dyDescent="0.25">
      <c r="A4209">
        <v>21300520</v>
      </c>
      <c r="B4209" t="s">
        <v>18</v>
      </c>
      <c r="C4209" t="s">
        <v>19</v>
      </c>
      <c r="D4209">
        <v>15</v>
      </c>
      <c r="E4209">
        <v>6</v>
      </c>
      <c r="F4209">
        <v>9</v>
      </c>
      <c r="G4209">
        <v>1</v>
      </c>
      <c r="H4209" s="1">
        <v>4.5370370370370373E-3</v>
      </c>
      <c r="I4209">
        <v>2013</v>
      </c>
      <c r="J4209" t="s">
        <v>20</v>
      </c>
      <c r="K4209" s="2" t="str">
        <f>HYPERLINK("https://www.nba.com/stats/events?CFID=&amp;CFPARAMS=&amp;GameEventID=53&amp;GameID=0021300520&amp;Season=2013-14&amp;flag=1&amp;title=Leonard%207'%20Jump%20Shot%20(5%20PTS)", "Leonard 7' Jump Shot (5 PTS)")</f>
        <v>Leonard 7' Jump Shot (5 PTS)</v>
      </c>
      <c r="L4209" s="2" t="str">
        <f>HYPERLINK("https://www.nba.com/game/...-vs-...-0021300520/play-by-play?watchFullGame=true", "SAS vs DAL - Q1 06:32.00")</f>
        <v>SAS vs DAL - Q1 06:32.00</v>
      </c>
      <c r="M4209">
        <v>7</v>
      </c>
      <c r="N4209">
        <v>-64</v>
      </c>
      <c r="O4209">
        <v>26</v>
      </c>
      <c r="P4209">
        <v>-64</v>
      </c>
      <c r="Q4209">
        <v>26</v>
      </c>
      <c r="R4209" t="s">
        <v>21</v>
      </c>
      <c r="S4209" t="s">
        <v>21</v>
      </c>
    </row>
    <row r="4210" spans="1:19" hidden="1" x14ac:dyDescent="0.25">
      <c r="A4210">
        <v>21600782</v>
      </c>
      <c r="B4210" t="s">
        <v>18</v>
      </c>
      <c r="C4210" t="s">
        <v>42</v>
      </c>
      <c r="D4210">
        <v>42</v>
      </c>
      <c r="E4210">
        <v>37</v>
      </c>
      <c r="F4210">
        <v>5</v>
      </c>
      <c r="G4210">
        <v>2</v>
      </c>
      <c r="H4210" s="1">
        <v>4.5370370370370373E-3</v>
      </c>
      <c r="I4210">
        <v>2016</v>
      </c>
      <c r="J4210" t="s">
        <v>20</v>
      </c>
      <c r="K4210" s="2" t="str">
        <f>HYPERLINK("https://www.nba.com/stats/events?CFID=&amp;CFPARAMS=&amp;GameEventID=167&amp;GameID=0021600782&amp;Season=2016-17&amp;flag=1&amp;title=Leonard%207'%20Driving%20Floating%20Jump%20Shot%20(7%20PTS)%20(Parker%203%20AST)", "Leonard 7' Driving Floating Jump Shot (7 PTS) (Parker 3 AST)")</f>
        <v>Leonard 7' Driving Floating Jump Shot (7 PTS) (Parker 3 AST)</v>
      </c>
      <c r="L4210" s="2" t="str">
        <f>HYPERLINK("https://www.nba.com/game/...-vs-...-0021600782/play-by-play?watchFullGame=true", "SAS vs PHI - Q2 06:32.00")</f>
        <v>SAS vs PHI - Q2 06:32.00</v>
      </c>
      <c r="M4210">
        <v>7</v>
      </c>
      <c r="N4210">
        <v>-30</v>
      </c>
      <c r="O4210">
        <v>65</v>
      </c>
      <c r="P4210">
        <v>-30</v>
      </c>
      <c r="Q4210">
        <v>65</v>
      </c>
      <c r="R4210" t="s">
        <v>21</v>
      </c>
      <c r="S4210" t="s">
        <v>21</v>
      </c>
    </row>
    <row r="4211" spans="1:19" hidden="1" x14ac:dyDescent="0.25">
      <c r="A4211">
        <v>41300147</v>
      </c>
      <c r="B4211" t="s">
        <v>18</v>
      </c>
      <c r="C4211" t="s">
        <v>36</v>
      </c>
      <c r="D4211">
        <v>107</v>
      </c>
      <c r="E4211">
        <v>78</v>
      </c>
      <c r="F4211">
        <v>29</v>
      </c>
      <c r="G4211">
        <v>4</v>
      </c>
      <c r="H4211" s="1">
        <v>4.6412037037037038E-3</v>
      </c>
      <c r="I4211" t="s">
        <v>55</v>
      </c>
      <c r="J4211" t="s">
        <v>20</v>
      </c>
      <c r="K4211" s="2" t="str">
        <f>HYPERLINK("https://www.nba.com/stats/events?CFID=&amp;CFPARAMS=&amp;GameEventID=474&amp;GameID=0041300147&amp;Season=2013-14&amp;flag=1&amp;title=Leonard%207'%20Pullup%20Jump%20Shot%20(15%20PTS)", "Leonard 7' Pullup Jump Shot (15 PTS)")</f>
        <v>Leonard 7' Pullup Jump Shot (15 PTS)</v>
      </c>
      <c r="L4211" s="2" t="str">
        <f>HYPERLINK("https://www.nba.com/game/...-vs-...-0041300147/play-by-play?watchFullGame=true", "SAS vs DAL - Q4 06:41.00")</f>
        <v>SAS vs DAL - Q4 06:41.00</v>
      </c>
      <c r="M4211">
        <v>7</v>
      </c>
      <c r="N4211">
        <v>58</v>
      </c>
      <c r="O4211">
        <v>39</v>
      </c>
      <c r="P4211">
        <v>58</v>
      </c>
      <c r="Q4211">
        <v>39</v>
      </c>
      <c r="R4211" t="s">
        <v>21</v>
      </c>
      <c r="S4211" t="s">
        <v>21</v>
      </c>
    </row>
    <row r="4212" spans="1:19" hidden="1" x14ac:dyDescent="0.25">
      <c r="A4212">
        <v>21500675</v>
      </c>
      <c r="B4212" t="s">
        <v>18</v>
      </c>
      <c r="C4212" t="s">
        <v>37</v>
      </c>
      <c r="D4212">
        <v>33</v>
      </c>
      <c r="E4212">
        <v>42</v>
      </c>
      <c r="F4212">
        <v>9</v>
      </c>
      <c r="G4212">
        <v>2</v>
      </c>
      <c r="H4212" s="1">
        <v>4.6759259259259263E-3</v>
      </c>
      <c r="I4212">
        <v>2015</v>
      </c>
      <c r="J4212" t="s">
        <v>20</v>
      </c>
      <c r="K4212" s="2" t="str">
        <f>HYPERLINK("https://www.nba.com/stats/events?CFID=&amp;CFPARAMS=&amp;GameEventID=171&amp;GameID=0021500675&amp;Season=2015-16&amp;flag=1&amp;title=Leonard%207'%20Fadeaway%20Jumper%20(6%20PTS)", "Leonard 7' Fadeaway Jumper (6 PTS)")</f>
        <v>Leonard 7' Fadeaway Jumper (6 PTS)</v>
      </c>
      <c r="L4212" s="2" t="str">
        <f>HYPERLINK("https://www.nba.com/game/...-vs-...-0021500675/play-by-play?watchFullGame=true", "SAS vs GSW - Q2 06:44.00")</f>
        <v>SAS vs GSW - Q2 06:44.00</v>
      </c>
      <c r="M4212">
        <v>7</v>
      </c>
      <c r="N4212">
        <v>-2</v>
      </c>
      <c r="O4212">
        <v>70</v>
      </c>
      <c r="P4212">
        <v>-2</v>
      </c>
      <c r="Q4212">
        <v>70</v>
      </c>
      <c r="R4212" t="s">
        <v>21</v>
      </c>
      <c r="S4212" t="s">
        <v>21</v>
      </c>
    </row>
    <row r="4213" spans="1:19" hidden="1" x14ac:dyDescent="0.25">
      <c r="A4213">
        <v>41800302</v>
      </c>
      <c r="B4213" t="s">
        <v>18</v>
      </c>
      <c r="C4213" t="s">
        <v>34</v>
      </c>
      <c r="D4213">
        <v>9</v>
      </c>
      <c r="E4213">
        <v>14</v>
      </c>
      <c r="F4213">
        <v>5</v>
      </c>
      <c r="G4213">
        <v>1</v>
      </c>
      <c r="H4213" s="1">
        <v>4.8495370370370368E-3</v>
      </c>
      <c r="I4213" t="s">
        <v>60</v>
      </c>
      <c r="J4213" t="s">
        <v>48</v>
      </c>
      <c r="K4213" s="2" t="str">
        <f>HYPERLINK("https://www.nba.com/stats/events?CFID=&amp;CFPARAMS=&amp;GameEventID=62&amp;GameID=0041800302&amp;Season=2018-19&amp;flag=1&amp;title=Leonard%207'%20Turnaround%20Jump%20Shot%20(4%20PTS)", "Leonard 7' Turnaround Jump Shot (4 PTS)")</f>
        <v>Leonard 7' Turnaround Jump Shot (4 PTS)</v>
      </c>
      <c r="L4213" s="2" t="str">
        <f>HYPERLINK("https://www.nba.com/game/...-vs-...-0041800302/play-by-play?watchFullGame=true", "TOR vs MIL - Q1 06:59.00")</f>
        <v>TOR vs MIL - Q1 06:59.00</v>
      </c>
      <c r="M4213">
        <v>7</v>
      </c>
      <c r="N4213">
        <v>73</v>
      </c>
      <c r="O4213">
        <v>-4</v>
      </c>
      <c r="P4213">
        <v>73</v>
      </c>
      <c r="Q4213">
        <v>-4</v>
      </c>
      <c r="R4213" t="s">
        <v>21</v>
      </c>
      <c r="S4213" t="s">
        <v>21</v>
      </c>
    </row>
    <row r="4214" spans="1:19" hidden="1" x14ac:dyDescent="0.25">
      <c r="A4214">
        <v>21500945</v>
      </c>
      <c r="B4214" t="s">
        <v>18</v>
      </c>
      <c r="C4214" t="s">
        <v>19</v>
      </c>
      <c r="D4214">
        <v>72</v>
      </c>
      <c r="E4214">
        <v>53</v>
      </c>
      <c r="F4214">
        <v>19</v>
      </c>
      <c r="G4214">
        <v>3</v>
      </c>
      <c r="H4214" s="1">
        <v>5.1041666666666666E-3</v>
      </c>
      <c r="I4214">
        <v>2015</v>
      </c>
      <c r="J4214" t="s">
        <v>20</v>
      </c>
      <c r="K4214" s="2" t="str">
        <f>HYPERLINK("https://www.nba.com/stats/events?CFID=&amp;CFPARAMS=&amp;GameEventID=294&amp;GameID=0021500945&amp;Season=2015-16&amp;flag=1&amp;title=Leonard%207'%20Jump%20Shot%20(15%20PTS)%20(Aldridge%204%20AST)", "Leonard 7' Jump Shot (15 PTS) (Aldridge 4 AST)")</f>
        <v>Leonard 7' Jump Shot (15 PTS) (Aldridge 4 AST)</v>
      </c>
      <c r="L4214" s="2" t="str">
        <f>HYPERLINK("https://www.nba.com/game/...-vs-...-0021500945/play-by-play?watchFullGame=true", "SAS vs MIN - Q3 07:21.00")</f>
        <v>SAS vs MIN - Q3 07:21.00</v>
      </c>
      <c r="M4214">
        <v>7</v>
      </c>
      <c r="N4214">
        <v>-42</v>
      </c>
      <c r="O4214">
        <v>51</v>
      </c>
      <c r="P4214">
        <v>-42</v>
      </c>
      <c r="Q4214">
        <v>51</v>
      </c>
      <c r="R4214" t="s">
        <v>21</v>
      </c>
      <c r="S4214" t="s">
        <v>21</v>
      </c>
    </row>
    <row r="4215" spans="1:19" hidden="1" x14ac:dyDescent="0.25">
      <c r="A4215">
        <v>41500232</v>
      </c>
      <c r="B4215" t="s">
        <v>18</v>
      </c>
      <c r="C4215" t="s">
        <v>42</v>
      </c>
      <c r="D4215">
        <v>37</v>
      </c>
      <c r="E4215">
        <v>37</v>
      </c>
      <c r="F4215">
        <v>0</v>
      </c>
      <c r="G4215">
        <v>2</v>
      </c>
      <c r="H4215" s="1">
        <v>5.115740740740741E-3</v>
      </c>
      <c r="I4215" t="s">
        <v>57</v>
      </c>
      <c r="J4215" t="s">
        <v>20</v>
      </c>
      <c r="K4215" s="2" t="str">
        <f>HYPERLINK("https://www.nba.com/stats/events?CFID=&amp;CFPARAMS=&amp;GameEventID=191&amp;GameID=0041500232&amp;Season=2015-16&amp;flag=1&amp;title=Leonard%207'%20Driving%20Floating%20Jump%20Shot%20(4%20PTS)", "Leonard 7' Driving Floating Jump Shot (4 PTS)")</f>
        <v>Leonard 7' Driving Floating Jump Shot (4 PTS)</v>
      </c>
      <c r="L4215" s="2" t="str">
        <f>HYPERLINK("https://www.nba.com/game/...-vs-...-0041500232/play-by-play?watchFullGame=true", "SAS vs OKC - Q2 07:22.00")</f>
        <v>SAS vs OKC - Q2 07:22.00</v>
      </c>
      <c r="M4215">
        <v>7</v>
      </c>
      <c r="N4215">
        <v>-7</v>
      </c>
      <c r="O4215">
        <v>70</v>
      </c>
      <c r="P4215">
        <v>-7</v>
      </c>
      <c r="Q4215">
        <v>70</v>
      </c>
      <c r="R4215" t="s">
        <v>21</v>
      </c>
      <c r="S4215" t="s">
        <v>21</v>
      </c>
    </row>
    <row r="4216" spans="1:19" hidden="1" x14ac:dyDescent="0.25">
      <c r="A4216">
        <v>41300315</v>
      </c>
      <c r="B4216" t="s">
        <v>18</v>
      </c>
      <c r="C4216" t="s">
        <v>34</v>
      </c>
      <c r="D4216">
        <v>39</v>
      </c>
      <c r="E4216">
        <v>35</v>
      </c>
      <c r="F4216">
        <v>4</v>
      </c>
      <c r="G4216">
        <v>2</v>
      </c>
      <c r="H4216" s="1">
        <v>5.1273148148148146E-3</v>
      </c>
      <c r="I4216" t="s">
        <v>55</v>
      </c>
      <c r="J4216" t="s">
        <v>20</v>
      </c>
      <c r="K4216" s="2" t="str">
        <f>HYPERLINK("https://www.nba.com/stats/events?CFID=&amp;CFPARAMS=&amp;GameEventID=163&amp;GameID=0041300315&amp;Season=2013-14&amp;flag=1&amp;title=Leonard%207'%20Turnaround%20Jump%20Shot%20(7%20PTS)", "Leonard 7' Turnaround Jump Shot (7 PTS)")</f>
        <v>Leonard 7' Turnaround Jump Shot (7 PTS)</v>
      </c>
      <c r="L4216" s="2" t="str">
        <f>HYPERLINK("https://www.nba.com/game/...-vs-...-0041300315/play-by-play?watchFullGame=true", "SAS vs OKC - Q2 07:23.00")</f>
        <v>SAS vs OKC - Q2 07:23.00</v>
      </c>
      <c r="M4216">
        <v>7</v>
      </c>
      <c r="N4216">
        <v>-67</v>
      </c>
      <c r="O4216">
        <v>25</v>
      </c>
      <c r="P4216">
        <v>-67</v>
      </c>
      <c r="Q4216">
        <v>25</v>
      </c>
      <c r="R4216" t="s">
        <v>21</v>
      </c>
      <c r="S4216" t="s">
        <v>21</v>
      </c>
    </row>
    <row r="4217" spans="1:19" hidden="1" x14ac:dyDescent="0.25">
      <c r="A4217">
        <v>21500257</v>
      </c>
      <c r="B4217" t="s">
        <v>18</v>
      </c>
      <c r="C4217" t="s">
        <v>42</v>
      </c>
      <c r="D4217">
        <v>59</v>
      </c>
      <c r="E4217">
        <v>58</v>
      </c>
      <c r="F4217">
        <v>1</v>
      </c>
      <c r="G4217">
        <v>3</v>
      </c>
      <c r="H4217" s="1">
        <v>5.162037037037037E-3</v>
      </c>
      <c r="I4217">
        <v>2015</v>
      </c>
      <c r="J4217" t="s">
        <v>20</v>
      </c>
      <c r="K4217" s="2" t="str">
        <f>HYPERLINK("https://www.nba.com/stats/events?CFID=&amp;CFPARAMS=&amp;GameEventID=274&amp;GameID=0021500257&amp;Season=2015-16&amp;flag=1&amp;title=Leonard%207'%20Driving%20Floating%20Jump%20Shot%20(15%20PTS)", "Leonard 7' Driving Floating Jump Shot (15 PTS)")</f>
        <v>Leonard 7' Driving Floating Jump Shot (15 PTS)</v>
      </c>
      <c r="L4217" s="2" t="str">
        <f>HYPERLINK("https://www.nba.com/game/...-vs-...-0021500257/play-by-play?watchFullGame=true", "SAS vs CHI - Q3 07:26.00")</f>
        <v>SAS vs CHI - Q3 07:26.00</v>
      </c>
      <c r="M4217">
        <v>7</v>
      </c>
      <c r="N4217">
        <v>-7</v>
      </c>
      <c r="O4217">
        <v>65</v>
      </c>
      <c r="P4217">
        <v>-7</v>
      </c>
      <c r="Q4217">
        <v>65</v>
      </c>
      <c r="R4217" t="s">
        <v>21</v>
      </c>
      <c r="S4217" t="s">
        <v>21</v>
      </c>
    </row>
    <row r="4218" spans="1:19" hidden="1" x14ac:dyDescent="0.25">
      <c r="A4218">
        <v>21601099</v>
      </c>
      <c r="B4218" t="s">
        <v>18</v>
      </c>
      <c r="C4218" t="s">
        <v>67</v>
      </c>
      <c r="D4218">
        <v>68</v>
      </c>
      <c r="E4218">
        <v>43</v>
      </c>
      <c r="F4218">
        <v>25</v>
      </c>
      <c r="G4218">
        <v>3</v>
      </c>
      <c r="H4218" s="1">
        <v>5.3009259259259259E-3</v>
      </c>
      <c r="I4218">
        <v>2016</v>
      </c>
      <c r="J4218" t="s">
        <v>20</v>
      </c>
      <c r="K4218" s="2" t="str">
        <f>HYPERLINK("https://www.nba.com/stats/events?CFID=&amp;CFPARAMS=&amp;GameEventID=306&amp;GameID=0021601099&amp;Season=2016-17&amp;flag=1&amp;title=Leonard%207'%20Turnaround%20Hook%20Shot%20(17%20PTS)", "Leonard 7' Turnaround Hook Shot (17 PTS)")</f>
        <v>Leonard 7' Turnaround Hook Shot (17 PTS)</v>
      </c>
      <c r="L4218" s="2" t="str">
        <f>HYPERLINK("https://www.nba.com/game/...-vs-...-0021601099/play-by-play?watchFullGame=true", "SAS vs CLE - Q3 07:38.00")</f>
        <v>SAS vs CLE - Q3 07:38.00</v>
      </c>
      <c r="M4218">
        <v>7</v>
      </c>
      <c r="N4218">
        <v>-43</v>
      </c>
      <c r="O4218">
        <v>61</v>
      </c>
      <c r="P4218">
        <v>-43</v>
      </c>
      <c r="Q4218">
        <v>61</v>
      </c>
      <c r="R4218" t="s">
        <v>21</v>
      </c>
      <c r="S4218" t="s">
        <v>21</v>
      </c>
    </row>
    <row r="4219" spans="1:19" hidden="1" x14ac:dyDescent="0.25">
      <c r="A4219">
        <v>41200405</v>
      </c>
      <c r="B4219" t="s">
        <v>18</v>
      </c>
      <c r="C4219" t="s">
        <v>19</v>
      </c>
      <c r="D4219">
        <v>70</v>
      </c>
      <c r="E4219">
        <v>62</v>
      </c>
      <c r="F4219">
        <v>8</v>
      </c>
      <c r="G4219">
        <v>3</v>
      </c>
      <c r="H4219" s="1">
        <v>5.6481481481481478E-3</v>
      </c>
      <c r="I4219" t="s">
        <v>53</v>
      </c>
      <c r="J4219" t="s">
        <v>20</v>
      </c>
      <c r="K4219" s="2" t="str">
        <f>HYPERLINK("https://www.nba.com/stats/events?CFID=&amp;CFPARAMS=&amp;GameEventID=304&amp;GameID=0041200405&amp;Season=2012-13&amp;flag=1&amp;title=Leonard%207'%20Jump%20Shot%20(11%20PTS)%20(Parker%203%20AST)", "Leonard 7' Jump Shot (11 PTS) (Parker 3 AST)")</f>
        <v>Leonard 7' Jump Shot (11 PTS) (Parker 3 AST)</v>
      </c>
      <c r="L4219" s="2" t="str">
        <f>HYPERLINK("https://www.nba.com/game/...-vs-...-0041200405/play-by-play?watchFullGame=true", "SAS vs MIA - Q3 08:08.00")</f>
        <v>SAS vs MIA - Q3 08:08.00</v>
      </c>
      <c r="M4219">
        <v>7</v>
      </c>
      <c r="N4219">
        <v>-71</v>
      </c>
      <c r="O4219">
        <v>3</v>
      </c>
      <c r="P4219">
        <v>-71</v>
      </c>
      <c r="Q4219">
        <v>3</v>
      </c>
      <c r="R4219" t="s">
        <v>21</v>
      </c>
      <c r="S4219" t="s">
        <v>21</v>
      </c>
    </row>
    <row r="4220" spans="1:19" hidden="1" x14ac:dyDescent="0.25">
      <c r="A4220">
        <v>21400867</v>
      </c>
      <c r="B4220" t="s">
        <v>18</v>
      </c>
      <c r="C4220" t="s">
        <v>30</v>
      </c>
      <c r="D4220">
        <v>10</v>
      </c>
      <c r="E4220">
        <v>12</v>
      </c>
      <c r="F4220">
        <v>2</v>
      </c>
      <c r="G4220">
        <v>1</v>
      </c>
      <c r="H4220" s="1">
        <v>5.6481481481481478E-3</v>
      </c>
      <c r="I4220">
        <v>2014</v>
      </c>
      <c r="J4220" t="s">
        <v>20</v>
      </c>
      <c r="K4220" s="2" t="str">
        <f>HYPERLINK("https://www.nba.com/stats/events?CFID=&amp;CFPARAMS=&amp;GameEventID=34&amp;GameID=0021400867&amp;Season=2014-15&amp;flag=1&amp;title=Leonard%207'%20Running%20Jump%20Shot%20(5%20PTS)", "Leonard 7' Running Jump Shot (5 PTS)")</f>
        <v>Leonard 7' Running Jump Shot (5 PTS)</v>
      </c>
      <c r="L4220" s="2" t="str">
        <f>HYPERLINK("https://www.nba.com/game/...-vs-...-0021400867/play-by-play?watchFullGame=true", "SAS vs SAC - Q1 08:08.00")</f>
        <v>SAS vs SAC - Q1 08:08.00</v>
      </c>
      <c r="M4220">
        <v>7</v>
      </c>
      <c r="N4220">
        <v>34</v>
      </c>
      <c r="O4220">
        <v>66</v>
      </c>
      <c r="P4220">
        <v>34</v>
      </c>
      <c r="Q4220">
        <v>66</v>
      </c>
      <c r="R4220" t="s">
        <v>21</v>
      </c>
      <c r="S4220" t="s">
        <v>21</v>
      </c>
    </row>
    <row r="4221" spans="1:19" hidden="1" x14ac:dyDescent="0.25">
      <c r="A4221">
        <v>41300225</v>
      </c>
      <c r="B4221" t="s">
        <v>18</v>
      </c>
      <c r="C4221" t="s">
        <v>19</v>
      </c>
      <c r="D4221">
        <v>90</v>
      </c>
      <c r="E4221">
        <v>67</v>
      </c>
      <c r="F4221">
        <v>23</v>
      </c>
      <c r="G4221">
        <v>4</v>
      </c>
      <c r="H4221" s="1">
        <v>5.9027777777777776E-3</v>
      </c>
      <c r="I4221" t="s">
        <v>55</v>
      </c>
      <c r="J4221" t="s">
        <v>20</v>
      </c>
      <c r="K4221" s="2" t="str">
        <f>HYPERLINK("https://www.nba.com/stats/events?CFID=&amp;CFPARAMS=&amp;GameEventID=402&amp;GameID=0041300225&amp;Season=2013-14&amp;flag=1&amp;title=Leonard%207'%20Jump%20Shot%20(21%20PTS)", "Leonard 7' Jump Shot (21 PTS)")</f>
        <v>Leonard 7' Jump Shot (21 PTS)</v>
      </c>
      <c r="L4221" s="2" t="str">
        <f>HYPERLINK("https://www.nba.com/game/...-vs-...-0041300225/play-by-play?watchFullGame=true", "SAS vs POR - Q4 08:30.00")</f>
        <v>SAS vs POR - Q4 08:30.00</v>
      </c>
      <c r="M4221">
        <v>7</v>
      </c>
      <c r="N4221">
        <v>72</v>
      </c>
      <c r="O4221">
        <v>14</v>
      </c>
      <c r="P4221">
        <v>72</v>
      </c>
      <c r="Q4221">
        <v>14</v>
      </c>
      <c r="R4221" t="s">
        <v>21</v>
      </c>
      <c r="S4221" t="s">
        <v>21</v>
      </c>
    </row>
    <row r="4222" spans="1:19" hidden="1" x14ac:dyDescent="0.25">
      <c r="A4222">
        <v>21300888</v>
      </c>
      <c r="B4222" t="s">
        <v>18</v>
      </c>
      <c r="C4222" t="s">
        <v>19</v>
      </c>
      <c r="D4222">
        <v>56</v>
      </c>
      <c r="E4222">
        <v>53</v>
      </c>
      <c r="F4222">
        <v>3</v>
      </c>
      <c r="G4222">
        <v>3</v>
      </c>
      <c r="H4222" s="1">
        <v>6.0416666666666665E-3</v>
      </c>
      <c r="I4222">
        <v>2013</v>
      </c>
      <c r="J4222" t="s">
        <v>20</v>
      </c>
      <c r="K4222" s="2" t="str">
        <f>HYPERLINK("https://www.nba.com/stats/events?CFID=&amp;CFPARAMS=&amp;GameEventID=267&amp;GameID=0021300888&amp;Season=2013-14&amp;flag=1&amp;title=Leonard%207'%20Jump%20Shot%20(9%20PTS)%20(Parker%203%20AST)", "Leonard 7' Jump Shot (9 PTS) (Parker 3 AST)")</f>
        <v>Leonard 7' Jump Shot (9 PTS) (Parker 3 AST)</v>
      </c>
      <c r="L4222" s="2" t="str">
        <f>HYPERLINK("https://www.nba.com/game/...-vs-...-0021300888/play-by-play?watchFullGame=true", "SAS vs DAL - Q3 08:42.00")</f>
        <v>SAS vs DAL - Q3 08:42.00</v>
      </c>
      <c r="M4222">
        <v>7</v>
      </c>
      <c r="N4222">
        <v>-70</v>
      </c>
      <c r="O4222">
        <v>15</v>
      </c>
      <c r="P4222">
        <v>-70</v>
      </c>
      <c r="Q4222">
        <v>15</v>
      </c>
      <c r="R4222" t="s">
        <v>21</v>
      </c>
      <c r="S4222" t="s">
        <v>21</v>
      </c>
    </row>
    <row r="4223" spans="1:19" hidden="1" x14ac:dyDescent="0.25">
      <c r="A4223">
        <v>21500465</v>
      </c>
      <c r="B4223" t="s">
        <v>18</v>
      </c>
      <c r="C4223" t="s">
        <v>42</v>
      </c>
      <c r="D4223">
        <v>3</v>
      </c>
      <c r="E4223">
        <v>10</v>
      </c>
      <c r="F4223">
        <v>7</v>
      </c>
      <c r="G4223">
        <v>1</v>
      </c>
      <c r="H4223" s="1">
        <v>6.053240740740741E-3</v>
      </c>
      <c r="I4223">
        <v>2015</v>
      </c>
      <c r="J4223" t="s">
        <v>20</v>
      </c>
      <c r="K4223" s="2" t="str">
        <f>HYPERLINK("https://www.nba.com/stats/events?CFID=&amp;CFPARAMS=&amp;GameEventID=29&amp;GameID=0021500465&amp;Season=2015-16&amp;flag=1&amp;title=Leonard%207'%20Driving%20Floating%20Jump%20Shot%20(2%20PTS)", "Leonard 7' Driving Floating Jump Shot (2 PTS)")</f>
        <v>Leonard 7' Driving Floating Jump Shot (2 PTS)</v>
      </c>
      <c r="L4223" s="2" t="str">
        <f>HYPERLINK("https://www.nba.com/game/...-vs-...-0021500465/play-by-play?watchFullGame=true", "SAS vs MIN - Q1 08:43.00")</f>
        <v>SAS vs MIN - Q1 08:43.00</v>
      </c>
      <c r="M4223">
        <v>7</v>
      </c>
      <c r="N4223">
        <v>68</v>
      </c>
      <c r="O4223">
        <v>7</v>
      </c>
      <c r="P4223">
        <v>68</v>
      </c>
      <c r="Q4223">
        <v>7</v>
      </c>
      <c r="R4223" t="s">
        <v>21</v>
      </c>
      <c r="S4223" t="s">
        <v>21</v>
      </c>
    </row>
    <row r="4224" spans="1:19" hidden="1" x14ac:dyDescent="0.25">
      <c r="A4224">
        <v>21400177</v>
      </c>
      <c r="B4224" t="s">
        <v>18</v>
      </c>
      <c r="C4224" t="s">
        <v>29</v>
      </c>
      <c r="D4224">
        <v>37</v>
      </c>
      <c r="E4224">
        <v>32</v>
      </c>
      <c r="F4224">
        <v>5</v>
      </c>
      <c r="G4224">
        <v>2</v>
      </c>
      <c r="H4224" s="1">
        <v>6.2268518518518515E-3</v>
      </c>
      <c r="I4224">
        <v>2014</v>
      </c>
      <c r="J4224" t="s">
        <v>20</v>
      </c>
      <c r="K4224" s="2" t="str">
        <f>HYPERLINK("https://www.nba.com/stats/events?CFID=&amp;CFPARAMS=&amp;GameEventID=161&amp;GameID=0021400177&amp;Season=2014-15&amp;flag=1&amp;title=Leonard%207'%20Jump%20Bank%20Shot%20(4%20PTS)%20(Daye%201%20AST)", "Leonard 7' Jump Bank Shot (4 PTS) (Daye 1 AST)")</f>
        <v>Leonard 7' Jump Bank Shot (4 PTS) (Daye 1 AST)</v>
      </c>
      <c r="L4224" s="2" t="str">
        <f>HYPERLINK("https://www.nba.com/game/...-vs-...-0021400177/play-by-play?watchFullGame=true", "SAS vs MIN - Q2 08:58.00")</f>
        <v>SAS vs MIN - Q2 08:58.00</v>
      </c>
      <c r="M4224">
        <v>7</v>
      </c>
      <c r="N4224">
        <v>47</v>
      </c>
      <c r="O4224">
        <v>48</v>
      </c>
      <c r="P4224">
        <v>47</v>
      </c>
      <c r="Q4224">
        <v>48</v>
      </c>
      <c r="R4224" t="s">
        <v>21</v>
      </c>
      <c r="S4224" t="s">
        <v>21</v>
      </c>
    </row>
    <row r="4225" spans="1:19" hidden="1" x14ac:dyDescent="0.25">
      <c r="A4225">
        <v>21300573</v>
      </c>
      <c r="B4225" t="s">
        <v>18</v>
      </c>
      <c r="C4225" t="s">
        <v>34</v>
      </c>
      <c r="D4225">
        <v>8</v>
      </c>
      <c r="E4225">
        <v>5</v>
      </c>
      <c r="F4225">
        <v>3</v>
      </c>
      <c r="G4225">
        <v>1</v>
      </c>
      <c r="H4225" s="1">
        <v>6.4467592592592588E-3</v>
      </c>
      <c r="I4225">
        <v>2013</v>
      </c>
      <c r="J4225" t="s">
        <v>20</v>
      </c>
      <c r="K4225" s="2" t="str">
        <f>HYPERLINK("https://www.nba.com/stats/events?CFID=&amp;CFPARAMS=&amp;GameEventID=24&amp;GameID=0021300573&amp;Season=2013-14&amp;flag=1&amp;title=Leonard%207'%20Turnaround%20Jump%20Shot%20(4%20PTS)%20(Duncan%201%20AST)", "Leonard 7' Turnaround Jump Shot (4 PTS) (Duncan 1 AST)")</f>
        <v>Leonard 7' Turnaround Jump Shot (4 PTS) (Duncan 1 AST)</v>
      </c>
      <c r="L4225" s="2" t="str">
        <f>HYPERLINK("https://www.nba.com/game/...-vs-...-0021300573/play-by-play?watchFullGame=true", "SAS vs UTA - Q1 09:17.00")</f>
        <v>SAS vs UTA - Q1 09:17.00</v>
      </c>
      <c r="M4225">
        <v>7</v>
      </c>
      <c r="N4225">
        <v>37</v>
      </c>
      <c r="O4225">
        <v>64</v>
      </c>
      <c r="P4225">
        <v>37</v>
      </c>
      <c r="Q4225">
        <v>64</v>
      </c>
      <c r="R4225" t="s">
        <v>21</v>
      </c>
      <c r="S4225" t="s">
        <v>21</v>
      </c>
    </row>
    <row r="4226" spans="1:19" hidden="1" x14ac:dyDescent="0.25">
      <c r="A4226">
        <v>41500235</v>
      </c>
      <c r="B4226" t="s">
        <v>18</v>
      </c>
      <c r="C4226" t="s">
        <v>69</v>
      </c>
      <c r="D4226">
        <v>20</v>
      </c>
      <c r="E4226">
        <v>26</v>
      </c>
      <c r="F4226">
        <v>6</v>
      </c>
      <c r="G4226">
        <v>2</v>
      </c>
      <c r="H4226" s="1">
        <v>6.5624999999999998E-3</v>
      </c>
      <c r="I4226" t="s">
        <v>57</v>
      </c>
      <c r="J4226" t="s">
        <v>20</v>
      </c>
      <c r="K4226" s="2" t="str">
        <f>HYPERLINK("https://www.nba.com/stats/events?CFID=&amp;CFPARAMS=&amp;GameEventID=142&amp;GameID=0041500235&amp;Season=2015-16&amp;flag=1&amp;title=Leonard%207'%20Driving%20Bank%20Hook%20Shot%20(4%20PTS)", "Leonard 7' Driving Bank Hook Shot (4 PTS)")</f>
        <v>Leonard 7' Driving Bank Hook Shot (4 PTS)</v>
      </c>
      <c r="L4226" s="2" t="str">
        <f>HYPERLINK("https://www.nba.com/game/...-vs-...-0041500235/play-by-play?watchFullGame=true", "SAS vs OKC - Q2 09:27.00")</f>
        <v>SAS vs OKC - Q2 09:27.00</v>
      </c>
      <c r="M4226">
        <v>7</v>
      </c>
      <c r="N4226">
        <v>66</v>
      </c>
      <c r="O4226">
        <v>28</v>
      </c>
      <c r="P4226">
        <v>66</v>
      </c>
      <c r="Q4226">
        <v>28</v>
      </c>
      <c r="R4226" t="s">
        <v>21</v>
      </c>
      <c r="S4226" t="s">
        <v>21</v>
      </c>
    </row>
    <row r="4227" spans="1:19" hidden="1" x14ac:dyDescent="0.25">
      <c r="A4227">
        <v>21600701</v>
      </c>
      <c r="B4227" t="s">
        <v>18</v>
      </c>
      <c r="C4227" t="s">
        <v>19</v>
      </c>
      <c r="D4227">
        <v>28</v>
      </c>
      <c r="E4227">
        <v>29</v>
      </c>
      <c r="F4227">
        <v>1</v>
      </c>
      <c r="G4227">
        <v>2</v>
      </c>
      <c r="H4227" s="1">
        <v>7.1064814814814819E-3</v>
      </c>
      <c r="I4227">
        <v>2016</v>
      </c>
      <c r="J4227" t="s">
        <v>20</v>
      </c>
      <c r="K4227" s="2" t="str">
        <f>HYPERLINK("https://www.nba.com/stats/events?CFID=&amp;CFPARAMS=&amp;GameEventID=148&amp;GameID=0021600701&amp;Season=2016-17&amp;flag=1&amp;title=Leonard%207'%20Jump%20Shot%20(2%20PTS)", "Leonard 7' Jump Shot (2 PTS)")</f>
        <v>Leonard 7' Jump Shot (2 PTS)</v>
      </c>
      <c r="L4227" s="2" t="str">
        <f>HYPERLINK("https://www.nba.com/game/...-vs-...-0021600701/play-by-play?watchFullGame=true", "SAS vs NOP - Q2 10:14.00")</f>
        <v>SAS vs NOP - Q2 10:14.00</v>
      </c>
      <c r="M4227">
        <v>7</v>
      </c>
      <c r="N4227">
        <v>-6</v>
      </c>
      <c r="O4227">
        <v>65</v>
      </c>
      <c r="P4227">
        <v>-6</v>
      </c>
      <c r="Q4227">
        <v>65</v>
      </c>
      <c r="R4227" t="s">
        <v>21</v>
      </c>
      <c r="S4227" t="s">
        <v>21</v>
      </c>
    </row>
    <row r="4228" spans="1:19" hidden="1" x14ac:dyDescent="0.25">
      <c r="A4228">
        <v>21801195</v>
      </c>
      <c r="B4228" t="s">
        <v>18</v>
      </c>
      <c r="C4228" t="s">
        <v>34</v>
      </c>
      <c r="D4228">
        <v>31</v>
      </c>
      <c r="E4228">
        <v>32</v>
      </c>
      <c r="F4228">
        <v>1</v>
      </c>
      <c r="G4228">
        <v>2</v>
      </c>
      <c r="H4228" s="1">
        <v>7.2222222222222219E-3</v>
      </c>
      <c r="I4228">
        <v>2018</v>
      </c>
      <c r="J4228" t="s">
        <v>48</v>
      </c>
      <c r="K4228" s="2" t="str">
        <f>HYPERLINK("https://www.nba.com/stats/events?CFID=&amp;CFPARAMS=&amp;GameEventID=195&amp;GameID=0021801195&amp;Season=2018-19&amp;flag=1&amp;title=Leonard%207'%20Turnaround%20Jump%20Shot%20(4%20PTS)", "Leonard 7' Turnaround Jump Shot (4 PTS)")</f>
        <v>Leonard 7' Turnaround Jump Shot (4 PTS)</v>
      </c>
      <c r="L4228" s="2" t="str">
        <f>HYPERLINK("https://www.nba.com/game/...-vs-...-0021801195/play-by-play?watchFullGame=true", "TOR vs MIA - Q2 10:24.00")</f>
        <v>TOR vs MIA - Q2 10:24.00</v>
      </c>
      <c r="M4228">
        <v>7</v>
      </c>
      <c r="N4228">
        <v>67</v>
      </c>
      <c r="O4228">
        <v>28</v>
      </c>
      <c r="P4228">
        <v>67</v>
      </c>
      <c r="Q4228">
        <v>28</v>
      </c>
      <c r="R4228" t="s">
        <v>21</v>
      </c>
      <c r="S4228" t="s">
        <v>21</v>
      </c>
    </row>
    <row r="4229" spans="1:19" hidden="1" x14ac:dyDescent="0.25">
      <c r="A4229">
        <v>21500742</v>
      </c>
      <c r="B4229" t="s">
        <v>18</v>
      </c>
      <c r="C4229" t="s">
        <v>65</v>
      </c>
      <c r="D4229">
        <v>60</v>
      </c>
      <c r="E4229">
        <v>45</v>
      </c>
      <c r="F4229">
        <v>15</v>
      </c>
      <c r="G4229">
        <v>3</v>
      </c>
      <c r="H4229" s="1">
        <v>7.2337962962962963E-3</v>
      </c>
      <c r="I4229">
        <v>2015</v>
      </c>
      <c r="J4229" t="s">
        <v>20</v>
      </c>
      <c r="K4229" s="2" t="str">
        <f>HYPERLINK("https://www.nba.com/stats/events?CFID=&amp;CFPARAMS=&amp;GameEventID=257&amp;GameID=0021500742&amp;Season=2015-16&amp;flag=1&amp;title=Leonard%207'%20Running%20Pull-Up%20Jump%20Shot%20(15%20PTS)", "Leonard 7' Running Pull-Up Jump Shot (15 PTS)")</f>
        <v>Leonard 7' Running Pull-Up Jump Shot (15 PTS)</v>
      </c>
      <c r="L4229" s="2" t="str">
        <f>HYPERLINK("https://www.nba.com/game/...-vs-...-0021500742/play-by-play?watchFullGame=true", "SAS vs NOP - Q3 10:25.00")</f>
        <v>SAS vs NOP - Q3 10:25.00</v>
      </c>
      <c r="M4229">
        <v>7</v>
      </c>
      <c r="N4229">
        <v>50</v>
      </c>
      <c r="O4229">
        <v>51</v>
      </c>
      <c r="P4229">
        <v>50</v>
      </c>
      <c r="Q4229">
        <v>51</v>
      </c>
      <c r="R4229" t="s">
        <v>21</v>
      </c>
      <c r="S4229" t="s">
        <v>21</v>
      </c>
    </row>
    <row r="4230" spans="1:19" hidden="1" x14ac:dyDescent="0.25">
      <c r="A4230">
        <v>21401150</v>
      </c>
      <c r="B4230" t="s">
        <v>18</v>
      </c>
      <c r="C4230" t="s">
        <v>19</v>
      </c>
      <c r="D4230">
        <v>63</v>
      </c>
      <c r="E4230">
        <v>40</v>
      </c>
      <c r="F4230">
        <v>23</v>
      </c>
      <c r="G4230">
        <v>3</v>
      </c>
      <c r="H4230" s="1">
        <v>7.2569444444444443E-3</v>
      </c>
      <c r="I4230">
        <v>2014</v>
      </c>
      <c r="J4230" t="s">
        <v>20</v>
      </c>
      <c r="K4230" s="2" t="str">
        <f>HYPERLINK("https://www.nba.com/stats/events?CFID=&amp;CFPARAMS=&amp;GameEventID=256&amp;GameID=0021401150&amp;Season=2014-15&amp;flag=1&amp;title=Leonard%207'%20Jump%20Shot%20(18%20PTS)", "Leonard 7' Jump Shot (18 PTS)")</f>
        <v>Leonard 7' Jump Shot (18 PTS)</v>
      </c>
      <c r="L4230" s="2" t="str">
        <f>HYPERLINK("https://www.nba.com/game/...-vs-...-0021401150/play-by-play?watchFullGame=true", "SAS vs GSW - Q3 10:27.00")</f>
        <v>SAS vs GSW - Q3 10:27.00</v>
      </c>
      <c r="M4230">
        <v>7</v>
      </c>
      <c r="N4230">
        <v>9</v>
      </c>
      <c r="O4230">
        <v>67</v>
      </c>
      <c r="P4230">
        <v>9</v>
      </c>
      <c r="Q4230">
        <v>67</v>
      </c>
      <c r="R4230" t="s">
        <v>21</v>
      </c>
      <c r="S4230" t="s">
        <v>21</v>
      </c>
    </row>
    <row r="4231" spans="1:19" hidden="1" x14ac:dyDescent="0.25">
      <c r="A4231">
        <v>41300312</v>
      </c>
      <c r="B4231" t="s">
        <v>18</v>
      </c>
      <c r="C4231" t="s">
        <v>19</v>
      </c>
      <c r="D4231">
        <v>2</v>
      </c>
      <c r="E4231">
        <v>5</v>
      </c>
      <c r="F4231">
        <v>3</v>
      </c>
      <c r="G4231">
        <v>1</v>
      </c>
      <c r="H4231" s="1">
        <v>7.2800925925925923E-3</v>
      </c>
      <c r="I4231" t="s">
        <v>55</v>
      </c>
      <c r="J4231" t="s">
        <v>20</v>
      </c>
      <c r="K4231" s="2" t="str">
        <f>HYPERLINK("https://www.nba.com/stats/events?CFID=&amp;CFPARAMS=&amp;GameEventID=11&amp;GameID=0041300312&amp;Season=2013-14&amp;flag=1&amp;title=Leonard%207'%20Jump%20Shot%20(2%20PTS)", "Leonard 7' Jump Shot (2 PTS)")</f>
        <v>Leonard 7' Jump Shot (2 PTS)</v>
      </c>
      <c r="L4231" s="2" t="str">
        <f>HYPERLINK("https://www.nba.com/game/...-vs-...-0041300312/play-by-play?watchFullGame=true", "SAS vs OKC - Q1 10:29.00")</f>
        <v>SAS vs OKC - Q1 10:29.00</v>
      </c>
      <c r="M4231">
        <v>7</v>
      </c>
      <c r="N4231">
        <v>-4</v>
      </c>
      <c r="O4231">
        <v>74</v>
      </c>
      <c r="P4231">
        <v>-4</v>
      </c>
      <c r="Q4231">
        <v>74</v>
      </c>
      <c r="R4231" t="s">
        <v>21</v>
      </c>
      <c r="S4231" t="s">
        <v>21</v>
      </c>
    </row>
    <row r="4232" spans="1:19" hidden="1" x14ac:dyDescent="0.25">
      <c r="A4232">
        <v>21300914</v>
      </c>
      <c r="B4232" t="s">
        <v>18</v>
      </c>
      <c r="C4232" t="s">
        <v>19</v>
      </c>
      <c r="D4232">
        <v>67</v>
      </c>
      <c r="E4232">
        <v>53</v>
      </c>
      <c r="F4232">
        <v>14</v>
      </c>
      <c r="G4232">
        <v>3</v>
      </c>
      <c r="H4232" s="1">
        <v>7.3148148148148148E-3</v>
      </c>
      <c r="I4232">
        <v>2013</v>
      </c>
      <c r="J4232" t="s">
        <v>20</v>
      </c>
      <c r="K4232" s="2" t="str">
        <f>HYPERLINK("https://www.nba.com/stats/events?CFID=&amp;CFPARAMS=&amp;GameEventID=285&amp;GameID=0021300914&amp;Season=2013-14&amp;flag=1&amp;title=Leonard%207'%20Jump%20Shot%20(4%20PTS)", "Leonard 7' Jump Shot (4 PTS)")</f>
        <v>Leonard 7' Jump Shot (4 PTS)</v>
      </c>
      <c r="L4232" s="2" t="str">
        <f>HYPERLINK("https://www.nba.com/game/...-vs-...-0021300914/play-by-play?watchFullGame=true", "SAS vs MIA - Q3 10:32.00")</f>
        <v>SAS vs MIA - Q3 10:32.00</v>
      </c>
      <c r="M4232">
        <v>7</v>
      </c>
      <c r="N4232">
        <v>18</v>
      </c>
      <c r="O4232">
        <v>64</v>
      </c>
      <c r="P4232">
        <v>18</v>
      </c>
      <c r="Q4232">
        <v>64</v>
      </c>
      <c r="R4232" t="s">
        <v>21</v>
      </c>
      <c r="S4232" t="s">
        <v>21</v>
      </c>
    </row>
    <row r="4233" spans="1:19" hidden="1" x14ac:dyDescent="0.25">
      <c r="A4233">
        <v>21401168</v>
      </c>
      <c r="B4233" t="s">
        <v>18</v>
      </c>
      <c r="C4233" t="s">
        <v>36</v>
      </c>
      <c r="D4233">
        <v>59</v>
      </c>
      <c r="E4233">
        <v>53</v>
      </c>
      <c r="F4233">
        <v>6</v>
      </c>
      <c r="G4233">
        <v>3</v>
      </c>
      <c r="H4233" s="1">
        <v>8.0092592592592594E-3</v>
      </c>
      <c r="I4233">
        <v>2014</v>
      </c>
      <c r="J4233" t="s">
        <v>20</v>
      </c>
      <c r="K4233" s="2" t="str">
        <f>HYPERLINK("https://www.nba.com/stats/events?CFID=&amp;CFPARAMS=&amp;GameEventID=251&amp;GameID=0021401168&amp;Season=2014-15&amp;flag=1&amp;title=Leonard%207'%20Pullup%20Jump%20Shot%20(8%20PTS)%20(Parker%204%20AST)", "Leonard 7' Pullup Jump Shot (8 PTS) (Parker 4 AST)")</f>
        <v>Leonard 7' Pullup Jump Shot (8 PTS) (Parker 4 AST)</v>
      </c>
      <c r="L4233" s="2" t="str">
        <f>HYPERLINK("https://www.nba.com/game/...-vs-...-0021401168/play-by-play?watchFullGame=true", "SAS vs HOU - Q3 11:32.00")</f>
        <v>SAS vs HOU - Q3 11:32.00</v>
      </c>
      <c r="M4233">
        <v>7</v>
      </c>
      <c r="N4233">
        <v>28</v>
      </c>
      <c r="O4233">
        <v>60</v>
      </c>
      <c r="P4233">
        <v>28</v>
      </c>
      <c r="Q4233">
        <v>60</v>
      </c>
      <c r="R4233" t="s">
        <v>21</v>
      </c>
      <c r="S4233" t="s">
        <v>21</v>
      </c>
    </row>
    <row r="4234" spans="1:19" hidden="1" x14ac:dyDescent="0.25">
      <c r="A4234">
        <v>21800639</v>
      </c>
      <c r="B4234" t="s">
        <v>18</v>
      </c>
      <c r="C4234" t="s">
        <v>25</v>
      </c>
      <c r="D4234">
        <v>126</v>
      </c>
      <c r="E4234">
        <v>124</v>
      </c>
      <c r="F4234">
        <v>2</v>
      </c>
      <c r="G4234">
        <v>5</v>
      </c>
      <c r="H4234" s="1">
        <v>3.2291666666666666E-3</v>
      </c>
      <c r="I4234">
        <v>2018</v>
      </c>
      <c r="J4234" t="s">
        <v>48</v>
      </c>
      <c r="K4234" s="2" t="str">
        <f>HYPERLINK("https://www.nba.com/stats/events?CFID=&amp;CFPARAMS=&amp;GameEventID=684&amp;GameID=0021800639&amp;Season=2018-19&amp;flag=1&amp;title=Leonard%202'%20Driving%20Dunk%20(33%20PTS)", "Leonard 2' Driving Dunk (33 PTS)")</f>
        <v>Leonard 2' Driving Dunk (33 PTS)</v>
      </c>
      <c r="L4234" s="2" t="str">
        <f>HYPERLINK("https://www.nba.com/game/...-vs-...-0021800639/play-by-play?watchFullGame=true", "TOR vs WAS - Q5 04:39.00")</f>
        <v>TOR vs WAS - Q5 04:39.00</v>
      </c>
      <c r="M4234">
        <v>2</v>
      </c>
      <c r="N4234">
        <v>-16</v>
      </c>
      <c r="O4234">
        <v>8</v>
      </c>
      <c r="P4234">
        <v>-16</v>
      </c>
      <c r="Q4234">
        <v>8</v>
      </c>
      <c r="R4234" t="s">
        <v>21</v>
      </c>
      <c r="S4234" t="s">
        <v>21</v>
      </c>
    </row>
    <row r="4235" spans="1:19" hidden="1" x14ac:dyDescent="0.25">
      <c r="A4235">
        <v>41600151</v>
      </c>
      <c r="B4235" t="s">
        <v>18</v>
      </c>
      <c r="C4235" t="s">
        <v>19</v>
      </c>
      <c r="D4235">
        <v>81</v>
      </c>
      <c r="E4235">
        <v>64</v>
      </c>
      <c r="F4235">
        <v>17</v>
      </c>
      <c r="G4235">
        <v>3</v>
      </c>
      <c r="H4235" s="1">
        <v>4.1087962962962964E-4</v>
      </c>
      <c r="I4235" t="s">
        <v>58</v>
      </c>
      <c r="J4235" t="s">
        <v>20</v>
      </c>
      <c r="K4235" s="2" t="str">
        <f>HYPERLINK("https://www.nba.com/stats/events?CFID=&amp;CFPARAMS=&amp;GameEventID=345&amp;GameID=0041600151&amp;Season=2016-17&amp;flag=1&amp;title=Leonard%206'%20Jump%20Shot%20(29%20PTS)", "Leonard 6' Jump Shot (29 PTS)")</f>
        <v>Leonard 6' Jump Shot (29 PTS)</v>
      </c>
      <c r="L4235" s="2" t="str">
        <f>HYPERLINK("https://www.nba.com/game/...-vs-...-0041600151/play-by-play?watchFullGame=true", "SAS vs MEM - Q3 00:35.50")</f>
        <v>SAS vs MEM - Q3 00:35.50</v>
      </c>
      <c r="M4235">
        <v>6</v>
      </c>
      <c r="N4235">
        <v>9</v>
      </c>
      <c r="O4235">
        <v>62</v>
      </c>
      <c r="P4235">
        <v>9</v>
      </c>
      <c r="Q4235">
        <v>62</v>
      </c>
      <c r="R4235" t="s">
        <v>21</v>
      </c>
      <c r="S4235" t="s">
        <v>21</v>
      </c>
    </row>
    <row r="4236" spans="1:19" hidden="1" x14ac:dyDescent="0.25">
      <c r="A4236">
        <v>21500450</v>
      </c>
      <c r="B4236" t="s">
        <v>18</v>
      </c>
      <c r="C4236" t="s">
        <v>36</v>
      </c>
      <c r="D4236">
        <v>101</v>
      </c>
      <c r="E4236">
        <v>86</v>
      </c>
      <c r="F4236">
        <v>15</v>
      </c>
      <c r="G4236">
        <v>4</v>
      </c>
      <c r="H4236" s="1">
        <v>4.4907407407407407E-4</v>
      </c>
      <c r="I4236">
        <v>2015</v>
      </c>
      <c r="J4236" t="s">
        <v>20</v>
      </c>
      <c r="K4236" s="2" t="str">
        <f>HYPERLINK("https://www.nba.com/stats/events?CFID=&amp;CFPARAMS=&amp;GameEventID=447&amp;GameID=0021500450&amp;Season=2015-16&amp;flag=1&amp;title=Leonard%206'%20Pullup%20Jump%20Shot%20(20%20PTS)", "Leonard 6' Pullup Jump Shot (20 PTS)")</f>
        <v>Leonard 6' Pullup Jump Shot (20 PTS)</v>
      </c>
      <c r="L4236" s="2" t="str">
        <f>HYPERLINK("https://www.nba.com/game/...-vs-...-0021500450/play-by-play?watchFullGame=true", "SAS vs DEN - Q4 00:38.80")</f>
        <v>SAS vs DEN - Q4 00:38.80</v>
      </c>
      <c r="M4236">
        <v>6</v>
      </c>
      <c r="N4236">
        <v>50</v>
      </c>
      <c r="O4236">
        <v>36</v>
      </c>
      <c r="P4236">
        <v>50</v>
      </c>
      <c r="Q4236">
        <v>36</v>
      </c>
      <c r="R4236" t="s">
        <v>21</v>
      </c>
      <c r="S4236" t="s">
        <v>21</v>
      </c>
    </row>
    <row r="4237" spans="1:19" hidden="1" x14ac:dyDescent="0.25">
      <c r="A4237">
        <v>21800216</v>
      </c>
      <c r="B4237" t="s">
        <v>18</v>
      </c>
      <c r="C4237" t="s">
        <v>37</v>
      </c>
      <c r="D4237">
        <v>116</v>
      </c>
      <c r="E4237">
        <v>121</v>
      </c>
      <c r="F4237">
        <v>5</v>
      </c>
      <c r="G4237">
        <v>5</v>
      </c>
      <c r="H4237" s="1">
        <v>7.0601851851851847E-4</v>
      </c>
      <c r="I4237">
        <v>2018</v>
      </c>
      <c r="J4237" t="s">
        <v>48</v>
      </c>
      <c r="K4237" s="2" t="str">
        <f>HYPERLINK("https://www.nba.com/stats/events?CFID=&amp;CFPARAMS=&amp;GameEventID=739&amp;GameID=0021800216&amp;Season=2018-19&amp;flag=1&amp;title=Leonard%206'%20Fadeaway%20Jumper%20(31%20PTS)", "Leonard 6' Fadeaway Jumper (31 PTS)")</f>
        <v>Leonard 6' Fadeaway Jumper (31 PTS)</v>
      </c>
      <c r="L4237" s="2" t="str">
        <f>HYPERLINK("https://www.nba.com/game/...-vs-...-0021800216/play-by-play?watchFullGame=true", "TOR vs BOS - Q5 01:01.00")</f>
        <v>TOR vs BOS - Q5 01:01.00</v>
      </c>
      <c r="M4237">
        <v>6</v>
      </c>
      <c r="N4237">
        <v>-38</v>
      </c>
      <c r="O4237">
        <v>50</v>
      </c>
      <c r="P4237">
        <v>-38</v>
      </c>
      <c r="Q4237">
        <v>50</v>
      </c>
      <c r="R4237" t="s">
        <v>21</v>
      </c>
      <c r="S4237" t="s">
        <v>21</v>
      </c>
    </row>
    <row r="4238" spans="1:19" hidden="1" x14ac:dyDescent="0.25">
      <c r="A4238">
        <v>41200231</v>
      </c>
      <c r="B4238" t="s">
        <v>18</v>
      </c>
      <c r="C4238" t="s">
        <v>36</v>
      </c>
      <c r="D4238">
        <v>115</v>
      </c>
      <c r="E4238">
        <v>113</v>
      </c>
      <c r="F4238">
        <v>2</v>
      </c>
      <c r="G4238">
        <v>5</v>
      </c>
      <c r="H4238" s="1">
        <v>7.1759259259259259E-4</v>
      </c>
      <c r="I4238" t="s">
        <v>53</v>
      </c>
      <c r="J4238" t="s">
        <v>20</v>
      </c>
      <c r="K4238" s="2" t="str">
        <f>HYPERLINK("https://www.nba.com/stats/events?CFID=&amp;CFPARAMS=&amp;GameEventID=553&amp;GameID=0041200231&amp;Season=2012-13&amp;flag=1&amp;title=Leonard%206'%20Pullup%20Jump%20Shot%20(18%20PTS)", "Leonard 6' Pullup Jump Shot (18 PTS)")</f>
        <v>Leonard 6' Pullup Jump Shot (18 PTS)</v>
      </c>
      <c r="L4238" s="2" t="str">
        <f>HYPERLINK("https://www.nba.com/game/...-vs-...-0041200231/play-by-play?watchFullGame=true", "SAS vs GSW - Q5 01:02.00")</f>
        <v>SAS vs GSW - Q5 01:02.00</v>
      </c>
      <c r="M4238">
        <v>6</v>
      </c>
      <c r="N4238">
        <v>24</v>
      </c>
      <c r="O4238">
        <v>58</v>
      </c>
      <c r="P4238">
        <v>24</v>
      </c>
      <c r="Q4238">
        <v>58</v>
      </c>
      <c r="R4238" t="s">
        <v>21</v>
      </c>
      <c r="S4238" t="s">
        <v>21</v>
      </c>
    </row>
    <row r="4239" spans="1:19" hidden="1" x14ac:dyDescent="0.25">
      <c r="A4239">
        <v>21601151</v>
      </c>
      <c r="B4239" t="s">
        <v>18</v>
      </c>
      <c r="C4239" t="s">
        <v>29</v>
      </c>
      <c r="D4239">
        <v>88</v>
      </c>
      <c r="E4239">
        <v>73</v>
      </c>
      <c r="F4239">
        <v>15</v>
      </c>
      <c r="G4239">
        <v>3</v>
      </c>
      <c r="H4239" s="1">
        <v>7.1759259259259259E-4</v>
      </c>
      <c r="I4239">
        <v>2016</v>
      </c>
      <c r="J4239" t="s">
        <v>20</v>
      </c>
      <c r="K4239" s="2" t="str">
        <f>HYPERLINK("https://www.nba.com/stats/events?CFID=&amp;CFPARAMS=&amp;GameEventID=328&amp;GameID=0021601151&amp;Season=2016-17&amp;flag=1&amp;title=Leonard%206'%20Jump%20Bank%20Shot%20(25%20PTS)", "Leonard 6' Jump Bank Shot (25 PTS)")</f>
        <v>Leonard 6' Jump Bank Shot (25 PTS)</v>
      </c>
      <c r="L4239" s="2" t="str">
        <f>HYPERLINK("https://www.nba.com/game/...-vs-...-0021601151/play-by-play?watchFullGame=true", "SAS vs UTA - Q3 01:02.00")</f>
        <v>SAS vs UTA - Q3 01:02.00</v>
      </c>
      <c r="M4239">
        <v>6</v>
      </c>
      <c r="N4239">
        <v>55</v>
      </c>
      <c r="O4239">
        <v>33</v>
      </c>
      <c r="P4239">
        <v>55</v>
      </c>
      <c r="Q4239">
        <v>33</v>
      </c>
      <c r="R4239" t="s">
        <v>21</v>
      </c>
      <c r="S4239" t="s">
        <v>21</v>
      </c>
    </row>
    <row r="4240" spans="1:19" hidden="1" x14ac:dyDescent="0.25">
      <c r="A4240">
        <v>21800658</v>
      </c>
      <c r="B4240" t="s">
        <v>18</v>
      </c>
      <c r="C4240" t="s">
        <v>31</v>
      </c>
      <c r="D4240">
        <v>50</v>
      </c>
      <c r="E4240">
        <v>60</v>
      </c>
      <c r="F4240">
        <v>10</v>
      </c>
      <c r="G4240">
        <v>2</v>
      </c>
      <c r="H4240" s="1">
        <v>8.2175925925925927E-4</v>
      </c>
      <c r="I4240">
        <v>2018</v>
      </c>
      <c r="J4240" t="s">
        <v>48</v>
      </c>
      <c r="K4240" s="2" t="str">
        <f>HYPERLINK("https://www.nba.com/stats/events?CFID=&amp;CFPARAMS=&amp;GameEventID=305&amp;GameID=0021800658&amp;Season=2018-19&amp;flag=1&amp;title=Leonard%206'%20Driving%20Hook%20Shot%20(15%20PTS)", "Leonard 6' Driving Hook Shot (15 PTS)")</f>
        <v>Leonard 6' Driving Hook Shot (15 PTS)</v>
      </c>
      <c r="L4240" s="2" t="str">
        <f>HYPERLINK("https://www.nba.com/game/...-vs-...-0021800658/play-by-play?watchFullGame=true", "TOR vs BOS - Q2 01:11.00")</f>
        <v>TOR vs BOS - Q2 01:11.00</v>
      </c>
      <c r="M4240">
        <v>6</v>
      </c>
      <c r="N4240">
        <v>33</v>
      </c>
      <c r="O4240">
        <v>55</v>
      </c>
      <c r="P4240">
        <v>33</v>
      </c>
      <c r="Q4240">
        <v>55</v>
      </c>
      <c r="R4240" t="s">
        <v>21</v>
      </c>
      <c r="S4240" t="s">
        <v>21</v>
      </c>
    </row>
    <row r="4241" spans="1:19" hidden="1" x14ac:dyDescent="0.25">
      <c r="A4241">
        <v>21800442</v>
      </c>
      <c r="B4241" t="s">
        <v>18</v>
      </c>
      <c r="C4241" t="s">
        <v>38</v>
      </c>
      <c r="D4241">
        <v>42</v>
      </c>
      <c r="E4241">
        <v>39</v>
      </c>
      <c r="F4241">
        <v>3</v>
      </c>
      <c r="G4241">
        <v>2</v>
      </c>
      <c r="H4241" s="1">
        <v>1.1342592592592593E-3</v>
      </c>
      <c r="I4241">
        <v>2018</v>
      </c>
      <c r="J4241" t="s">
        <v>48</v>
      </c>
      <c r="K4241" s="2" t="str">
        <f>HYPERLINK("https://www.nba.com/stats/events?CFID=&amp;CFPARAMS=&amp;GameEventID=264&amp;GameID=0021800442&amp;Season=2018-19&amp;flag=1&amp;title=Leonard%206'%20Turnaround%20Fadeaway%20(10%20PTS)", "Leonard 6' Turnaround Fadeaway (10 PTS)")</f>
        <v>Leonard 6' Turnaround Fadeaway (10 PTS)</v>
      </c>
      <c r="L4241" s="2" t="str">
        <f>HYPERLINK("https://www.nba.com/game/...-vs-...-0021800442/play-by-play?watchFullGame=true", "TOR vs DEN - Q2 01:38.00")</f>
        <v>TOR vs DEN - Q2 01:38.00</v>
      </c>
      <c r="M4241">
        <v>6</v>
      </c>
      <c r="N4241">
        <v>7</v>
      </c>
      <c r="O4241">
        <v>55</v>
      </c>
      <c r="P4241">
        <v>7</v>
      </c>
      <c r="Q4241">
        <v>55</v>
      </c>
      <c r="R4241" t="s">
        <v>21</v>
      </c>
      <c r="S4241" t="s">
        <v>21</v>
      </c>
    </row>
    <row r="4242" spans="1:19" hidden="1" x14ac:dyDescent="0.25">
      <c r="A4242">
        <v>21800371</v>
      </c>
      <c r="B4242" t="s">
        <v>18</v>
      </c>
      <c r="C4242" t="s">
        <v>42</v>
      </c>
      <c r="D4242">
        <v>105</v>
      </c>
      <c r="E4242">
        <v>104</v>
      </c>
      <c r="F4242">
        <v>1</v>
      </c>
      <c r="G4242">
        <v>5</v>
      </c>
      <c r="H4242" s="1">
        <v>1.261574074074074E-3</v>
      </c>
      <c r="I4242">
        <v>2018</v>
      </c>
      <c r="J4242" t="s">
        <v>48</v>
      </c>
      <c r="K4242" s="2" t="str">
        <f>HYPERLINK("https://www.nba.com/stats/events?CFID=&amp;CFPARAMS=&amp;GameEventID=693&amp;GameID=0021800371&amp;Season=2018-19&amp;flag=1&amp;title=Leonard%206'%20Driving%20Floating%20Jump%20Shot%20(32%20PTS)", "Leonard 6' Driving Floating Jump Shot (32 PTS)")</f>
        <v>Leonard 6' Driving Floating Jump Shot (32 PTS)</v>
      </c>
      <c r="L4242" s="2" t="str">
        <f>HYPERLINK("https://www.nba.com/game/...-vs-...-0021800371/play-by-play?watchFullGame=true", "TOR vs BKN - Q5 01:49.00")</f>
        <v>TOR vs BKN - Q5 01:49.00</v>
      </c>
      <c r="M4242">
        <v>6</v>
      </c>
      <c r="N4242">
        <v>29</v>
      </c>
      <c r="O4242">
        <v>57</v>
      </c>
      <c r="P4242">
        <v>29</v>
      </c>
      <c r="Q4242">
        <v>57</v>
      </c>
      <c r="R4242" t="s">
        <v>21</v>
      </c>
      <c r="S4242" t="s">
        <v>21</v>
      </c>
    </row>
    <row r="4243" spans="1:19" hidden="1" x14ac:dyDescent="0.25">
      <c r="A4243">
        <v>21500028</v>
      </c>
      <c r="B4243" t="s">
        <v>18</v>
      </c>
      <c r="C4243" t="s">
        <v>19</v>
      </c>
      <c r="D4243">
        <v>37</v>
      </c>
      <c r="E4243">
        <v>43</v>
      </c>
      <c r="F4243">
        <v>6</v>
      </c>
      <c r="G4243">
        <v>2</v>
      </c>
      <c r="H4243" s="1">
        <v>1.4699074074074074E-3</v>
      </c>
      <c r="I4243">
        <v>2015</v>
      </c>
      <c r="J4243" t="s">
        <v>20</v>
      </c>
      <c r="K4243" s="2" t="str">
        <f>HYPERLINK("https://www.nba.com/stats/events?CFID=&amp;CFPARAMS=&amp;GameEventID=214&amp;GameID=0021500028&amp;Season=2015-16&amp;flag=1&amp;title=Leonard%206'%20Jump%20Shot%20(4%20PTS)%20(Aldridge%202%20AST)", "Leonard 6' Jump Shot (4 PTS) (Aldridge 2 AST)")</f>
        <v>Leonard 6' Jump Shot (4 PTS) (Aldridge 2 AST)</v>
      </c>
      <c r="L4243" s="2" t="str">
        <f>HYPERLINK("https://www.nba.com/game/...-vs-...-0021500028/play-by-play?watchFullGame=true", "SAS vs BKN - Q2 02:07.00")</f>
        <v>SAS vs BKN - Q2 02:07.00</v>
      </c>
      <c r="M4243">
        <v>6</v>
      </c>
      <c r="N4243">
        <v>20</v>
      </c>
      <c r="O4243">
        <v>57</v>
      </c>
      <c r="P4243">
        <v>20</v>
      </c>
      <c r="Q4243">
        <v>57</v>
      </c>
      <c r="R4243" t="s">
        <v>21</v>
      </c>
      <c r="S4243" t="s">
        <v>21</v>
      </c>
    </row>
    <row r="4244" spans="1:19" hidden="1" x14ac:dyDescent="0.25">
      <c r="A4244">
        <v>21601135</v>
      </c>
      <c r="B4244" t="s">
        <v>18</v>
      </c>
      <c r="C4244" t="s">
        <v>42</v>
      </c>
      <c r="D4244">
        <v>32</v>
      </c>
      <c r="E4244">
        <v>47</v>
      </c>
      <c r="F4244">
        <v>15</v>
      </c>
      <c r="G4244">
        <v>2</v>
      </c>
      <c r="H4244" s="1">
        <v>1.6666666666666668E-3</v>
      </c>
      <c r="I4244">
        <v>2016</v>
      </c>
      <c r="J4244" t="s">
        <v>20</v>
      </c>
      <c r="K4244" s="2" t="str">
        <f>HYPERLINK("https://www.nba.com/stats/events?CFID=&amp;CFPARAMS=&amp;GameEventID=221&amp;GameID=0021601135&amp;Season=2016-17&amp;flag=1&amp;title=Leonard%206'%20Driving%20Floating%20Jump%20Shot%20(6%20PTS)%20(Mills%202%20AST)", "Leonard 6' Driving Floating Jump Shot (6 PTS) (Mills 2 AST)")</f>
        <v>Leonard 6' Driving Floating Jump Shot (6 PTS) (Mills 2 AST)</v>
      </c>
      <c r="L4244" s="2" t="str">
        <f>HYPERLINK("https://www.nba.com/game/...-vs-...-0021601135/play-by-play?watchFullGame=true", "SAS vs OKC - Q2 02:24.00")</f>
        <v>SAS vs OKC - Q2 02:24.00</v>
      </c>
      <c r="M4244">
        <v>6</v>
      </c>
      <c r="N4244">
        <v>9</v>
      </c>
      <c r="O4244">
        <v>57</v>
      </c>
      <c r="P4244">
        <v>9</v>
      </c>
      <c r="Q4244">
        <v>57</v>
      </c>
      <c r="R4244" t="s">
        <v>21</v>
      </c>
      <c r="S4244" t="s">
        <v>21</v>
      </c>
    </row>
    <row r="4245" spans="1:19" hidden="1" x14ac:dyDescent="0.25">
      <c r="A4245">
        <v>21600727</v>
      </c>
      <c r="B4245" t="s">
        <v>18</v>
      </c>
      <c r="C4245" t="s">
        <v>67</v>
      </c>
      <c r="D4245">
        <v>22</v>
      </c>
      <c r="E4245">
        <v>17</v>
      </c>
      <c r="F4245">
        <v>5</v>
      </c>
      <c r="G4245">
        <v>1</v>
      </c>
      <c r="H4245" s="1">
        <v>1.7824074074074075E-3</v>
      </c>
      <c r="I4245">
        <v>2016</v>
      </c>
      <c r="J4245" t="s">
        <v>20</v>
      </c>
      <c r="K4245" s="2" t="str">
        <f>HYPERLINK("https://www.nba.com/stats/events?CFID=&amp;CFPARAMS=&amp;GameEventID=130&amp;GameID=0021600727&amp;Season=2016-17&amp;flag=1&amp;title=Leonard%206'%20Turnaround%20Hook%20Shot%20(4%20PTS)", "Leonard 6' Turnaround Hook Shot (4 PTS)")</f>
        <v>Leonard 6' Turnaround Hook Shot (4 PTS)</v>
      </c>
      <c r="L4245" s="2" t="str">
        <f>HYPERLINK("https://www.nba.com/game/...-vs-...-0021600727/play-by-play?watchFullGame=true", "SAS vs OKC - Q1 02:34.00")</f>
        <v>SAS vs OKC - Q1 02:34.00</v>
      </c>
      <c r="M4245">
        <v>6</v>
      </c>
      <c r="N4245">
        <v>-2</v>
      </c>
      <c r="O4245">
        <v>62</v>
      </c>
      <c r="P4245">
        <v>-2</v>
      </c>
      <c r="Q4245">
        <v>62</v>
      </c>
      <c r="R4245" t="s">
        <v>21</v>
      </c>
      <c r="S4245" t="s">
        <v>21</v>
      </c>
    </row>
    <row r="4246" spans="1:19" hidden="1" x14ac:dyDescent="0.25">
      <c r="A4246">
        <v>21600782</v>
      </c>
      <c r="B4246" t="s">
        <v>18</v>
      </c>
      <c r="C4246" t="s">
        <v>37</v>
      </c>
      <c r="D4246">
        <v>19</v>
      </c>
      <c r="E4246">
        <v>13</v>
      </c>
      <c r="F4246">
        <v>6</v>
      </c>
      <c r="G4246">
        <v>1</v>
      </c>
      <c r="H4246" s="1">
        <v>1.8518518518518519E-3</v>
      </c>
      <c r="I4246">
        <v>2016</v>
      </c>
      <c r="J4246" t="s">
        <v>20</v>
      </c>
      <c r="K4246" s="2" t="str">
        <f>HYPERLINK("https://www.nba.com/stats/events?CFID=&amp;CFPARAMS=&amp;GameEventID=90&amp;GameID=0021600782&amp;Season=2016-17&amp;flag=1&amp;title=Leonard%206'%20Fadeaway%20Jumper%20(2%20PTS)", "Leonard 6' Fadeaway Jumper (2 PTS)")</f>
        <v>Leonard 6' Fadeaway Jumper (2 PTS)</v>
      </c>
      <c r="L4246" s="2" t="str">
        <f>HYPERLINK("https://www.nba.com/game/...-vs-...-0021600782/play-by-play?watchFullGame=true", "SAS vs PHI - Q1 02:40.00")</f>
        <v>SAS vs PHI - Q1 02:40.00</v>
      </c>
      <c r="M4246">
        <v>6</v>
      </c>
      <c r="N4246">
        <v>55</v>
      </c>
      <c r="O4246">
        <v>-15</v>
      </c>
      <c r="P4246">
        <v>55</v>
      </c>
      <c r="Q4246">
        <v>-15</v>
      </c>
      <c r="R4246" t="s">
        <v>21</v>
      </c>
      <c r="S4246" t="s">
        <v>21</v>
      </c>
    </row>
    <row r="4247" spans="1:19" hidden="1" x14ac:dyDescent="0.25">
      <c r="A4247">
        <v>21600962</v>
      </c>
      <c r="B4247" t="s">
        <v>18</v>
      </c>
      <c r="C4247" t="s">
        <v>47</v>
      </c>
      <c r="D4247">
        <v>43</v>
      </c>
      <c r="E4247">
        <v>50</v>
      </c>
      <c r="F4247">
        <v>7</v>
      </c>
      <c r="G4247">
        <v>2</v>
      </c>
      <c r="H4247" s="1">
        <v>1.8981481481481482E-3</v>
      </c>
      <c r="I4247">
        <v>2016</v>
      </c>
      <c r="J4247" t="s">
        <v>20</v>
      </c>
      <c r="K4247" s="2" t="str">
        <f>HYPERLINK("https://www.nba.com/stats/events?CFID=&amp;CFPARAMS=&amp;GameEventID=221&amp;GameID=0021600962&amp;Season=2016-17&amp;flag=1&amp;title=Leonard%206'%20Hook%20Shot%20(12%20PTS)%20(Gasol%201%20AST)", "Leonard 6' Hook Shot (12 PTS) (Gasol 1 AST)")</f>
        <v>Leonard 6' Hook Shot (12 PTS) (Gasol 1 AST)</v>
      </c>
      <c r="L4247" s="2" t="str">
        <f>HYPERLINK("https://www.nba.com/game/...-vs-...-0021600962/play-by-play?watchFullGame=true", "SAS vs OKC - Q2 02:44.00")</f>
        <v>SAS vs OKC - Q2 02:44.00</v>
      </c>
      <c r="M4247">
        <v>6</v>
      </c>
      <c r="N4247">
        <v>-53</v>
      </c>
      <c r="O4247">
        <v>16</v>
      </c>
      <c r="P4247">
        <v>-53</v>
      </c>
      <c r="Q4247">
        <v>16</v>
      </c>
      <c r="R4247" t="s">
        <v>21</v>
      </c>
      <c r="S4247" t="s">
        <v>21</v>
      </c>
    </row>
    <row r="4248" spans="1:19" hidden="1" x14ac:dyDescent="0.25">
      <c r="A4248">
        <v>21501018</v>
      </c>
      <c r="B4248" t="s">
        <v>18</v>
      </c>
      <c r="C4248" t="s">
        <v>31</v>
      </c>
      <c r="D4248">
        <v>19</v>
      </c>
      <c r="E4248">
        <v>20</v>
      </c>
      <c r="F4248">
        <v>1</v>
      </c>
      <c r="G4248">
        <v>1</v>
      </c>
      <c r="H4248" s="1">
        <v>2.3148148148148147E-3</v>
      </c>
      <c r="I4248">
        <v>2015</v>
      </c>
      <c r="J4248" t="s">
        <v>20</v>
      </c>
      <c r="K4248" s="2" t="str">
        <f>HYPERLINK("https://www.nba.com/stats/events?CFID=&amp;CFPARAMS=&amp;GameEventID=77&amp;GameID=0021501018&amp;Season=2015-16&amp;flag=1&amp;title=Leonard%206'%20Driving%20Hook%20Shot%20(4%20PTS)%20(Mills%201%20AST)", "Leonard 6' Driving Hook Shot (4 PTS) (Mills 1 AST)")</f>
        <v>Leonard 6' Driving Hook Shot (4 PTS) (Mills 1 AST)</v>
      </c>
      <c r="L4248" s="2" t="str">
        <f>HYPERLINK("https://www.nba.com/game/...-vs-...-0021501018/play-by-play?watchFullGame=true", "SAS vs POR - Q1 03:20.00")</f>
        <v>SAS vs POR - Q1 03:20.00</v>
      </c>
      <c r="M4248">
        <v>6</v>
      </c>
      <c r="N4248">
        <v>-2</v>
      </c>
      <c r="O4248">
        <v>56</v>
      </c>
      <c r="P4248">
        <v>-2</v>
      </c>
      <c r="Q4248">
        <v>56</v>
      </c>
      <c r="R4248" t="s">
        <v>21</v>
      </c>
      <c r="S4248" t="s">
        <v>21</v>
      </c>
    </row>
    <row r="4249" spans="1:19" hidden="1" x14ac:dyDescent="0.25">
      <c r="A4249">
        <v>41600234</v>
      </c>
      <c r="B4249" t="s">
        <v>18</v>
      </c>
      <c r="D4249">
        <v>42</v>
      </c>
      <c r="E4249">
        <v>48</v>
      </c>
      <c r="F4249">
        <v>6</v>
      </c>
      <c r="G4249">
        <v>2</v>
      </c>
      <c r="H4249" s="1">
        <v>2.5694444444444445E-3</v>
      </c>
      <c r="I4249" t="s">
        <v>58</v>
      </c>
      <c r="J4249" t="s">
        <v>20</v>
      </c>
      <c r="K4249" s="2" t="str">
        <f>HYPERLINK("https://www.nba.com/stats/events?CFID=&amp;CFPARAMS=&amp;GameEventID=236&amp;GameID=0041600234&amp;Season=2016-17&amp;flag=1&amp;title=Leonard%206'%20Shot%20(12%20PTS)", "Leonard 6' Shot (12 PTS)")</f>
        <v>Leonard 6' Shot (12 PTS)</v>
      </c>
      <c r="L4249" s="2" t="str">
        <f>HYPERLINK("https://www.nba.com/game/...-vs-...-0041600234/play-by-play?watchFullGame=true", "SAS vs HOU - Q2 03:42.00")</f>
        <v>SAS vs HOU - Q2 03:42.00</v>
      </c>
      <c r="M4249">
        <v>6</v>
      </c>
      <c r="N4249">
        <v>-22</v>
      </c>
      <c r="O4249">
        <v>52</v>
      </c>
      <c r="P4249">
        <v>-22</v>
      </c>
      <c r="Q4249">
        <v>52</v>
      </c>
      <c r="R4249" t="s">
        <v>21</v>
      </c>
      <c r="S4249" t="s">
        <v>21</v>
      </c>
    </row>
    <row r="4250" spans="1:19" hidden="1" x14ac:dyDescent="0.25">
      <c r="A4250">
        <v>21800538</v>
      </c>
      <c r="B4250" t="s">
        <v>18</v>
      </c>
      <c r="C4250" t="s">
        <v>59</v>
      </c>
      <c r="D4250">
        <v>10</v>
      </c>
      <c r="E4250">
        <v>12</v>
      </c>
      <c r="F4250">
        <v>2</v>
      </c>
      <c r="G4250">
        <v>1</v>
      </c>
      <c r="H4250" s="1">
        <v>2.5925925925925925E-3</v>
      </c>
      <c r="I4250">
        <v>2018</v>
      </c>
      <c r="J4250" t="s">
        <v>48</v>
      </c>
      <c r="K4250" s="2" t="str">
        <f>HYPERLINK("https://www.nba.com/stats/events?CFID=&amp;CFPARAMS=&amp;GameEventID=94&amp;GameID=0021800538&amp;Season=2018-19&amp;flag=1&amp;title=Leonard%206'%20Floating%20Jump%20Shot%20(6%20PTS)", "Leonard 6' Floating Jump Shot (6 PTS)")</f>
        <v>Leonard 6' Floating Jump Shot (6 PTS)</v>
      </c>
      <c r="L4250" s="2" t="str">
        <f>HYPERLINK("https://www.nba.com/game/...-vs-...-0021800538/play-by-play?watchFullGame=true", "TOR vs CHI - Q1 03:44.00")</f>
        <v>TOR vs CHI - Q1 03:44.00</v>
      </c>
      <c r="M4250">
        <v>6</v>
      </c>
      <c r="N4250">
        <v>39</v>
      </c>
      <c r="O4250">
        <v>47</v>
      </c>
      <c r="P4250">
        <v>39</v>
      </c>
      <c r="Q4250">
        <v>47</v>
      </c>
      <c r="R4250" t="s">
        <v>21</v>
      </c>
      <c r="S4250" t="s">
        <v>21</v>
      </c>
    </row>
    <row r="4251" spans="1:19" hidden="1" x14ac:dyDescent="0.25">
      <c r="A4251">
        <v>21600588</v>
      </c>
      <c r="B4251" t="s">
        <v>18</v>
      </c>
      <c r="C4251" t="s">
        <v>29</v>
      </c>
      <c r="D4251">
        <v>29</v>
      </c>
      <c r="E4251">
        <v>15</v>
      </c>
      <c r="F4251">
        <v>14</v>
      </c>
      <c r="G4251">
        <v>1</v>
      </c>
      <c r="H4251" s="1">
        <v>2.5925925925925925E-3</v>
      </c>
      <c r="I4251">
        <v>2016</v>
      </c>
      <c r="J4251" t="s">
        <v>20</v>
      </c>
      <c r="K4251" s="2" t="str">
        <f>HYPERLINK("https://www.nba.com/stats/events?CFID=&amp;CFPARAMS=&amp;GameEventID=79&amp;GameID=0021600588&amp;Season=2016-17&amp;flag=1&amp;title=Leonard%206'%20Jump%20Bank%20Shot%20(13%20PTS)", "Leonard 6' Jump Bank Shot (13 PTS)")</f>
        <v>Leonard 6' Jump Bank Shot (13 PTS)</v>
      </c>
      <c r="L4251" s="2" t="str">
        <f>HYPERLINK("https://www.nba.com/game/...-vs-...-0021600588/play-by-play?watchFullGame=true", "SAS vs LAL - Q1 03:44.00")</f>
        <v>SAS vs LAL - Q1 03:44.00</v>
      </c>
      <c r="M4251">
        <v>6</v>
      </c>
      <c r="N4251">
        <v>45</v>
      </c>
      <c r="O4251">
        <v>41</v>
      </c>
      <c r="P4251">
        <v>45</v>
      </c>
      <c r="Q4251">
        <v>41</v>
      </c>
      <c r="R4251" t="s">
        <v>21</v>
      </c>
      <c r="S4251" t="s">
        <v>21</v>
      </c>
    </row>
    <row r="4252" spans="1:19" hidden="1" x14ac:dyDescent="0.25">
      <c r="A4252">
        <v>21301127</v>
      </c>
      <c r="B4252" t="s">
        <v>18</v>
      </c>
      <c r="C4252" t="s">
        <v>59</v>
      </c>
      <c r="D4252">
        <v>85</v>
      </c>
      <c r="E4252">
        <v>97</v>
      </c>
      <c r="F4252">
        <v>12</v>
      </c>
      <c r="G4252">
        <v>4</v>
      </c>
      <c r="H4252" s="1">
        <v>2.6157407407407405E-3</v>
      </c>
      <c r="I4252">
        <v>2013</v>
      </c>
      <c r="J4252" t="s">
        <v>20</v>
      </c>
      <c r="K4252" s="2" t="str">
        <f>HYPERLINK("https://www.nba.com/stats/events?CFID=&amp;CFPARAMS=&amp;GameEventID=477&amp;GameID=0021301127&amp;Season=2013-14&amp;flag=1&amp;title=Leonard%206'%20Floating%20Jump%20Shot%20(13%20PTS)", "Leonard 6' Floating Jump Shot (13 PTS)")</f>
        <v>Leonard 6' Floating Jump Shot (13 PTS)</v>
      </c>
      <c r="L4252" s="2" t="str">
        <f>HYPERLINK("https://www.nba.com/game/...-vs-...-0021301127/play-by-play?watchFullGame=true", "SAS vs OKC - Q4 03:46.00")</f>
        <v>SAS vs OKC - Q4 03:46.00</v>
      </c>
      <c r="M4252">
        <v>6</v>
      </c>
      <c r="N4252">
        <v>42</v>
      </c>
      <c r="O4252">
        <v>42</v>
      </c>
      <c r="P4252">
        <v>42</v>
      </c>
      <c r="Q4252">
        <v>42</v>
      </c>
      <c r="R4252" t="s">
        <v>21</v>
      </c>
      <c r="S4252" t="s">
        <v>21</v>
      </c>
    </row>
    <row r="4253" spans="1:19" hidden="1" x14ac:dyDescent="0.25">
      <c r="A4253">
        <v>21300363</v>
      </c>
      <c r="B4253" t="s">
        <v>18</v>
      </c>
      <c r="C4253" t="s">
        <v>47</v>
      </c>
      <c r="D4253">
        <v>66</v>
      </c>
      <c r="E4253">
        <v>71</v>
      </c>
      <c r="F4253">
        <v>5</v>
      </c>
      <c r="G4253">
        <v>3</v>
      </c>
      <c r="H4253" s="1">
        <v>2.6967592592592594E-3</v>
      </c>
      <c r="I4253">
        <v>2013</v>
      </c>
      <c r="J4253" t="s">
        <v>20</v>
      </c>
      <c r="K4253" s="2" t="str">
        <f>HYPERLINK("https://www.nba.com/stats/events?CFID=&amp;CFPARAMS=&amp;GameEventID=352&amp;GameID=0021300363&amp;Season=2013-14&amp;flag=1&amp;title=Leonard%206'%20Hook%20Shot%20(10%20PTS)", "Leonard 6' Hook Shot (10 PTS)")</f>
        <v>Leonard 6' Hook Shot (10 PTS)</v>
      </c>
      <c r="L4253" s="2" t="str">
        <f>HYPERLINK("https://www.nba.com/game/...-vs-...-0021300363/play-by-play?watchFullGame=true", "SAS vs LAC - Q3 03:53.00")</f>
        <v>SAS vs LAC - Q3 03:53.00</v>
      </c>
      <c r="M4253">
        <v>6</v>
      </c>
      <c r="N4253">
        <v>-56</v>
      </c>
      <c r="O4253">
        <v>31</v>
      </c>
      <c r="P4253">
        <v>-56</v>
      </c>
      <c r="Q4253">
        <v>31</v>
      </c>
      <c r="R4253" t="s">
        <v>21</v>
      </c>
      <c r="S4253" t="s">
        <v>21</v>
      </c>
    </row>
    <row r="4254" spans="1:19" hidden="1" x14ac:dyDescent="0.25">
      <c r="A4254">
        <v>21500013</v>
      </c>
      <c r="B4254" t="s">
        <v>18</v>
      </c>
      <c r="C4254" t="s">
        <v>34</v>
      </c>
      <c r="D4254">
        <v>43</v>
      </c>
      <c r="E4254">
        <v>41</v>
      </c>
      <c r="F4254">
        <v>2</v>
      </c>
      <c r="G4254">
        <v>2</v>
      </c>
      <c r="H4254" s="1">
        <v>2.7314814814814814E-3</v>
      </c>
      <c r="I4254">
        <v>2015</v>
      </c>
      <c r="J4254" t="s">
        <v>20</v>
      </c>
      <c r="K4254" s="2" t="str">
        <f>HYPERLINK("https://www.nba.com/stats/events?CFID=&amp;CFPARAMS=&amp;GameEventID=216&amp;GameID=0021500013&amp;Season=2015-16&amp;flag=1&amp;title=Leonard%206'%20Turnaround%20Jump%20Shot%20(10%20PTS)", "Leonard 6' Turnaround Jump Shot (10 PTS)")</f>
        <v>Leonard 6' Turnaround Jump Shot (10 PTS)</v>
      </c>
      <c r="L4254" s="2" t="str">
        <f>HYPERLINK("https://www.nba.com/game/...-vs-...-0021500013/play-by-play?watchFullGame=true", "SAS vs OKC - Q2 03:56.00")</f>
        <v>SAS vs OKC - Q2 03:56.00</v>
      </c>
      <c r="M4254">
        <v>6</v>
      </c>
      <c r="N4254">
        <v>27</v>
      </c>
      <c r="O4254">
        <v>51</v>
      </c>
      <c r="P4254">
        <v>27</v>
      </c>
      <c r="Q4254">
        <v>51</v>
      </c>
      <c r="R4254" t="s">
        <v>21</v>
      </c>
      <c r="S4254" t="s">
        <v>21</v>
      </c>
    </row>
    <row r="4255" spans="1:19" hidden="1" x14ac:dyDescent="0.25">
      <c r="A4255">
        <v>21400637</v>
      </c>
      <c r="B4255" t="s">
        <v>18</v>
      </c>
      <c r="C4255" t="s">
        <v>47</v>
      </c>
      <c r="D4255">
        <v>33</v>
      </c>
      <c r="E4255">
        <v>37</v>
      </c>
      <c r="F4255">
        <v>4</v>
      </c>
      <c r="G4255">
        <v>2</v>
      </c>
      <c r="H4255" s="1">
        <v>2.8819444444444444E-3</v>
      </c>
      <c r="I4255">
        <v>2014</v>
      </c>
      <c r="J4255" t="s">
        <v>20</v>
      </c>
      <c r="K4255" s="2" t="str">
        <f>HYPERLINK("https://www.nba.com/stats/events?CFID=&amp;CFPARAMS=&amp;GameEventID=197&amp;GameID=0021400637&amp;Season=2014-15&amp;flag=1&amp;title=Leonard%206'%20Hook%20Shot%20(9%20PTS)", "Leonard 6' Hook Shot (9 PTS)")</f>
        <v>Leonard 6' Hook Shot (9 PTS)</v>
      </c>
      <c r="L4255" s="2" t="str">
        <f>HYPERLINK("https://www.nba.com/game/...-vs-...-0021400637/play-by-play?watchFullGame=true", "SAS vs CHI - Q2 04:09.00")</f>
        <v>SAS vs CHI - Q2 04:09.00</v>
      </c>
      <c r="M4255">
        <v>6</v>
      </c>
      <c r="N4255">
        <v>-7</v>
      </c>
      <c r="O4255">
        <v>61</v>
      </c>
      <c r="P4255">
        <v>-7</v>
      </c>
      <c r="Q4255">
        <v>61</v>
      </c>
      <c r="R4255" t="s">
        <v>21</v>
      </c>
      <c r="S4255" t="s">
        <v>21</v>
      </c>
    </row>
    <row r="4256" spans="1:19" hidden="1" x14ac:dyDescent="0.25">
      <c r="A4256">
        <v>21500713</v>
      </c>
      <c r="B4256" t="s">
        <v>18</v>
      </c>
      <c r="C4256" t="s">
        <v>34</v>
      </c>
      <c r="D4256">
        <v>66</v>
      </c>
      <c r="E4256">
        <v>76</v>
      </c>
      <c r="F4256">
        <v>10</v>
      </c>
      <c r="G4256">
        <v>3</v>
      </c>
      <c r="H4256" s="1">
        <v>3.1134259259259257E-3</v>
      </c>
      <c r="I4256">
        <v>2015</v>
      </c>
      <c r="J4256" t="s">
        <v>20</v>
      </c>
      <c r="K4256" s="2" t="str">
        <f>HYPERLINK("https://www.nba.com/stats/events?CFID=&amp;CFPARAMS=&amp;GameEventID=347&amp;GameID=0021500713&amp;Season=2015-16&amp;flag=1&amp;title=Leonard%206'%20Turnaround%20Jump%20Shot%20(15%20PTS)", "Leonard 6' Turnaround Jump Shot (15 PTS)")</f>
        <v>Leonard 6' Turnaround Jump Shot (15 PTS)</v>
      </c>
      <c r="L4256" s="2" t="str">
        <f>HYPERLINK("https://www.nba.com/game/...-vs-...-0021500713/play-by-play?watchFullGame=true", "SAS vs CLE - Q3 04:29.00")</f>
        <v>SAS vs CLE - Q3 04:29.00</v>
      </c>
      <c r="M4256">
        <v>6</v>
      </c>
      <c r="N4256">
        <v>12</v>
      </c>
      <c r="O4256">
        <v>62</v>
      </c>
      <c r="P4256">
        <v>12</v>
      </c>
      <c r="Q4256">
        <v>62</v>
      </c>
      <c r="R4256" t="s">
        <v>21</v>
      </c>
      <c r="S4256" t="s">
        <v>21</v>
      </c>
    </row>
    <row r="4257" spans="1:19" hidden="1" x14ac:dyDescent="0.25">
      <c r="A4257">
        <v>21601118</v>
      </c>
      <c r="B4257" t="s">
        <v>18</v>
      </c>
      <c r="C4257" t="s">
        <v>29</v>
      </c>
      <c r="D4257">
        <v>67</v>
      </c>
      <c r="E4257">
        <v>72</v>
      </c>
      <c r="F4257">
        <v>5</v>
      </c>
      <c r="G4257">
        <v>3</v>
      </c>
      <c r="H4257" s="1">
        <v>3.3680555555555556E-3</v>
      </c>
      <c r="I4257">
        <v>2016</v>
      </c>
      <c r="J4257" t="s">
        <v>20</v>
      </c>
      <c r="K4257" s="2" t="str">
        <f>HYPERLINK("https://www.nba.com/stats/events?CFID=&amp;CFPARAMS=&amp;GameEventID=349&amp;GameID=0021601118&amp;Season=2016-17&amp;flag=1&amp;title=Leonard%206'%20Jump%20Bank%20Shot%20(14%20PTS)", "Leonard 6' Jump Bank Shot (14 PTS)")</f>
        <v>Leonard 6' Jump Bank Shot (14 PTS)</v>
      </c>
      <c r="L4257" s="2" t="str">
        <f>HYPERLINK("https://www.nba.com/game/...-vs-...-0021601118/play-by-play?watchFullGame=true", "SAS vs GSW - Q3 04:51.00")</f>
        <v>SAS vs GSW - Q3 04:51.00</v>
      </c>
      <c r="M4257">
        <v>6</v>
      </c>
      <c r="N4257">
        <v>53</v>
      </c>
      <c r="O4257">
        <v>28</v>
      </c>
      <c r="P4257">
        <v>53</v>
      </c>
      <c r="Q4257">
        <v>28</v>
      </c>
      <c r="R4257" t="s">
        <v>21</v>
      </c>
      <c r="S4257" t="s">
        <v>21</v>
      </c>
    </row>
    <row r="4258" spans="1:19" hidden="1" x14ac:dyDescent="0.25">
      <c r="A4258">
        <v>21600114</v>
      </c>
      <c r="B4258" t="s">
        <v>18</v>
      </c>
      <c r="C4258" t="s">
        <v>59</v>
      </c>
      <c r="D4258">
        <v>44</v>
      </c>
      <c r="E4258">
        <v>47</v>
      </c>
      <c r="F4258">
        <v>3</v>
      </c>
      <c r="G4258">
        <v>2</v>
      </c>
      <c r="H4258" s="1">
        <v>3.460648148148148E-3</v>
      </c>
      <c r="I4258">
        <v>2016</v>
      </c>
      <c r="J4258" t="s">
        <v>20</v>
      </c>
      <c r="K4258" s="2" t="str">
        <f>HYPERLINK("https://www.nba.com/stats/events?CFID=&amp;CFPARAMS=&amp;GameEventID=225&amp;GameID=0021600114&amp;Season=2016-17&amp;flag=1&amp;title=Leonard%206'%20Floating%20Jump%20Shot%20(12%20PTS)%20(Aldridge%202%20AST)", "Leonard 6' Floating Jump Shot (12 PTS) (Aldridge 2 AST)")</f>
        <v>Leonard 6' Floating Jump Shot (12 PTS) (Aldridge 2 AST)</v>
      </c>
      <c r="L4258" s="2" t="str">
        <f>HYPERLINK("https://www.nba.com/game/...-vs-...-0021600114/play-by-play?watchFullGame=true", "SAS vs HOU - Q2 04:59.00")</f>
        <v>SAS vs HOU - Q2 04:59.00</v>
      </c>
      <c r="M4258">
        <v>6</v>
      </c>
      <c r="N4258">
        <v>9</v>
      </c>
      <c r="O4258">
        <v>56</v>
      </c>
      <c r="P4258">
        <v>9</v>
      </c>
      <c r="Q4258">
        <v>56</v>
      </c>
      <c r="R4258" t="s">
        <v>21</v>
      </c>
      <c r="S4258" t="s">
        <v>21</v>
      </c>
    </row>
    <row r="4259" spans="1:19" hidden="1" x14ac:dyDescent="0.25">
      <c r="A4259">
        <v>21800470</v>
      </c>
      <c r="B4259" t="s">
        <v>18</v>
      </c>
      <c r="C4259" t="s">
        <v>22</v>
      </c>
      <c r="D4259">
        <v>108</v>
      </c>
      <c r="E4259">
        <v>101</v>
      </c>
      <c r="F4259">
        <v>7</v>
      </c>
      <c r="G4259">
        <v>4</v>
      </c>
      <c r="H4259" s="1">
        <v>3.472222222222222E-3</v>
      </c>
      <c r="I4259">
        <v>2018</v>
      </c>
      <c r="J4259" t="s">
        <v>48</v>
      </c>
      <c r="K4259" s="2" t="str">
        <f>HYPERLINK("https://www.nba.com/stats/events?CFID=&amp;CFPARAMS=&amp;GameEventID=558&amp;GameID=0021800470&amp;Season=2018-19&amp;flag=1&amp;title=Leonard%206'%20Driving%20Layup%20(32%20PTS)", "Leonard 6' Driving Layup (32 PTS)")</f>
        <v>Leonard 6' Driving Layup (32 PTS)</v>
      </c>
      <c r="L4259" s="2" t="str">
        <f>HYPERLINK("https://www.nba.com/game/...-vs-...-0021800470/play-by-play?watchFullGame=true", "TOR vs CLE - Q4 05:00.00")</f>
        <v>TOR vs CLE - Q4 05:00.00</v>
      </c>
      <c r="M4259">
        <v>6</v>
      </c>
      <c r="N4259">
        <v>4</v>
      </c>
      <c r="O4259">
        <v>64</v>
      </c>
      <c r="P4259">
        <v>4</v>
      </c>
      <c r="Q4259">
        <v>64</v>
      </c>
      <c r="R4259" t="s">
        <v>21</v>
      </c>
      <c r="S4259" t="s">
        <v>21</v>
      </c>
    </row>
    <row r="4260" spans="1:19" hidden="1" x14ac:dyDescent="0.25">
      <c r="A4260">
        <v>41500234</v>
      </c>
      <c r="B4260" t="s">
        <v>18</v>
      </c>
      <c r="C4260" t="s">
        <v>36</v>
      </c>
      <c r="D4260">
        <v>67</v>
      </c>
      <c r="E4260">
        <v>62</v>
      </c>
      <c r="F4260">
        <v>5</v>
      </c>
      <c r="G4260">
        <v>3</v>
      </c>
      <c r="H4260" s="1">
        <v>3.5069444444444445E-3</v>
      </c>
      <c r="I4260" t="s">
        <v>57</v>
      </c>
      <c r="J4260" t="s">
        <v>20</v>
      </c>
      <c r="K4260" s="2" t="str">
        <f>HYPERLINK("https://www.nba.com/stats/events?CFID=&amp;CFPARAMS=&amp;GameEventID=335&amp;GameID=0041500234&amp;Season=2015-16&amp;flag=1&amp;title=Leonard%206'%20Pullup%20Jump%20Shot%20(19%20PTS)", "Leonard 6' Pullup Jump Shot (19 PTS)")</f>
        <v>Leonard 6' Pullup Jump Shot (19 PTS)</v>
      </c>
      <c r="L4260" s="2" t="str">
        <f>HYPERLINK("https://www.nba.com/game/...-vs-...-0041500234/play-by-play?watchFullGame=true", "SAS vs OKC - Q3 05:03.00")</f>
        <v>SAS vs OKC - Q3 05:03.00</v>
      </c>
      <c r="M4260">
        <v>6</v>
      </c>
      <c r="N4260">
        <v>6</v>
      </c>
      <c r="O4260">
        <v>61</v>
      </c>
      <c r="P4260">
        <v>6</v>
      </c>
      <c r="Q4260">
        <v>61</v>
      </c>
      <c r="R4260" t="s">
        <v>21</v>
      </c>
      <c r="S4260" t="s">
        <v>21</v>
      </c>
    </row>
    <row r="4261" spans="1:19" hidden="1" x14ac:dyDescent="0.25">
      <c r="A4261">
        <v>21401084</v>
      </c>
      <c r="B4261" t="s">
        <v>18</v>
      </c>
      <c r="C4261" t="s">
        <v>54</v>
      </c>
      <c r="D4261">
        <v>48</v>
      </c>
      <c r="E4261">
        <v>31</v>
      </c>
      <c r="F4261">
        <v>17</v>
      </c>
      <c r="G4261">
        <v>2</v>
      </c>
      <c r="H4261" s="1">
        <v>3.5532407407407409E-3</v>
      </c>
      <c r="I4261">
        <v>2014</v>
      </c>
      <c r="J4261" t="s">
        <v>20</v>
      </c>
      <c r="K4261" s="2" t="str">
        <f>HYPERLINK("https://www.nba.com/stats/events?CFID=&amp;CFPARAMS=&amp;GameEventID=188&amp;GameID=0021401084&amp;Season=2014-15&amp;flag=1&amp;title=Leonard%206'%20Driving%20Jump%20Shot%20(9%20PTS)%20(Parker%202%20AST)", "Leonard 6' Driving Jump Shot (9 PTS) (Parker 2 AST)")</f>
        <v>Leonard 6' Driving Jump Shot (9 PTS) (Parker 2 AST)</v>
      </c>
      <c r="L4261" s="2" t="str">
        <f>HYPERLINK("https://www.nba.com/game/...-vs-...-0021401084/play-by-play?watchFullGame=true", "SAS vs DAL - Q2 05:07.00")</f>
        <v>SAS vs DAL - Q2 05:07.00</v>
      </c>
      <c r="M4261">
        <v>6</v>
      </c>
      <c r="N4261">
        <v>-11</v>
      </c>
      <c r="O4261">
        <v>60</v>
      </c>
      <c r="P4261">
        <v>-11</v>
      </c>
      <c r="Q4261">
        <v>60</v>
      </c>
      <c r="R4261" t="s">
        <v>21</v>
      </c>
      <c r="S4261" t="s">
        <v>21</v>
      </c>
    </row>
    <row r="4262" spans="1:19" hidden="1" x14ac:dyDescent="0.25">
      <c r="A4262">
        <v>21400177</v>
      </c>
      <c r="B4262" t="s">
        <v>18</v>
      </c>
      <c r="C4262" t="s">
        <v>43</v>
      </c>
      <c r="D4262">
        <v>49</v>
      </c>
      <c r="E4262">
        <v>37</v>
      </c>
      <c r="F4262">
        <v>12</v>
      </c>
      <c r="G4262">
        <v>2</v>
      </c>
      <c r="H4262" s="1">
        <v>3.5532407407407409E-3</v>
      </c>
      <c r="I4262">
        <v>2014</v>
      </c>
      <c r="J4262" t="s">
        <v>20</v>
      </c>
      <c r="K4262" s="2" t="str">
        <f>HYPERLINK("https://www.nba.com/stats/events?CFID=&amp;CFPARAMS=&amp;GameEventID=193&amp;GameID=0021400177&amp;Season=2014-15&amp;flag=1&amp;title=Leonard%206'%20Driving%20Bank%20Shot%20(6%20PTS)", "Leonard 6' Driving Bank Shot (6 PTS)")</f>
        <v>Leonard 6' Driving Bank Shot (6 PTS)</v>
      </c>
      <c r="L4262" s="2" t="str">
        <f>HYPERLINK("https://www.nba.com/game/...-vs-...-0021400177/play-by-play?watchFullGame=true", "SAS vs MIN - Q2 05:07.00")</f>
        <v>SAS vs MIN - Q2 05:07.00</v>
      </c>
      <c r="M4262">
        <v>6</v>
      </c>
      <c r="N4262">
        <v>59</v>
      </c>
      <c r="O4262">
        <v>15</v>
      </c>
      <c r="P4262">
        <v>59</v>
      </c>
      <c r="Q4262">
        <v>15</v>
      </c>
      <c r="R4262" t="s">
        <v>21</v>
      </c>
      <c r="S4262" t="s">
        <v>21</v>
      </c>
    </row>
    <row r="4263" spans="1:19" hidden="1" x14ac:dyDescent="0.25">
      <c r="A4263">
        <v>21600917</v>
      </c>
      <c r="B4263" t="s">
        <v>18</v>
      </c>
      <c r="C4263" t="s">
        <v>59</v>
      </c>
      <c r="D4263">
        <v>36</v>
      </c>
      <c r="E4263">
        <v>40</v>
      </c>
      <c r="F4263">
        <v>4</v>
      </c>
      <c r="G4263">
        <v>2</v>
      </c>
      <c r="H4263" s="1">
        <v>3.6805555555555554E-3</v>
      </c>
      <c r="I4263">
        <v>2016</v>
      </c>
      <c r="J4263" t="s">
        <v>20</v>
      </c>
      <c r="K4263" s="2" t="str">
        <f>HYPERLINK("https://www.nba.com/stats/events?CFID=&amp;CFPARAMS=&amp;GameEventID=189&amp;GameID=0021600917&amp;Season=2016-17&amp;flag=1&amp;title=Leonard%206'%20Floating%20Jump%20Shot%20(16%20PTS)", "Leonard 6' Floating Jump Shot (16 PTS)")</f>
        <v>Leonard 6' Floating Jump Shot (16 PTS)</v>
      </c>
      <c r="L4263" s="2" t="str">
        <f>HYPERLINK("https://www.nba.com/game/...-vs-...-0021600917/play-by-play?watchFullGame=true", "SAS vs NOP - Q2 05:18.00")</f>
        <v>SAS vs NOP - Q2 05:18.00</v>
      </c>
      <c r="M4263">
        <v>6</v>
      </c>
      <c r="N4263">
        <v>-7</v>
      </c>
      <c r="O4263">
        <v>61</v>
      </c>
      <c r="P4263">
        <v>-7</v>
      </c>
      <c r="Q4263">
        <v>61</v>
      </c>
      <c r="R4263" t="s">
        <v>21</v>
      </c>
      <c r="S4263" t="s">
        <v>21</v>
      </c>
    </row>
    <row r="4264" spans="1:19" hidden="1" x14ac:dyDescent="0.25">
      <c r="A4264">
        <v>41600232</v>
      </c>
      <c r="B4264" t="s">
        <v>18</v>
      </c>
      <c r="C4264" t="s">
        <v>36</v>
      </c>
      <c r="D4264">
        <v>80</v>
      </c>
      <c r="E4264">
        <v>72</v>
      </c>
      <c r="F4264">
        <v>8</v>
      </c>
      <c r="G4264">
        <v>3</v>
      </c>
      <c r="H4264" s="1">
        <v>3.8773148148148148E-3</v>
      </c>
      <c r="I4264" t="s">
        <v>58</v>
      </c>
      <c r="J4264" t="s">
        <v>20</v>
      </c>
      <c r="K4264" s="2" t="str">
        <f>HYPERLINK("https://www.nba.com/stats/events?CFID=&amp;CFPARAMS=&amp;GameEventID=276&amp;GameID=0041600232&amp;Season=2016-17&amp;flag=1&amp;title=Leonard%206'%20Pullup%20Jump%20Shot%20(24%20PTS)", "Leonard 6' Pullup Jump Shot (24 PTS)")</f>
        <v>Leonard 6' Pullup Jump Shot (24 PTS)</v>
      </c>
      <c r="L4264" s="2" t="str">
        <f>HYPERLINK("https://www.nba.com/game/...-vs-...-0041600232/play-by-play?watchFullGame=true", "SAS vs HOU - Q3 05:35.00")</f>
        <v>SAS vs HOU - Q3 05:35.00</v>
      </c>
      <c r="M4264">
        <v>6</v>
      </c>
      <c r="N4264">
        <v>12</v>
      </c>
      <c r="O4264">
        <v>61</v>
      </c>
      <c r="P4264">
        <v>12</v>
      </c>
      <c r="Q4264">
        <v>61</v>
      </c>
      <c r="R4264" t="s">
        <v>21</v>
      </c>
      <c r="S4264" t="s">
        <v>21</v>
      </c>
    </row>
    <row r="4265" spans="1:19" hidden="1" x14ac:dyDescent="0.25">
      <c r="A4265">
        <v>21600319</v>
      </c>
      <c r="B4265" t="s">
        <v>18</v>
      </c>
      <c r="C4265" t="s">
        <v>19</v>
      </c>
      <c r="D4265">
        <v>34</v>
      </c>
      <c r="E4265">
        <v>38</v>
      </c>
      <c r="F4265">
        <v>4</v>
      </c>
      <c r="G4265">
        <v>2</v>
      </c>
      <c r="H4265" s="1">
        <v>4.2476851851851851E-3</v>
      </c>
      <c r="I4265">
        <v>2016</v>
      </c>
      <c r="J4265" t="s">
        <v>20</v>
      </c>
      <c r="K4265" s="2" t="str">
        <f>HYPERLINK("https://www.nba.com/stats/events?CFID=&amp;CFPARAMS=&amp;GameEventID=163&amp;GameID=0021600319&amp;Season=2016-17&amp;flag=1&amp;title=Leonard%206'%20Jump%20Shot%20(8%20PTS)", "Leonard 6' Jump Shot (8 PTS)")</f>
        <v>Leonard 6' Jump Shot (8 PTS)</v>
      </c>
      <c r="L4265" s="2" t="str">
        <f>HYPERLINK("https://www.nba.com/game/...-vs-...-0021600319/play-by-play?watchFullGame=true", "SAS vs MIN - Q2 06:07.00")</f>
        <v>SAS vs MIN - Q2 06:07.00</v>
      </c>
      <c r="M4265">
        <v>6</v>
      </c>
      <c r="N4265">
        <v>60</v>
      </c>
      <c r="O4265">
        <v>23</v>
      </c>
      <c r="P4265">
        <v>60</v>
      </c>
      <c r="Q4265">
        <v>23</v>
      </c>
      <c r="R4265" t="s">
        <v>21</v>
      </c>
      <c r="S4265" t="s">
        <v>21</v>
      </c>
    </row>
    <row r="4266" spans="1:19" hidden="1" x14ac:dyDescent="0.25">
      <c r="A4266">
        <v>21400836</v>
      </c>
      <c r="B4266" t="s">
        <v>18</v>
      </c>
      <c r="C4266" t="s">
        <v>54</v>
      </c>
      <c r="D4266">
        <v>51</v>
      </c>
      <c r="E4266">
        <v>60</v>
      </c>
      <c r="F4266">
        <v>9</v>
      </c>
      <c r="G4266">
        <v>3</v>
      </c>
      <c r="H4266" s="1">
        <v>4.2592592592592595E-3</v>
      </c>
      <c r="I4266">
        <v>2014</v>
      </c>
      <c r="J4266" t="s">
        <v>20</v>
      </c>
      <c r="K4266" s="2" t="str">
        <f>HYPERLINK("https://www.nba.com/stats/events?CFID=&amp;CFPARAMS=&amp;GameEventID=313&amp;GameID=0021400836&amp;Season=2014-15&amp;flag=1&amp;title=Leonard%206'%20Driving%20Jump%20Shot%20(7%20PTS)", "Leonard 6' Driving Jump Shot (7 PTS)")</f>
        <v>Leonard 6' Driving Jump Shot (7 PTS)</v>
      </c>
      <c r="L4266" s="2" t="str">
        <f>HYPERLINK("https://www.nba.com/game/...-vs-...-0021400836/play-by-play?watchFullGame=true", "SAS vs UTA - Q3 06:08.00")</f>
        <v>SAS vs UTA - Q3 06:08.00</v>
      </c>
      <c r="M4266">
        <v>6</v>
      </c>
      <c r="N4266">
        <v>40</v>
      </c>
      <c r="O4266">
        <v>39</v>
      </c>
      <c r="P4266">
        <v>40</v>
      </c>
      <c r="Q4266">
        <v>39</v>
      </c>
      <c r="R4266" t="s">
        <v>21</v>
      </c>
      <c r="S4266" t="s">
        <v>21</v>
      </c>
    </row>
    <row r="4267" spans="1:19" hidden="1" x14ac:dyDescent="0.25">
      <c r="A4267">
        <v>21600383</v>
      </c>
      <c r="B4267" t="s">
        <v>18</v>
      </c>
      <c r="C4267" t="s">
        <v>31</v>
      </c>
      <c r="D4267">
        <v>94</v>
      </c>
      <c r="E4267">
        <v>85</v>
      </c>
      <c r="F4267">
        <v>9</v>
      </c>
      <c r="G4267">
        <v>4</v>
      </c>
      <c r="H4267" s="1">
        <v>4.5023148148148149E-3</v>
      </c>
      <c r="I4267">
        <v>2016</v>
      </c>
      <c r="J4267" t="s">
        <v>20</v>
      </c>
      <c r="K4267" s="2" t="str">
        <f>HYPERLINK("https://www.nba.com/stats/events?CFID=&amp;CFPARAMS=&amp;GameEventID=420&amp;GameID=0021600383&amp;Season=2016-17&amp;flag=1&amp;title=Leonard%206'%20Driving%20Hook%20Shot%20(22%20PTS)", "Leonard 6' Driving Hook Shot (22 PTS)")</f>
        <v>Leonard 6' Driving Hook Shot (22 PTS)</v>
      </c>
      <c r="L4267" s="2" t="str">
        <f>HYPERLINK("https://www.nba.com/game/...-vs-...-0021600383/play-by-play?watchFullGame=true", "SAS vs BOS - Q4 06:29.00")</f>
        <v>SAS vs BOS - Q4 06:29.00</v>
      </c>
      <c r="M4267">
        <v>6</v>
      </c>
      <c r="N4267">
        <v>45</v>
      </c>
      <c r="O4267">
        <v>43</v>
      </c>
      <c r="P4267">
        <v>45</v>
      </c>
      <c r="Q4267">
        <v>43</v>
      </c>
      <c r="R4267" t="s">
        <v>21</v>
      </c>
      <c r="S4267" t="s">
        <v>21</v>
      </c>
    </row>
    <row r="4268" spans="1:19" hidden="1" x14ac:dyDescent="0.25">
      <c r="A4268">
        <v>21300032</v>
      </c>
      <c r="B4268" t="s">
        <v>18</v>
      </c>
      <c r="C4268" t="s">
        <v>30</v>
      </c>
      <c r="D4268">
        <v>27</v>
      </c>
      <c r="E4268">
        <v>35</v>
      </c>
      <c r="F4268">
        <v>8</v>
      </c>
      <c r="G4268">
        <v>2</v>
      </c>
      <c r="H4268" s="1">
        <v>4.5833333333333334E-3</v>
      </c>
      <c r="I4268">
        <v>2013</v>
      </c>
      <c r="J4268" t="s">
        <v>20</v>
      </c>
      <c r="K4268" s="2" t="str">
        <f>HYPERLINK("https://www.nba.com/stats/events?CFID=&amp;CFPARAMS=&amp;GameEventID=195&amp;GameID=0021300032&amp;Season=2013-14&amp;flag=1&amp;title=Leonard%206'%20Running%20Jump%20Shot%20(6%20PTS)", "Leonard 6' Running Jump Shot (6 PTS)")</f>
        <v>Leonard 6' Running Jump Shot (6 PTS)</v>
      </c>
      <c r="L4268" s="2" t="str">
        <f>HYPERLINK("https://www.nba.com/game/...-vs-...-0021300032/play-by-play?watchFullGame=true", "SAS vs LAL - Q2 06:36.00")</f>
        <v>SAS vs LAL - Q2 06:36.00</v>
      </c>
      <c r="M4268">
        <v>6</v>
      </c>
      <c r="N4268">
        <v>2</v>
      </c>
      <c r="O4268">
        <v>63</v>
      </c>
      <c r="P4268">
        <v>2</v>
      </c>
      <c r="Q4268">
        <v>63</v>
      </c>
      <c r="R4268" t="s">
        <v>21</v>
      </c>
      <c r="S4268" t="s">
        <v>21</v>
      </c>
    </row>
    <row r="4269" spans="1:19" hidden="1" x14ac:dyDescent="0.25">
      <c r="A4269">
        <v>41200311</v>
      </c>
      <c r="B4269" t="s">
        <v>18</v>
      </c>
      <c r="C4269" t="s">
        <v>19</v>
      </c>
      <c r="D4269">
        <v>39</v>
      </c>
      <c r="E4269">
        <v>23</v>
      </c>
      <c r="F4269">
        <v>16</v>
      </c>
      <c r="G4269">
        <v>2</v>
      </c>
      <c r="H4269" s="1">
        <v>4.8032407407407407E-3</v>
      </c>
      <c r="I4269" t="s">
        <v>53</v>
      </c>
      <c r="J4269" t="s">
        <v>20</v>
      </c>
      <c r="K4269" s="2" t="str">
        <f>HYPERLINK("https://www.nba.com/stats/events?CFID=&amp;CFPARAMS=&amp;GameEventID=145&amp;GameID=0041200311&amp;Season=2012-13&amp;flag=1&amp;title=Leonard%206'%20Jump%20Shot%20(5%20PTS)%20(Parker%204%20AST)", "Leonard 6' Jump Shot (5 PTS) (Parker 4 AST)")</f>
        <v>Leonard 6' Jump Shot (5 PTS) (Parker 4 AST)</v>
      </c>
      <c r="L4269" s="2" t="str">
        <f>HYPERLINK("https://www.nba.com/game/...-vs-...-0041200311/play-by-play?watchFullGame=true", "SAS vs MEM - Q2 06:55.00")</f>
        <v>SAS vs MEM - Q2 06:55.00</v>
      </c>
      <c r="M4269">
        <v>6</v>
      </c>
      <c r="N4269">
        <v>-34</v>
      </c>
      <c r="O4269">
        <v>55</v>
      </c>
      <c r="P4269">
        <v>-34</v>
      </c>
      <c r="Q4269">
        <v>55</v>
      </c>
      <c r="R4269" t="s">
        <v>21</v>
      </c>
      <c r="S4269" t="s">
        <v>21</v>
      </c>
    </row>
    <row r="4270" spans="1:19" hidden="1" x14ac:dyDescent="0.25">
      <c r="A4270">
        <v>21800470</v>
      </c>
      <c r="B4270" t="s">
        <v>18</v>
      </c>
      <c r="C4270" t="s">
        <v>47</v>
      </c>
      <c r="D4270">
        <v>75</v>
      </c>
      <c r="E4270">
        <v>66</v>
      </c>
      <c r="F4270">
        <v>9</v>
      </c>
      <c r="G4270">
        <v>3</v>
      </c>
      <c r="H4270" s="1">
        <v>4.9537037037037041E-3</v>
      </c>
      <c r="I4270">
        <v>2018</v>
      </c>
      <c r="J4270" t="s">
        <v>48</v>
      </c>
      <c r="K4270" s="2" t="str">
        <f>HYPERLINK("https://www.nba.com/stats/events?CFID=&amp;CFPARAMS=&amp;GameEventID=373&amp;GameID=0021800470&amp;Season=2018-19&amp;flag=1&amp;title=Leonard%206'%20Hook%20Shot%20(27%20PTS)%20(Siakam%202%20AST)", "Leonard 6' Hook Shot (27 PTS) (Siakam 2 AST)")</f>
        <v>Leonard 6' Hook Shot (27 PTS) (Siakam 2 AST)</v>
      </c>
      <c r="L4270" s="2" t="str">
        <f>HYPERLINK("https://www.nba.com/game/...-vs-...-0021800470/play-by-play?watchFullGame=true", "TOR vs CLE - Q3 07:08.00")</f>
        <v>TOR vs CLE - Q3 07:08.00</v>
      </c>
      <c r="M4270">
        <v>6</v>
      </c>
      <c r="N4270">
        <v>0</v>
      </c>
      <c r="O4270">
        <v>63</v>
      </c>
      <c r="P4270">
        <v>0</v>
      </c>
      <c r="Q4270">
        <v>63</v>
      </c>
      <c r="R4270" t="s">
        <v>21</v>
      </c>
      <c r="S4270" t="s">
        <v>21</v>
      </c>
    </row>
    <row r="4271" spans="1:19" hidden="1" x14ac:dyDescent="0.25">
      <c r="A4271">
        <v>21400853</v>
      </c>
      <c r="B4271" t="s">
        <v>18</v>
      </c>
      <c r="C4271" t="s">
        <v>54</v>
      </c>
      <c r="D4271">
        <v>83</v>
      </c>
      <c r="E4271">
        <v>97</v>
      </c>
      <c r="F4271">
        <v>14</v>
      </c>
      <c r="G4271">
        <v>4</v>
      </c>
      <c r="H4271" s="1">
        <v>4.9884259259259257E-3</v>
      </c>
      <c r="I4271">
        <v>2014</v>
      </c>
      <c r="J4271" t="s">
        <v>20</v>
      </c>
      <c r="K4271" s="2" t="str">
        <f>HYPERLINK("https://www.nba.com/stats/events?CFID=&amp;CFPARAMS=&amp;GameEventID=378&amp;GameID=0021400853&amp;Season=2014-15&amp;flag=1&amp;title=Leonard%206'%20Driving%20Jump%20Shot%20(13%20PTS)", "Leonard 6' Driving Jump Shot (13 PTS)")</f>
        <v>Leonard 6' Driving Jump Shot (13 PTS)</v>
      </c>
      <c r="L4271" s="2" t="str">
        <f>HYPERLINK("https://www.nba.com/game/...-vs-...-0021400853/play-by-play?watchFullGame=true", "SAS vs POR - Q4 07:11.00")</f>
        <v>SAS vs POR - Q4 07:11.00</v>
      </c>
      <c r="M4271">
        <v>6</v>
      </c>
      <c r="N4271">
        <v>58</v>
      </c>
      <c r="O4271">
        <v>6</v>
      </c>
      <c r="P4271">
        <v>58</v>
      </c>
      <c r="Q4271">
        <v>6</v>
      </c>
      <c r="R4271" t="s">
        <v>21</v>
      </c>
      <c r="S4271" t="s">
        <v>21</v>
      </c>
    </row>
    <row r="4272" spans="1:19" hidden="1" x14ac:dyDescent="0.25">
      <c r="A4272">
        <v>21500182</v>
      </c>
      <c r="B4272" t="s">
        <v>18</v>
      </c>
      <c r="C4272" t="s">
        <v>19</v>
      </c>
      <c r="D4272">
        <v>28</v>
      </c>
      <c r="E4272">
        <v>33</v>
      </c>
      <c r="F4272">
        <v>5</v>
      </c>
      <c r="G4272">
        <v>2</v>
      </c>
      <c r="H4272" s="1">
        <v>5.0694444444444441E-3</v>
      </c>
      <c r="I4272">
        <v>2015</v>
      </c>
      <c r="J4272" t="s">
        <v>20</v>
      </c>
      <c r="K4272" s="2" t="str">
        <f>HYPERLINK("https://www.nba.com/stats/events?CFID=&amp;CFPARAMS=&amp;GameEventID=223&amp;GameID=0021500182&amp;Season=2015-16&amp;flag=1&amp;title=Leonard%206'%20Jump%20Shot%20(10%20PTS)", "Leonard 6' Jump Shot (10 PTS)")</f>
        <v>Leonard 6' Jump Shot (10 PTS)</v>
      </c>
      <c r="L4272" s="2" t="str">
        <f>HYPERLINK("https://www.nba.com/game/...-vs-...-0021500182/play-by-play?watchFullGame=true", "SAS vs NOP - Q2 07:18.00")</f>
        <v>SAS vs NOP - Q2 07:18.00</v>
      </c>
      <c r="M4272">
        <v>6</v>
      </c>
      <c r="N4272">
        <v>-43</v>
      </c>
      <c r="O4272">
        <v>38</v>
      </c>
      <c r="P4272">
        <v>-43</v>
      </c>
      <c r="Q4272">
        <v>38</v>
      </c>
      <c r="R4272" t="s">
        <v>21</v>
      </c>
      <c r="S4272" t="s">
        <v>21</v>
      </c>
    </row>
    <row r="4273" spans="1:19" hidden="1" x14ac:dyDescent="0.25">
      <c r="A4273">
        <v>41500235</v>
      </c>
      <c r="B4273" t="s">
        <v>18</v>
      </c>
      <c r="C4273" t="s">
        <v>47</v>
      </c>
      <c r="D4273">
        <v>4</v>
      </c>
      <c r="E4273">
        <v>9</v>
      </c>
      <c r="F4273">
        <v>5</v>
      </c>
      <c r="G4273">
        <v>1</v>
      </c>
      <c r="H4273" s="1">
        <v>5.092592592592593E-3</v>
      </c>
      <c r="I4273" t="s">
        <v>57</v>
      </c>
      <c r="J4273" t="s">
        <v>20</v>
      </c>
      <c r="K4273" s="2" t="str">
        <f>HYPERLINK("https://www.nba.com/stats/events?CFID=&amp;CFPARAMS=&amp;GameEventID=53&amp;GameID=0041500235&amp;Season=2015-16&amp;flag=1&amp;title=Leonard%206'%20Hook%20Shot%20(2%20PTS)", "Leonard 6' Hook Shot (2 PTS)")</f>
        <v>Leonard 6' Hook Shot (2 PTS)</v>
      </c>
      <c r="L4273" s="2" t="str">
        <f>HYPERLINK("https://www.nba.com/game/...-vs-...-0041500235/play-by-play?watchFullGame=true", "SAS vs OKC - Q1 07:20.00")</f>
        <v>SAS vs OKC - Q1 07:20.00</v>
      </c>
      <c r="M4273">
        <v>6</v>
      </c>
      <c r="N4273">
        <v>58</v>
      </c>
      <c r="O4273">
        <v>11</v>
      </c>
      <c r="P4273">
        <v>58</v>
      </c>
      <c r="Q4273">
        <v>11</v>
      </c>
      <c r="R4273" t="s">
        <v>21</v>
      </c>
      <c r="S4273" t="s">
        <v>21</v>
      </c>
    </row>
    <row r="4274" spans="1:19" hidden="1" x14ac:dyDescent="0.25">
      <c r="A4274">
        <v>21600425</v>
      </c>
      <c r="B4274" t="s">
        <v>18</v>
      </c>
      <c r="C4274" t="s">
        <v>19</v>
      </c>
      <c r="D4274">
        <v>8</v>
      </c>
      <c r="E4274">
        <v>8</v>
      </c>
      <c r="F4274">
        <v>0</v>
      </c>
      <c r="G4274">
        <v>1</v>
      </c>
      <c r="H4274" s="1">
        <v>5.1273148148148146E-3</v>
      </c>
      <c r="I4274">
        <v>2016</v>
      </c>
      <c r="J4274" t="s">
        <v>20</v>
      </c>
      <c r="K4274" s="2" t="str">
        <f>HYPERLINK("https://www.nba.com/stats/events?CFID=&amp;CFPARAMS=&amp;GameEventID=37&amp;GameID=0021600425&amp;Season=2016-17&amp;flag=1&amp;title=Leonard%206'%20Jump%20Shot%20(2%20PTS)", "Leonard 6' Jump Shot (2 PTS)")</f>
        <v>Leonard 6' Jump Shot (2 PTS)</v>
      </c>
      <c r="L4274" s="2" t="str">
        <f>HYPERLINK("https://www.nba.com/game/...-vs-...-0021600425/play-by-play?watchFullGame=true", "SAS vs HOU - Q1 07:23.00")</f>
        <v>SAS vs HOU - Q1 07:23.00</v>
      </c>
      <c r="M4274">
        <v>6</v>
      </c>
      <c r="N4274">
        <v>-4</v>
      </c>
      <c r="O4274">
        <v>56</v>
      </c>
      <c r="P4274">
        <v>-4</v>
      </c>
      <c r="Q4274">
        <v>56</v>
      </c>
      <c r="R4274" t="s">
        <v>21</v>
      </c>
      <c r="S4274" t="s">
        <v>21</v>
      </c>
    </row>
    <row r="4275" spans="1:19" hidden="1" x14ac:dyDescent="0.25">
      <c r="A4275">
        <v>41600155</v>
      </c>
      <c r="B4275" t="s">
        <v>18</v>
      </c>
      <c r="C4275" t="s">
        <v>59</v>
      </c>
      <c r="D4275">
        <v>67</v>
      </c>
      <c r="E4275">
        <v>55</v>
      </c>
      <c r="F4275">
        <v>12</v>
      </c>
      <c r="G4275">
        <v>3</v>
      </c>
      <c r="H4275" s="1">
        <v>5.1504629629629626E-3</v>
      </c>
      <c r="I4275" t="s">
        <v>58</v>
      </c>
      <c r="J4275" t="s">
        <v>20</v>
      </c>
      <c r="K4275" s="2" t="str">
        <f>HYPERLINK("https://www.nba.com/stats/events?CFID=&amp;CFPARAMS=&amp;GameEventID=282&amp;GameID=0041600155&amp;Season=2016-17&amp;flag=1&amp;title=Leonard%206'%20Floating%20Jump%20Shot%20(14%20PTS)", "Leonard 6' Floating Jump Shot (14 PTS)")</f>
        <v>Leonard 6' Floating Jump Shot (14 PTS)</v>
      </c>
      <c r="L4275" s="2" t="str">
        <f>HYPERLINK("https://www.nba.com/game/...-vs-...-0041600155/play-by-play?watchFullGame=true", "SAS vs MEM - Q3 07:25.00")</f>
        <v>SAS vs MEM - Q3 07:25.00</v>
      </c>
      <c r="M4275">
        <v>6</v>
      </c>
      <c r="N4275">
        <v>-24</v>
      </c>
      <c r="O4275">
        <v>51</v>
      </c>
      <c r="P4275">
        <v>-24</v>
      </c>
      <c r="Q4275">
        <v>51</v>
      </c>
      <c r="R4275" t="s">
        <v>21</v>
      </c>
      <c r="S4275" t="s">
        <v>21</v>
      </c>
    </row>
    <row r="4276" spans="1:19" hidden="1" x14ac:dyDescent="0.25">
      <c r="A4276">
        <v>21500784</v>
      </c>
      <c r="B4276" t="s">
        <v>18</v>
      </c>
      <c r="C4276" t="s">
        <v>47</v>
      </c>
      <c r="D4276">
        <v>100</v>
      </c>
      <c r="E4276">
        <v>84</v>
      </c>
      <c r="F4276">
        <v>16</v>
      </c>
      <c r="G4276">
        <v>4</v>
      </c>
      <c r="H4276" s="1">
        <v>5.3125000000000004E-3</v>
      </c>
      <c r="I4276">
        <v>2015</v>
      </c>
      <c r="J4276" t="s">
        <v>20</v>
      </c>
      <c r="K4276" s="2" t="str">
        <f>HYPERLINK("https://www.nba.com/stats/events?CFID=&amp;CFPARAMS=&amp;GameEventID=442&amp;GameID=0021500784&amp;Season=2015-16&amp;flag=1&amp;title=Leonard%206'%20Hook%20Shot%20(21%20PTS)", "Leonard 6' Hook Shot (21 PTS)")</f>
        <v>Leonard 6' Hook Shot (21 PTS)</v>
      </c>
      <c r="L4276" s="2" t="str">
        <f>HYPERLINK("https://www.nba.com/game/...-vs-...-0021500784/play-by-play?watchFullGame=true", "SAS vs MIA - Q4 07:39.00")</f>
        <v>SAS vs MIA - Q4 07:39.00</v>
      </c>
      <c r="M4276">
        <v>6</v>
      </c>
      <c r="N4276">
        <v>0</v>
      </c>
      <c r="O4276">
        <v>62</v>
      </c>
      <c r="P4276">
        <v>0</v>
      </c>
      <c r="Q4276">
        <v>62</v>
      </c>
      <c r="R4276" t="s">
        <v>21</v>
      </c>
      <c r="S4276" t="s">
        <v>21</v>
      </c>
    </row>
    <row r="4277" spans="1:19" hidden="1" x14ac:dyDescent="0.25">
      <c r="A4277">
        <v>21800332</v>
      </c>
      <c r="B4277" t="s">
        <v>18</v>
      </c>
      <c r="C4277" t="s">
        <v>47</v>
      </c>
      <c r="D4277">
        <v>87</v>
      </c>
      <c r="E4277">
        <v>75</v>
      </c>
      <c r="F4277">
        <v>12</v>
      </c>
      <c r="G4277">
        <v>4</v>
      </c>
      <c r="H4277" s="1">
        <v>5.4976851851851853E-3</v>
      </c>
      <c r="I4277">
        <v>2018</v>
      </c>
      <c r="J4277" t="s">
        <v>48</v>
      </c>
      <c r="K4277" s="2" t="str">
        <f>HYPERLINK("https://www.nba.com/stats/events?CFID=&amp;CFPARAMS=&amp;GameEventID=521&amp;GameID=0021800332&amp;Season=2018-19&amp;flag=1&amp;title=Leonard%206'%20Hook%20Shot%20(28%20PTS)", "Leonard 6' Hook Shot (28 PTS)")</f>
        <v>Leonard 6' Hook Shot (28 PTS)</v>
      </c>
      <c r="L4277" s="2" t="str">
        <f>HYPERLINK("https://www.nba.com/game/...-vs-...-0021800332/play-by-play?watchFullGame=true", "TOR vs CLE - Q4 07:55.00")</f>
        <v>TOR vs CLE - Q4 07:55.00</v>
      </c>
      <c r="M4277">
        <v>6</v>
      </c>
      <c r="N4277">
        <v>8</v>
      </c>
      <c r="O4277">
        <v>64</v>
      </c>
      <c r="P4277">
        <v>8</v>
      </c>
      <c r="Q4277">
        <v>64</v>
      </c>
      <c r="R4277" t="s">
        <v>21</v>
      </c>
      <c r="S4277" t="s">
        <v>21</v>
      </c>
    </row>
    <row r="4278" spans="1:19" hidden="1" x14ac:dyDescent="0.25">
      <c r="A4278">
        <v>21600657</v>
      </c>
      <c r="B4278" t="s">
        <v>18</v>
      </c>
      <c r="C4278" t="s">
        <v>36</v>
      </c>
      <c r="D4278">
        <v>6</v>
      </c>
      <c r="E4278">
        <v>12</v>
      </c>
      <c r="F4278">
        <v>6</v>
      </c>
      <c r="G4278">
        <v>1</v>
      </c>
      <c r="H4278" s="1">
        <v>5.5092592592592589E-3</v>
      </c>
      <c r="I4278">
        <v>2016</v>
      </c>
      <c r="J4278" t="s">
        <v>20</v>
      </c>
      <c r="K4278" s="2" t="str">
        <f>HYPERLINK("https://www.nba.com/stats/events?CFID=&amp;CFPARAMS=&amp;GameEventID=37&amp;GameID=0021600657&amp;Season=2016-17&amp;flag=1&amp;title=Leonard%206'%20Pullup%20Jump%20Shot%20(4%20PTS)", "Leonard 6' Pullup Jump Shot (4 PTS)")</f>
        <v>Leonard 6' Pullup Jump Shot (4 PTS)</v>
      </c>
      <c r="L4278" s="2" t="str">
        <f>HYPERLINK("https://www.nba.com/game/...-vs-...-0021600657/play-by-play?watchFullGame=true", "SAS vs CLE - Q1 07:56.00")</f>
        <v>SAS vs CLE - Q1 07:56.00</v>
      </c>
      <c r="M4278">
        <v>6</v>
      </c>
      <c r="N4278">
        <v>-2</v>
      </c>
      <c r="O4278">
        <v>56</v>
      </c>
      <c r="P4278">
        <v>-2</v>
      </c>
      <c r="Q4278">
        <v>56</v>
      </c>
      <c r="R4278" t="s">
        <v>21</v>
      </c>
      <c r="S4278" t="s">
        <v>21</v>
      </c>
    </row>
    <row r="4279" spans="1:19" hidden="1" x14ac:dyDescent="0.25">
      <c r="A4279">
        <v>21600353</v>
      </c>
      <c r="B4279" t="s">
        <v>18</v>
      </c>
      <c r="C4279" t="s">
        <v>29</v>
      </c>
      <c r="D4279">
        <v>13</v>
      </c>
      <c r="E4279">
        <v>6</v>
      </c>
      <c r="F4279">
        <v>7</v>
      </c>
      <c r="G4279">
        <v>1</v>
      </c>
      <c r="H4279" s="1">
        <v>6.0416666666666665E-3</v>
      </c>
      <c r="I4279">
        <v>2016</v>
      </c>
      <c r="J4279" t="s">
        <v>20</v>
      </c>
      <c r="K4279" s="2" t="str">
        <f>HYPERLINK("https://www.nba.com/stats/events?CFID=&amp;CFPARAMS=&amp;GameEventID=21&amp;GameID=0021600353&amp;Season=2016-17&amp;flag=1&amp;title=Leonard%206'%20Jump%20Bank%20Shot%20(2%20PTS)%20(Parker%204%20AST)", "Leonard 6' Jump Bank Shot (2 PTS) (Parker 4 AST)")</f>
        <v>Leonard 6' Jump Bank Shot (2 PTS) (Parker 4 AST)</v>
      </c>
      <c r="L4279" s="2" t="str">
        <f>HYPERLINK("https://www.nba.com/game/...-vs-...-0021600353/play-by-play?watchFullGame=true", "SAS vs BKN - Q1 08:42.00")</f>
        <v>SAS vs BKN - Q1 08:42.00</v>
      </c>
      <c r="M4279">
        <v>6</v>
      </c>
      <c r="N4279">
        <v>61</v>
      </c>
      <c r="O4279">
        <v>11</v>
      </c>
      <c r="P4279">
        <v>61</v>
      </c>
      <c r="Q4279">
        <v>11</v>
      </c>
      <c r="R4279" t="s">
        <v>21</v>
      </c>
      <c r="S4279" t="s">
        <v>21</v>
      </c>
    </row>
    <row r="4280" spans="1:19" hidden="1" x14ac:dyDescent="0.25">
      <c r="A4280">
        <v>21400949</v>
      </c>
      <c r="B4280" t="s">
        <v>18</v>
      </c>
      <c r="C4280" t="s">
        <v>19</v>
      </c>
      <c r="D4280">
        <v>69</v>
      </c>
      <c r="E4280">
        <v>43</v>
      </c>
      <c r="F4280">
        <v>26</v>
      </c>
      <c r="G4280">
        <v>3</v>
      </c>
      <c r="H4280" s="1">
        <v>6.076388888888889E-3</v>
      </c>
      <c r="I4280">
        <v>2014</v>
      </c>
      <c r="J4280" t="s">
        <v>20</v>
      </c>
      <c r="K4280" s="2" t="str">
        <f>HYPERLINK("https://www.nba.com/stats/events?CFID=&amp;CFPARAMS=&amp;GameEventID=279&amp;GameID=0021400949&amp;Season=2014-15&amp;flag=1&amp;title=Leonard%206'%20Jump%20Shot%20(14%20PTS)%20(Parker%208%20AST)", "Leonard 6' Jump Shot (14 PTS) (Parker 8 AST)")</f>
        <v>Leonard 6' Jump Shot (14 PTS) (Parker 8 AST)</v>
      </c>
      <c r="L4280" s="2" t="str">
        <f>HYPERLINK("https://www.nba.com/game/...-vs-...-0021400949/play-by-play?watchFullGame=true", "SAS vs TOR - Q3 08:45.00")</f>
        <v>SAS vs TOR - Q3 08:45.00</v>
      </c>
      <c r="M4280">
        <v>6</v>
      </c>
      <c r="N4280">
        <v>18</v>
      </c>
      <c r="O4280">
        <v>55</v>
      </c>
      <c r="P4280">
        <v>18</v>
      </c>
      <c r="Q4280">
        <v>55</v>
      </c>
      <c r="R4280" t="s">
        <v>21</v>
      </c>
      <c r="S4280" t="s">
        <v>21</v>
      </c>
    </row>
    <row r="4281" spans="1:19" hidden="1" x14ac:dyDescent="0.25">
      <c r="A4281">
        <v>21500182</v>
      </c>
      <c r="B4281" t="s">
        <v>18</v>
      </c>
      <c r="C4281" t="s">
        <v>47</v>
      </c>
      <c r="D4281">
        <v>8</v>
      </c>
      <c r="E4281">
        <v>0</v>
      </c>
      <c r="F4281">
        <v>8</v>
      </c>
      <c r="G4281">
        <v>1</v>
      </c>
      <c r="H4281" s="1">
        <v>6.2037037037037035E-3</v>
      </c>
      <c r="I4281">
        <v>2015</v>
      </c>
      <c r="J4281" t="s">
        <v>20</v>
      </c>
      <c r="K4281" s="2" t="str">
        <f>HYPERLINK("https://www.nba.com/stats/events?CFID=&amp;CFPARAMS=&amp;GameEventID=31&amp;GameID=0021500182&amp;Season=2015-16&amp;flag=1&amp;title=Leonard%206'%20Hook%20Shot%20(2%20PTS)", "Leonard 6' Hook Shot (2 PTS)")</f>
        <v>Leonard 6' Hook Shot (2 PTS)</v>
      </c>
      <c r="L4281" s="2" t="str">
        <f>HYPERLINK("https://www.nba.com/game/...-vs-...-0021500182/play-by-play?watchFullGame=true", "SAS vs NOP - Q1 08:56.00")</f>
        <v>SAS vs NOP - Q1 08:56.00</v>
      </c>
      <c r="M4281">
        <v>6</v>
      </c>
      <c r="N4281">
        <v>-48</v>
      </c>
      <c r="O4281">
        <v>28</v>
      </c>
      <c r="P4281">
        <v>-48</v>
      </c>
      <c r="Q4281">
        <v>28</v>
      </c>
      <c r="R4281" t="s">
        <v>21</v>
      </c>
      <c r="S4281" t="s">
        <v>21</v>
      </c>
    </row>
    <row r="4282" spans="1:19" hidden="1" x14ac:dyDescent="0.25">
      <c r="A4282">
        <v>21800876</v>
      </c>
      <c r="B4282" t="s">
        <v>18</v>
      </c>
      <c r="C4282" t="s">
        <v>37</v>
      </c>
      <c r="D4282">
        <v>9</v>
      </c>
      <c r="E4282">
        <v>3</v>
      </c>
      <c r="F4282">
        <v>6</v>
      </c>
      <c r="G4282">
        <v>1</v>
      </c>
      <c r="H4282" s="1">
        <v>6.3194444444444444E-3</v>
      </c>
      <c r="I4282">
        <v>2018</v>
      </c>
      <c r="J4282" t="s">
        <v>48</v>
      </c>
      <c r="K4282" s="2" t="str">
        <f>HYPERLINK("https://www.nba.com/stats/events?CFID=&amp;CFPARAMS=&amp;GameEventID=44&amp;GameID=0021800876&amp;Season=2018-19&amp;flag=1&amp;title=Leonard%206'%20Fadeaway%20Jumper%20(2%20PTS)", "Leonard 6' Fadeaway Jumper (2 PTS)")</f>
        <v>Leonard 6' Fadeaway Jumper (2 PTS)</v>
      </c>
      <c r="L4282" s="2" t="str">
        <f>HYPERLINK("https://www.nba.com/game/...-vs-...-0021800876/play-by-play?watchFullGame=true", "TOR vs SAS - Q1 09:06.00")</f>
        <v>TOR vs SAS - Q1 09:06.00</v>
      </c>
      <c r="M4282">
        <v>6</v>
      </c>
      <c r="N4282">
        <v>40</v>
      </c>
      <c r="O4282">
        <v>40</v>
      </c>
      <c r="P4282">
        <v>40</v>
      </c>
      <c r="Q4282">
        <v>40</v>
      </c>
      <c r="R4282" t="s">
        <v>21</v>
      </c>
      <c r="S4282" t="s">
        <v>21</v>
      </c>
    </row>
    <row r="4283" spans="1:19" hidden="1" x14ac:dyDescent="0.25">
      <c r="A4283">
        <v>21300275</v>
      </c>
      <c r="B4283" t="s">
        <v>18</v>
      </c>
      <c r="C4283" t="s">
        <v>59</v>
      </c>
      <c r="D4283">
        <v>23</v>
      </c>
      <c r="E4283">
        <v>35</v>
      </c>
      <c r="F4283">
        <v>12</v>
      </c>
      <c r="G4283">
        <v>2</v>
      </c>
      <c r="H4283" s="1">
        <v>6.3888888888888893E-3</v>
      </c>
      <c r="I4283">
        <v>2013</v>
      </c>
      <c r="J4283" t="s">
        <v>20</v>
      </c>
      <c r="K4283" s="2" t="str">
        <f>HYPERLINK("https://www.nba.com/stats/events?CFID=&amp;CFPARAMS=&amp;GameEventID=163&amp;GameID=0021300275&amp;Season=2013-14&amp;flag=1&amp;title=Leonard%206'%20Floating%20Jump%20Shot%20(4%20PTS)%20(Diaw%203%20AST)", "Leonard 6' Floating Jump Shot (4 PTS) (Diaw 3 AST)")</f>
        <v>Leonard 6' Floating Jump Shot (4 PTS) (Diaw 3 AST)</v>
      </c>
      <c r="L4283" s="2" t="str">
        <f>HYPERLINK("https://www.nba.com/game/...-vs-...-0021300275/play-by-play?watchFullGame=true", "SAS vs MIN - Q2 09:12.00")</f>
        <v>SAS vs MIN - Q2 09:12.00</v>
      </c>
      <c r="M4283">
        <v>6</v>
      </c>
      <c r="N4283">
        <v>28</v>
      </c>
      <c r="O4283">
        <v>48</v>
      </c>
      <c r="P4283">
        <v>28</v>
      </c>
      <c r="Q4283">
        <v>48</v>
      </c>
      <c r="R4283" t="s">
        <v>21</v>
      </c>
      <c r="S4283" t="s">
        <v>21</v>
      </c>
    </row>
    <row r="4284" spans="1:19" hidden="1" x14ac:dyDescent="0.25">
      <c r="A4284">
        <v>21600865</v>
      </c>
      <c r="B4284" t="s">
        <v>18</v>
      </c>
      <c r="C4284" t="s">
        <v>34</v>
      </c>
      <c r="D4284">
        <v>2</v>
      </c>
      <c r="E4284">
        <v>2</v>
      </c>
      <c r="F4284">
        <v>0</v>
      </c>
      <c r="G4284">
        <v>1</v>
      </c>
      <c r="H4284" s="1">
        <v>7.1064814814814819E-3</v>
      </c>
      <c r="I4284">
        <v>2016</v>
      </c>
      <c r="J4284" t="s">
        <v>20</v>
      </c>
      <c r="K4284" s="2" t="str">
        <f>HYPERLINK("https://www.nba.com/stats/events?CFID=&amp;CFPARAMS=&amp;GameEventID=12&amp;GameID=0021600865&amp;Season=2016-17&amp;flag=1&amp;title=Leonard%206'%20Turnaround%20Jump%20Shot%20(2%20PTS)%20(Parker%201%20AST)", "Leonard 6' Turnaround Jump Shot (2 PTS) (Parker 1 AST)")</f>
        <v>Leonard 6' Turnaround Jump Shot (2 PTS) (Parker 1 AST)</v>
      </c>
      <c r="L4284" s="2" t="str">
        <f>HYPERLINK("https://www.nba.com/game/...-vs-...-0021600865/play-by-play?watchFullGame=true", "SAS vs LAC - Q1 10:14.00")</f>
        <v>SAS vs LAC - Q1 10:14.00</v>
      </c>
      <c r="M4284">
        <v>6</v>
      </c>
      <c r="N4284">
        <v>9</v>
      </c>
      <c r="O4284">
        <v>56</v>
      </c>
      <c r="P4284">
        <v>9</v>
      </c>
      <c r="Q4284">
        <v>56</v>
      </c>
      <c r="R4284" t="s">
        <v>21</v>
      </c>
      <c r="S4284" t="s">
        <v>21</v>
      </c>
    </row>
    <row r="4285" spans="1:19" hidden="1" x14ac:dyDescent="0.25">
      <c r="A4285">
        <v>41300145</v>
      </c>
      <c r="B4285" t="s">
        <v>18</v>
      </c>
      <c r="C4285" t="s">
        <v>19</v>
      </c>
      <c r="D4285">
        <v>4</v>
      </c>
      <c r="E4285">
        <v>2</v>
      </c>
      <c r="F4285">
        <v>2</v>
      </c>
      <c r="G4285">
        <v>1</v>
      </c>
      <c r="H4285" s="1">
        <v>7.3726851851851852E-3</v>
      </c>
      <c r="I4285" t="s">
        <v>55</v>
      </c>
      <c r="J4285" t="s">
        <v>20</v>
      </c>
      <c r="K4285" s="2" t="str">
        <f>HYPERLINK("https://www.nba.com/stats/events?CFID=&amp;CFPARAMS=&amp;GameEventID=8&amp;GameID=0041300145&amp;Season=2013-14&amp;flag=1&amp;title=Leonard%206'%20Jump%20Shot%20(2%20PTS)", "Leonard 6' Jump Shot (2 PTS)")</f>
        <v>Leonard 6' Jump Shot (2 PTS)</v>
      </c>
      <c r="L4285" s="2" t="str">
        <f>HYPERLINK("https://www.nba.com/game/...-vs-...-0041300145/play-by-play?watchFullGame=true", "SAS vs DAL - Q1 10:37.00")</f>
        <v>SAS vs DAL - Q1 10:37.00</v>
      </c>
      <c r="M4285">
        <v>6</v>
      </c>
      <c r="N4285">
        <v>45</v>
      </c>
      <c r="O4285">
        <v>44</v>
      </c>
      <c r="P4285">
        <v>45</v>
      </c>
      <c r="Q4285">
        <v>44</v>
      </c>
      <c r="R4285" t="s">
        <v>21</v>
      </c>
      <c r="S4285" t="s">
        <v>21</v>
      </c>
    </row>
    <row r="4286" spans="1:19" hidden="1" x14ac:dyDescent="0.25">
      <c r="A4286">
        <v>41300144</v>
      </c>
      <c r="B4286" t="s">
        <v>18</v>
      </c>
      <c r="C4286" t="s">
        <v>62</v>
      </c>
      <c r="D4286">
        <v>54</v>
      </c>
      <c r="E4286">
        <v>36</v>
      </c>
      <c r="F4286">
        <v>18</v>
      </c>
      <c r="G4286">
        <v>3</v>
      </c>
      <c r="H4286" s="1">
        <v>7.4768518518518517E-3</v>
      </c>
      <c r="I4286" t="s">
        <v>55</v>
      </c>
      <c r="J4286" t="s">
        <v>20</v>
      </c>
      <c r="K4286" s="2" t="str">
        <f>HYPERLINK("https://www.nba.com/stats/events?CFID=&amp;CFPARAMS=&amp;GameEventID=278&amp;GameID=0041300144&amp;Season=2013-14&amp;flag=1&amp;title=Leonard%206'%20Jump%20Hook%20Shot%20(6%20PTS)", "Leonard 6' Jump Hook Shot (6 PTS)")</f>
        <v>Leonard 6' Jump Hook Shot (6 PTS)</v>
      </c>
      <c r="L4286" s="2" t="str">
        <f>HYPERLINK("https://www.nba.com/game/...-vs-...-0041300144/play-by-play?watchFullGame=true", "SAS vs DAL - Q3 10:46.00")</f>
        <v>SAS vs DAL - Q3 10:46.00</v>
      </c>
      <c r="M4286">
        <v>6</v>
      </c>
      <c r="N4286">
        <v>4</v>
      </c>
      <c r="O4286">
        <v>55</v>
      </c>
      <c r="P4286">
        <v>4</v>
      </c>
      <c r="Q4286">
        <v>55</v>
      </c>
      <c r="R4286" t="s">
        <v>21</v>
      </c>
      <c r="S4286" t="s">
        <v>21</v>
      </c>
    </row>
    <row r="4287" spans="1:19" hidden="1" x14ac:dyDescent="0.25">
      <c r="A4287">
        <v>21300514</v>
      </c>
      <c r="B4287" t="s">
        <v>18</v>
      </c>
      <c r="C4287" t="s">
        <v>19</v>
      </c>
      <c r="D4287">
        <v>76</v>
      </c>
      <c r="E4287">
        <v>66</v>
      </c>
      <c r="F4287">
        <v>10</v>
      </c>
      <c r="G4287">
        <v>4</v>
      </c>
      <c r="H4287" s="1">
        <v>7.9282407407407409E-3</v>
      </c>
      <c r="I4287">
        <v>2013</v>
      </c>
      <c r="J4287" t="s">
        <v>20</v>
      </c>
      <c r="K4287" s="2" t="str">
        <f>HYPERLINK("https://www.nba.com/stats/events?CFID=&amp;CFPARAMS=&amp;GameEventID=343&amp;GameID=0021300514&amp;Season=2013-14&amp;flag=1&amp;title=Leonard%206'%20Jump%20Shot%20(15%20PTS)%20(Ginobili%204%20AST)", "Leonard 6' Jump Shot (15 PTS) (Ginobili 4 AST)")</f>
        <v>Leonard 6' Jump Shot (15 PTS) (Ginobili 4 AST)</v>
      </c>
      <c r="L4287" s="2" t="str">
        <f>HYPERLINK("https://www.nba.com/game/...-vs-...-0021300514/play-by-play?watchFullGame=true", "SAS vs MEM - Q4 11:25.00")</f>
        <v>SAS vs MEM - Q4 11:25.00</v>
      </c>
      <c r="M4287">
        <v>6</v>
      </c>
      <c r="N4287">
        <v>64</v>
      </c>
      <c r="O4287">
        <v>9</v>
      </c>
      <c r="P4287">
        <v>64</v>
      </c>
      <c r="Q4287">
        <v>9</v>
      </c>
      <c r="R4287" t="s">
        <v>21</v>
      </c>
      <c r="S4287" t="s">
        <v>21</v>
      </c>
    </row>
    <row r="4288" spans="1:19" hidden="1" x14ac:dyDescent="0.25">
      <c r="A4288">
        <v>21400875</v>
      </c>
      <c r="B4288" t="s">
        <v>18</v>
      </c>
      <c r="C4288" t="s">
        <v>47</v>
      </c>
      <c r="D4288">
        <v>53</v>
      </c>
      <c r="E4288">
        <v>24</v>
      </c>
      <c r="F4288">
        <v>29</v>
      </c>
      <c r="G4288">
        <v>3</v>
      </c>
      <c r="H4288" s="1">
        <v>8.0555555555555554E-3</v>
      </c>
      <c r="I4288">
        <v>2014</v>
      </c>
      <c r="J4288" t="s">
        <v>20</v>
      </c>
      <c r="K4288" s="2" t="str">
        <f>HYPERLINK("https://www.nba.com/stats/events?CFID=&amp;CFPARAMS=&amp;GameEventID=293&amp;GameID=0021400875&amp;Season=2014-15&amp;flag=1&amp;title=Leonard%206'%20Hook%20Shot%20(13%20PTS)", "Leonard 6' Hook Shot (13 PTS)")</f>
        <v>Leonard 6' Hook Shot (13 PTS)</v>
      </c>
      <c r="L4288" s="2" t="str">
        <f>HYPERLINK("https://www.nba.com/game/...-vs-...-0021400875/play-by-play?watchFullGame=true", "SAS vs PHX - Q3 11:36.00")</f>
        <v>SAS vs PHX - Q3 11:36.00</v>
      </c>
      <c r="M4288">
        <v>6</v>
      </c>
      <c r="N4288">
        <v>60</v>
      </c>
      <c r="O4288">
        <v>9</v>
      </c>
      <c r="P4288">
        <v>60</v>
      </c>
      <c r="Q4288">
        <v>9</v>
      </c>
      <c r="R4288" t="s">
        <v>21</v>
      </c>
      <c r="S4288" t="s">
        <v>21</v>
      </c>
    </row>
    <row r="4289" spans="1:19" hidden="1" x14ac:dyDescent="0.25">
      <c r="A4289">
        <v>21600657</v>
      </c>
      <c r="B4289" t="s">
        <v>18</v>
      </c>
      <c r="C4289" t="s">
        <v>47</v>
      </c>
      <c r="D4289">
        <v>59</v>
      </c>
      <c r="E4289">
        <v>58</v>
      </c>
      <c r="F4289">
        <v>1</v>
      </c>
      <c r="G4289">
        <v>3</v>
      </c>
      <c r="H4289" s="1">
        <v>8.1712962962962963E-3</v>
      </c>
      <c r="I4289">
        <v>2016</v>
      </c>
      <c r="J4289" t="s">
        <v>20</v>
      </c>
      <c r="K4289" s="2" t="str">
        <f>HYPERLINK("https://www.nba.com/stats/events?CFID=&amp;CFPARAMS=&amp;GameEventID=246&amp;GameID=0021600657&amp;Season=2016-17&amp;flag=1&amp;title=Leonard%206'%20Hook%20Shot%20(16%20PTS)%20(Green%201%20AST)", "Leonard 6' Hook Shot (16 PTS) (Green 1 AST)")</f>
        <v>Leonard 6' Hook Shot (16 PTS) (Green 1 AST)</v>
      </c>
      <c r="L4289" s="2" t="str">
        <f>HYPERLINK("https://www.nba.com/game/...-vs-...-0021600657/play-by-play?watchFullGame=true", "SAS vs CLE - Q3 11:46.00")</f>
        <v>SAS vs CLE - Q3 11:46.00</v>
      </c>
      <c r="M4289">
        <v>6</v>
      </c>
      <c r="N4289">
        <v>4</v>
      </c>
      <c r="O4289">
        <v>56</v>
      </c>
      <c r="P4289">
        <v>4</v>
      </c>
      <c r="Q4289">
        <v>56</v>
      </c>
      <c r="R4289" t="s">
        <v>21</v>
      </c>
      <c r="S4289" t="s">
        <v>21</v>
      </c>
    </row>
    <row r="4290" spans="1:19" hidden="1" x14ac:dyDescent="0.25">
      <c r="A4290">
        <v>41300405</v>
      </c>
      <c r="B4290" t="s">
        <v>18</v>
      </c>
      <c r="C4290" t="s">
        <v>68</v>
      </c>
      <c r="D4290">
        <v>24</v>
      </c>
      <c r="E4290">
        <v>29</v>
      </c>
      <c r="F4290">
        <v>5</v>
      </c>
      <c r="G4290">
        <v>2</v>
      </c>
      <c r="H4290" s="1">
        <v>8.2060185185185187E-3</v>
      </c>
      <c r="I4290" t="s">
        <v>55</v>
      </c>
      <c r="J4290" t="s">
        <v>20</v>
      </c>
      <c r="K4290" s="2" t="str">
        <f>HYPERLINK("https://www.nba.com/stats/events?CFID=&amp;CFPARAMS=&amp;GameEventID=137&amp;GameID=0041300405&amp;Season=2013-14&amp;flag=1&amp;title=Leonard%202'%20Alley%20Oop%20Dunk%20(10%20PTS)%20(Diaw%201%20AST)", "Leonard 2' Alley Oop Dunk (10 PTS) (Diaw 1 AST)")</f>
        <v>Leonard 2' Alley Oop Dunk (10 PTS) (Diaw 1 AST)</v>
      </c>
      <c r="L4290" s="2" t="str">
        <f>HYPERLINK("https://www.nba.com/game/...-vs-...-0041300405/play-by-play?watchFullGame=true", "SAS vs MIA - Q2 11:49.00")</f>
        <v>SAS vs MIA - Q2 11:49.00</v>
      </c>
      <c r="M4290">
        <v>2</v>
      </c>
      <c r="N4290">
        <v>-16</v>
      </c>
      <c r="O4290">
        <v>6</v>
      </c>
      <c r="P4290">
        <v>-16</v>
      </c>
      <c r="Q4290">
        <v>6</v>
      </c>
      <c r="R4290" t="s">
        <v>21</v>
      </c>
      <c r="S4290" t="s">
        <v>21</v>
      </c>
    </row>
    <row r="4291" spans="1:19" hidden="1" x14ac:dyDescent="0.25">
      <c r="A4291">
        <v>21800506</v>
      </c>
      <c r="B4291" t="s">
        <v>18</v>
      </c>
      <c r="C4291" t="s">
        <v>22</v>
      </c>
      <c r="D4291">
        <v>44</v>
      </c>
      <c r="E4291">
        <v>58</v>
      </c>
      <c r="F4291">
        <v>14</v>
      </c>
      <c r="G4291">
        <v>2</v>
      </c>
      <c r="H4291" s="1">
        <v>3.9699074074074072E-4</v>
      </c>
      <c r="I4291">
        <v>2018</v>
      </c>
      <c r="J4291" t="s">
        <v>48</v>
      </c>
      <c r="K4291" s="2" t="str">
        <f>HYPERLINK("https://www.nba.com/stats/events?CFID=&amp;CFPARAMS=&amp;GameEventID=298&amp;GameID=0021800506&amp;Season=2018-19&amp;flag=1&amp;title=Leonard%205'%20Driving%20Layup%20(11%20PTS)", "Leonard 5' Driving Layup (11 PTS)")</f>
        <v>Leonard 5' Driving Layup (11 PTS)</v>
      </c>
      <c r="L4291" s="2" t="str">
        <f>HYPERLINK("https://www.nba.com/game/...-vs-...-0021800506/play-by-play?watchFullGame=true", "TOR vs MIA - Q2 00:34.30")</f>
        <v>TOR vs MIA - Q2 00:34.30</v>
      </c>
      <c r="M4291">
        <v>5</v>
      </c>
      <c r="N4291">
        <v>26</v>
      </c>
      <c r="O4291">
        <v>48</v>
      </c>
      <c r="P4291">
        <v>26</v>
      </c>
      <c r="Q4291">
        <v>48</v>
      </c>
      <c r="R4291" t="s">
        <v>21</v>
      </c>
      <c r="S4291" t="s">
        <v>21</v>
      </c>
    </row>
    <row r="4292" spans="1:19" hidden="1" x14ac:dyDescent="0.25">
      <c r="A4292">
        <v>21501177</v>
      </c>
      <c r="B4292" t="s">
        <v>18</v>
      </c>
      <c r="C4292" t="s">
        <v>47</v>
      </c>
      <c r="D4292">
        <v>40</v>
      </c>
      <c r="E4292">
        <v>46</v>
      </c>
      <c r="F4292">
        <v>6</v>
      </c>
      <c r="G4292">
        <v>2</v>
      </c>
      <c r="H4292" s="1">
        <v>6.9328703703703707E-4</v>
      </c>
      <c r="I4292">
        <v>2015</v>
      </c>
      <c r="J4292" t="s">
        <v>20</v>
      </c>
      <c r="K4292" s="2" t="str">
        <f>HYPERLINK("https://www.nba.com/stats/events?CFID=&amp;CFPARAMS=&amp;GameEventID=221&amp;GameID=0021501177&amp;Season=2015-16&amp;flag=1&amp;title=Leonard%205'%20Hook%20Shot%20(14%20PTS)", "Leonard 5' Hook Shot (14 PTS)")</f>
        <v>Leonard 5' Hook Shot (14 PTS)</v>
      </c>
      <c r="L4292" s="2" t="str">
        <f>HYPERLINK("https://www.nba.com/game/...-vs-...-0021501177/play-by-play?watchFullGame=true", "SAS vs GSW - Q2 00:59.90")</f>
        <v>SAS vs GSW - Q2 00:59.90</v>
      </c>
      <c r="M4292">
        <v>5</v>
      </c>
      <c r="N4292">
        <v>-27</v>
      </c>
      <c r="O4292">
        <v>47</v>
      </c>
      <c r="P4292">
        <v>-27</v>
      </c>
      <c r="Q4292">
        <v>47</v>
      </c>
      <c r="R4292" t="s">
        <v>21</v>
      </c>
      <c r="S4292" t="s">
        <v>21</v>
      </c>
    </row>
    <row r="4293" spans="1:19" hidden="1" x14ac:dyDescent="0.25">
      <c r="A4293">
        <v>21801044</v>
      </c>
      <c r="B4293" t="s">
        <v>18</v>
      </c>
      <c r="C4293" t="s">
        <v>42</v>
      </c>
      <c r="D4293">
        <v>44</v>
      </c>
      <c r="E4293">
        <v>48</v>
      </c>
      <c r="F4293">
        <v>4</v>
      </c>
      <c r="G4293">
        <v>2</v>
      </c>
      <c r="H4293" s="1">
        <v>6.9444444444444447E-4</v>
      </c>
      <c r="I4293">
        <v>2018</v>
      </c>
      <c r="J4293" t="s">
        <v>48</v>
      </c>
      <c r="K4293" s="2" t="str">
        <f>HYPERLINK("https://www.nba.com/stats/events?CFID=&amp;CFPARAMS=&amp;GameEventID=268&amp;GameID=0021801044&amp;Season=2018-19&amp;flag=1&amp;title=Leonard%205'%20Driving%20Floating%20Jump%20Shot%20(11%20PTS)", "Leonard 5' Driving Floating Jump Shot (11 PTS)")</f>
        <v>Leonard 5' Driving Floating Jump Shot (11 PTS)</v>
      </c>
      <c r="L4293" s="2" t="str">
        <f>HYPERLINK("https://www.nba.com/game/...-vs-...-0021801044/play-by-play?watchFullGame=true", "TOR vs DET - Q2 01:00.00")</f>
        <v>TOR vs DET - Q2 01:00.00</v>
      </c>
      <c r="M4293">
        <v>5</v>
      </c>
      <c r="N4293">
        <v>6</v>
      </c>
      <c r="O4293">
        <v>52</v>
      </c>
      <c r="P4293">
        <v>6</v>
      </c>
      <c r="Q4293">
        <v>52</v>
      </c>
      <c r="R4293" t="s">
        <v>21</v>
      </c>
      <c r="S4293" t="s">
        <v>21</v>
      </c>
    </row>
    <row r="4294" spans="1:19" hidden="1" x14ac:dyDescent="0.25">
      <c r="A4294">
        <v>21800724</v>
      </c>
      <c r="B4294" t="s">
        <v>18</v>
      </c>
      <c r="C4294" t="s">
        <v>49</v>
      </c>
      <c r="D4294">
        <v>56</v>
      </c>
      <c r="E4294">
        <v>64</v>
      </c>
      <c r="F4294">
        <v>8</v>
      </c>
      <c r="G4294">
        <v>2</v>
      </c>
      <c r="H4294" s="1">
        <v>8.6805555555555551E-4</v>
      </c>
      <c r="I4294">
        <v>2018</v>
      </c>
      <c r="J4294" t="s">
        <v>48</v>
      </c>
      <c r="K4294" s="2" t="str">
        <f>HYPERLINK("https://www.nba.com/stats/events?CFID=&amp;CFPARAMS=&amp;GameEventID=293&amp;GameID=0021800724&amp;Season=2018-19&amp;flag=1&amp;title=Leonard%205'%20Driving%20Floating%20Bank%20Jump%20Shot%20(14%20PTS)", "Leonard 5' Driving Floating Bank Jump Shot (14 PTS)")</f>
        <v>Leonard 5' Driving Floating Bank Jump Shot (14 PTS)</v>
      </c>
      <c r="L4294" s="2" t="str">
        <f>HYPERLINK("https://www.nba.com/game/...-vs-...-0021800724/play-by-play?watchFullGame=true", "TOR vs HOU - Q2 01:15.00")</f>
        <v>TOR vs HOU - Q2 01:15.00</v>
      </c>
      <c r="M4294">
        <v>5</v>
      </c>
      <c r="N4294">
        <v>23</v>
      </c>
      <c r="O4294">
        <v>42</v>
      </c>
      <c r="P4294">
        <v>23</v>
      </c>
      <c r="Q4294">
        <v>42</v>
      </c>
      <c r="R4294" t="s">
        <v>21</v>
      </c>
      <c r="S4294" t="s">
        <v>21</v>
      </c>
    </row>
    <row r="4295" spans="1:19" hidden="1" x14ac:dyDescent="0.25">
      <c r="A4295">
        <v>21400624</v>
      </c>
      <c r="B4295" t="s">
        <v>18</v>
      </c>
      <c r="C4295" t="s">
        <v>67</v>
      </c>
      <c r="D4295">
        <v>18</v>
      </c>
      <c r="E4295">
        <v>20</v>
      </c>
      <c r="F4295">
        <v>2</v>
      </c>
      <c r="G4295">
        <v>1</v>
      </c>
      <c r="H4295" s="1">
        <v>8.9120370370370373E-4</v>
      </c>
      <c r="I4295">
        <v>2014</v>
      </c>
      <c r="J4295" t="s">
        <v>20</v>
      </c>
      <c r="K4295" s="2" t="str">
        <f>HYPERLINK("https://www.nba.com/stats/events?CFID=&amp;CFPARAMS=&amp;GameEventID=122&amp;GameID=0021400624&amp;Season=2014-15&amp;flag=1&amp;title=Leonard%205'%20Turnaround%20Hook%20Shot%20(4%20PTS)", "Leonard 5' Turnaround Hook Shot (4 PTS)")</f>
        <v>Leonard 5' Turnaround Hook Shot (4 PTS)</v>
      </c>
      <c r="L4295" s="2" t="str">
        <f>HYPERLINK("https://www.nba.com/game/...-vs-...-0021400624/play-by-play?watchFullGame=true", "SAS vs DEN - Q1 01:17.00")</f>
        <v>SAS vs DEN - Q1 01:17.00</v>
      </c>
      <c r="M4295">
        <v>5</v>
      </c>
      <c r="N4295">
        <v>7</v>
      </c>
      <c r="O4295">
        <v>45</v>
      </c>
      <c r="P4295">
        <v>7</v>
      </c>
      <c r="Q4295">
        <v>45</v>
      </c>
      <c r="R4295" t="s">
        <v>21</v>
      </c>
      <c r="S4295" t="s">
        <v>21</v>
      </c>
    </row>
    <row r="4296" spans="1:19" hidden="1" x14ac:dyDescent="0.25">
      <c r="A4296">
        <v>41400166</v>
      </c>
      <c r="B4296" t="s">
        <v>18</v>
      </c>
      <c r="C4296" t="s">
        <v>19</v>
      </c>
      <c r="D4296">
        <v>49</v>
      </c>
      <c r="E4296">
        <v>47</v>
      </c>
      <c r="F4296">
        <v>2</v>
      </c>
      <c r="G4296">
        <v>2</v>
      </c>
      <c r="H4296" s="1">
        <v>9.1435185185185185E-4</v>
      </c>
      <c r="I4296" t="s">
        <v>56</v>
      </c>
      <c r="J4296" t="s">
        <v>20</v>
      </c>
      <c r="K4296" s="2" t="str">
        <f>HYPERLINK("https://www.nba.com/stats/events?CFID=&amp;CFPARAMS=&amp;GameEventID=297&amp;GameID=0041400166&amp;Season=2014-15&amp;flag=1&amp;title=Leonard%205'%20Jump%20Shot%20(8%20PTS)", "Leonard 5' Jump Shot (8 PTS)")</f>
        <v>Leonard 5' Jump Shot (8 PTS)</v>
      </c>
      <c r="L4296" s="2" t="str">
        <f>HYPERLINK("https://www.nba.com/game/...-vs-...-0041400166/play-by-play?watchFullGame=true", "SAS vs LAC - Q2 01:19.00")</f>
        <v>SAS vs LAC - Q2 01:19.00</v>
      </c>
      <c r="M4296">
        <v>5</v>
      </c>
      <c r="N4296">
        <v>-2</v>
      </c>
      <c r="O4296">
        <v>50</v>
      </c>
      <c r="P4296">
        <v>-2</v>
      </c>
      <c r="Q4296">
        <v>50</v>
      </c>
      <c r="R4296" t="s">
        <v>21</v>
      </c>
      <c r="S4296" t="s">
        <v>21</v>
      </c>
    </row>
    <row r="4297" spans="1:19" hidden="1" x14ac:dyDescent="0.25">
      <c r="A4297">
        <v>41600151</v>
      </c>
      <c r="B4297" t="s">
        <v>18</v>
      </c>
      <c r="C4297" t="s">
        <v>67</v>
      </c>
      <c r="D4297">
        <v>76</v>
      </c>
      <c r="E4297">
        <v>64</v>
      </c>
      <c r="F4297">
        <v>12</v>
      </c>
      <c r="G4297">
        <v>3</v>
      </c>
      <c r="H4297" s="1">
        <v>1.0300925925925926E-3</v>
      </c>
      <c r="I4297" t="s">
        <v>58</v>
      </c>
      <c r="J4297" t="s">
        <v>20</v>
      </c>
      <c r="K4297" s="2" t="str">
        <f>HYPERLINK("https://www.nba.com/stats/events?CFID=&amp;CFPARAMS=&amp;GameEventID=335&amp;GameID=0041600151&amp;Season=2016-17&amp;flag=1&amp;title=Leonard%205'%20Turnaround%20Hook%20Shot%20(27%20PTS)", "Leonard 5' Turnaround Hook Shot (27 PTS)")</f>
        <v>Leonard 5' Turnaround Hook Shot (27 PTS)</v>
      </c>
      <c r="L4297" s="2" t="str">
        <f>HYPERLINK("https://www.nba.com/game/...-vs-...-0041600151/play-by-play?watchFullGame=true", "SAS vs MEM - Q3 01:29.00")</f>
        <v>SAS vs MEM - Q3 01:29.00</v>
      </c>
      <c r="M4297">
        <v>5</v>
      </c>
      <c r="N4297">
        <v>9</v>
      </c>
      <c r="O4297">
        <v>46</v>
      </c>
      <c r="P4297">
        <v>9</v>
      </c>
      <c r="Q4297">
        <v>46</v>
      </c>
      <c r="R4297" t="s">
        <v>21</v>
      </c>
      <c r="S4297" t="s">
        <v>21</v>
      </c>
    </row>
    <row r="4298" spans="1:19" hidden="1" x14ac:dyDescent="0.25">
      <c r="A4298">
        <v>41800211</v>
      </c>
      <c r="B4298" t="s">
        <v>18</v>
      </c>
      <c r="C4298" t="s">
        <v>36</v>
      </c>
      <c r="D4298">
        <v>91</v>
      </c>
      <c r="E4298">
        <v>72</v>
      </c>
      <c r="F4298">
        <v>19</v>
      </c>
      <c r="G4298">
        <v>3</v>
      </c>
      <c r="H4298" s="1">
        <v>1.0879629629629629E-3</v>
      </c>
      <c r="I4298" t="s">
        <v>60</v>
      </c>
      <c r="J4298" t="s">
        <v>48</v>
      </c>
      <c r="K4298" s="2" t="str">
        <f>HYPERLINK("https://www.nba.com/stats/events?CFID=&amp;CFPARAMS=&amp;GameEventID=451&amp;GameID=0041800211&amp;Season=2018-19&amp;flag=1&amp;title=Leonard%205'%20Pullup%20Jump%20Shot%20(36%20PTS)", "Leonard 5' Pullup Jump Shot (36 PTS)")</f>
        <v>Leonard 5' Pullup Jump Shot (36 PTS)</v>
      </c>
      <c r="L4298" s="2" t="str">
        <f>HYPERLINK("https://www.nba.com/game/...-vs-...-0041800211/play-by-play?watchFullGame=true", "TOR vs PHI - Q3 01:34.00")</f>
        <v>TOR vs PHI - Q3 01:34.00</v>
      </c>
      <c r="M4298">
        <v>5</v>
      </c>
      <c r="N4298">
        <v>46</v>
      </c>
      <c r="O4298">
        <v>12</v>
      </c>
      <c r="P4298">
        <v>46</v>
      </c>
      <c r="Q4298">
        <v>12</v>
      </c>
      <c r="R4298" t="s">
        <v>21</v>
      </c>
      <c r="S4298" t="s">
        <v>21</v>
      </c>
    </row>
    <row r="4299" spans="1:19" hidden="1" x14ac:dyDescent="0.25">
      <c r="A4299">
        <v>21601099</v>
      </c>
      <c r="B4299" t="s">
        <v>18</v>
      </c>
      <c r="C4299" t="s">
        <v>49</v>
      </c>
      <c r="D4299">
        <v>56</v>
      </c>
      <c r="E4299">
        <v>38</v>
      </c>
      <c r="F4299">
        <v>18</v>
      </c>
      <c r="G4299">
        <v>2</v>
      </c>
      <c r="H4299" s="1">
        <v>1.1805555555555556E-3</v>
      </c>
      <c r="I4299">
        <v>2016</v>
      </c>
      <c r="J4299" t="s">
        <v>20</v>
      </c>
      <c r="K4299" s="2" t="str">
        <f>HYPERLINK("https://www.nba.com/stats/events?CFID=&amp;CFPARAMS=&amp;GameEventID=239&amp;GameID=0021601099&amp;Season=2016-17&amp;flag=1&amp;title=Leonard%205'%20Driving%20Floating%20Bank%20Jump%20Shot%20(12%20PTS)%20(Mills%205%20AST)", "Leonard 5' Driving Floating Bank Jump Shot (12 PTS) (Mills 5 AST)")</f>
        <v>Leonard 5' Driving Floating Bank Jump Shot (12 PTS) (Mills 5 AST)</v>
      </c>
      <c r="L4299" s="2" t="str">
        <f>HYPERLINK("https://www.nba.com/game/...-vs-...-0021601099/play-by-play?watchFullGame=true", "SAS vs CLE - Q2 01:42.00")</f>
        <v>SAS vs CLE - Q2 01:42.00</v>
      </c>
      <c r="M4299">
        <v>5</v>
      </c>
      <c r="N4299">
        <v>1</v>
      </c>
      <c r="O4299">
        <v>46</v>
      </c>
      <c r="P4299">
        <v>1</v>
      </c>
      <c r="Q4299">
        <v>46</v>
      </c>
      <c r="R4299" t="s">
        <v>21</v>
      </c>
      <c r="S4299" t="s">
        <v>21</v>
      </c>
    </row>
    <row r="4300" spans="1:19" hidden="1" x14ac:dyDescent="0.25">
      <c r="A4300">
        <v>21600114</v>
      </c>
      <c r="B4300" t="s">
        <v>18</v>
      </c>
      <c r="C4300" t="s">
        <v>43</v>
      </c>
      <c r="D4300">
        <v>53</v>
      </c>
      <c r="E4300">
        <v>53</v>
      </c>
      <c r="F4300">
        <v>0</v>
      </c>
      <c r="G4300">
        <v>2</v>
      </c>
      <c r="H4300" s="1">
        <v>1.2847222222222223E-3</v>
      </c>
      <c r="I4300">
        <v>2016</v>
      </c>
      <c r="J4300" t="s">
        <v>20</v>
      </c>
      <c r="K4300" s="2" t="str">
        <f>HYPERLINK("https://www.nba.com/stats/events?CFID=&amp;CFPARAMS=&amp;GameEventID=265&amp;GameID=0021600114&amp;Season=2016-17&amp;flag=1&amp;title=Leonard%205'%20Driving%20Bank%20Shot%20(16%20PTS)", "Leonard 5' Driving Bank Shot (16 PTS)")</f>
        <v>Leonard 5' Driving Bank Shot (16 PTS)</v>
      </c>
      <c r="L4300" s="2" t="str">
        <f>HYPERLINK("https://www.nba.com/game/...-vs-...-0021600114/play-by-play?watchFullGame=true", "SAS vs HOU - Q2 01:51.00")</f>
        <v>SAS vs HOU - Q2 01:51.00</v>
      </c>
      <c r="M4300">
        <v>5</v>
      </c>
      <c r="N4300">
        <v>42</v>
      </c>
      <c r="O4300">
        <v>18</v>
      </c>
      <c r="P4300">
        <v>42</v>
      </c>
      <c r="Q4300">
        <v>18</v>
      </c>
      <c r="R4300" t="s">
        <v>21</v>
      </c>
      <c r="S4300" t="s">
        <v>21</v>
      </c>
    </row>
    <row r="4301" spans="1:19" hidden="1" x14ac:dyDescent="0.25">
      <c r="A4301">
        <v>21500048</v>
      </c>
      <c r="B4301" t="s">
        <v>18</v>
      </c>
      <c r="C4301" t="s">
        <v>29</v>
      </c>
      <c r="D4301">
        <v>93</v>
      </c>
      <c r="E4301">
        <v>79</v>
      </c>
      <c r="F4301">
        <v>14</v>
      </c>
      <c r="G4301">
        <v>4</v>
      </c>
      <c r="H4301" s="1">
        <v>1.5393518518518519E-3</v>
      </c>
      <c r="I4301">
        <v>2015</v>
      </c>
      <c r="J4301" t="s">
        <v>20</v>
      </c>
      <c r="K4301" s="2" t="str">
        <f>HYPERLINK("https://www.nba.com/stats/events?CFID=&amp;CFPARAMS=&amp;GameEventID=469&amp;GameID=0021500048&amp;Season=2015-16&amp;flag=1&amp;title=Leonard%205'%20Jump%20Bank%20Shot%20(18%20PTS)", "Leonard 5' Jump Bank Shot (18 PTS)")</f>
        <v>Leonard 5' Jump Bank Shot (18 PTS)</v>
      </c>
      <c r="L4301" s="2" t="str">
        <f>HYPERLINK("https://www.nba.com/game/...-vs-...-0021500048/play-by-play?watchFullGame=true", "SAS vs NYK - Q4 02:13.00")</f>
        <v>SAS vs NYK - Q4 02:13.00</v>
      </c>
      <c r="M4301">
        <v>5</v>
      </c>
      <c r="N4301">
        <v>25</v>
      </c>
      <c r="O4301">
        <v>41</v>
      </c>
      <c r="P4301">
        <v>25</v>
      </c>
      <c r="Q4301">
        <v>41</v>
      </c>
      <c r="R4301" t="s">
        <v>21</v>
      </c>
      <c r="S4301" t="s">
        <v>21</v>
      </c>
    </row>
    <row r="4302" spans="1:19" hidden="1" x14ac:dyDescent="0.25">
      <c r="A4302">
        <v>21500280</v>
      </c>
      <c r="B4302" t="s">
        <v>18</v>
      </c>
      <c r="C4302" t="s">
        <v>59</v>
      </c>
      <c r="D4302">
        <v>39</v>
      </c>
      <c r="E4302">
        <v>31</v>
      </c>
      <c r="F4302">
        <v>8</v>
      </c>
      <c r="G4302">
        <v>2</v>
      </c>
      <c r="H4302" s="1">
        <v>1.6666666666666668E-3</v>
      </c>
      <c r="I4302">
        <v>2015</v>
      </c>
      <c r="J4302" t="s">
        <v>20</v>
      </c>
      <c r="K4302" s="2" t="str">
        <f>HYPERLINK("https://www.nba.com/stats/events?CFID=&amp;CFPARAMS=&amp;GameEventID=216&amp;GameID=0021500280&amp;Season=2015-16&amp;flag=1&amp;title=Leonard%205'%20Floating%20Jump%20Shot%20(7%20PTS)%20(Parker%201%20AST)", "Leonard 5' Floating Jump Shot (7 PTS) (Parker 1 AST)")</f>
        <v>Leonard 5' Floating Jump Shot (7 PTS) (Parker 1 AST)</v>
      </c>
      <c r="L4302" s="2" t="str">
        <f>HYPERLINK("https://www.nba.com/game/...-vs-...-0021500280/play-by-play?watchFullGame=true", "SAS vs MEM - Q2 02:24.00")</f>
        <v>SAS vs MEM - Q2 02:24.00</v>
      </c>
      <c r="M4302">
        <v>5</v>
      </c>
      <c r="N4302">
        <v>53</v>
      </c>
      <c r="O4302">
        <v>13</v>
      </c>
      <c r="P4302">
        <v>53</v>
      </c>
      <c r="Q4302">
        <v>13</v>
      </c>
      <c r="R4302" t="s">
        <v>21</v>
      </c>
      <c r="S4302" t="s">
        <v>21</v>
      </c>
    </row>
    <row r="4303" spans="1:19" hidden="1" x14ac:dyDescent="0.25">
      <c r="A4303">
        <v>21800658</v>
      </c>
      <c r="B4303" t="s">
        <v>18</v>
      </c>
      <c r="C4303" t="s">
        <v>40</v>
      </c>
      <c r="D4303">
        <v>46</v>
      </c>
      <c r="E4303">
        <v>53</v>
      </c>
      <c r="F4303">
        <v>7</v>
      </c>
      <c r="G4303">
        <v>2</v>
      </c>
      <c r="H4303" s="1">
        <v>1.8402777777777777E-3</v>
      </c>
      <c r="I4303">
        <v>2018</v>
      </c>
      <c r="J4303" t="s">
        <v>48</v>
      </c>
      <c r="K4303" s="2" t="str">
        <f>HYPERLINK("https://www.nba.com/stats/events?CFID=&amp;CFPARAMS=&amp;GameEventID=286&amp;GameID=0021800658&amp;Season=2018-19&amp;flag=1&amp;title=Leonard%205'%20Driving%20Finger%20Roll%20Layup%20(11%20PTS)", "Leonard 5' Driving Finger Roll Layup (11 PTS)")</f>
        <v>Leonard 5' Driving Finger Roll Layup (11 PTS)</v>
      </c>
      <c r="L4303" s="2" t="str">
        <f>HYPERLINK("https://www.nba.com/game/...-vs-...-0021800658/play-by-play?watchFullGame=true", "TOR vs BOS - Q2 02:39.00")</f>
        <v>TOR vs BOS - Q2 02:39.00</v>
      </c>
      <c r="M4303">
        <v>5</v>
      </c>
      <c r="N4303">
        <v>40</v>
      </c>
      <c r="O4303">
        <v>31</v>
      </c>
      <c r="P4303">
        <v>40</v>
      </c>
      <c r="Q4303">
        <v>31</v>
      </c>
      <c r="R4303" t="s">
        <v>21</v>
      </c>
      <c r="S4303" t="s">
        <v>21</v>
      </c>
    </row>
    <row r="4304" spans="1:19" hidden="1" x14ac:dyDescent="0.25">
      <c r="A4304">
        <v>21600925</v>
      </c>
      <c r="B4304" t="s">
        <v>18</v>
      </c>
      <c r="C4304" t="s">
        <v>19</v>
      </c>
      <c r="D4304">
        <v>80</v>
      </c>
      <c r="E4304">
        <v>78</v>
      </c>
      <c r="F4304">
        <v>2</v>
      </c>
      <c r="G4304">
        <v>4</v>
      </c>
      <c r="H4304" s="1">
        <v>1.9097222222222222E-3</v>
      </c>
      <c r="I4304">
        <v>2016</v>
      </c>
      <c r="J4304" t="s">
        <v>20</v>
      </c>
      <c r="K4304" s="2" t="str">
        <f>HYPERLINK("https://www.nba.com/stats/events?CFID=&amp;CFPARAMS=&amp;GameEventID=489&amp;GameID=0021600925&amp;Season=2016-17&amp;flag=1&amp;title=Leonard%205'%20Jump%20Shot%20(26%20PTS)%20(Green%201%20AST)", "Leonard 5' Jump Shot (26 PTS) (Green 1 AST)")</f>
        <v>Leonard 5' Jump Shot (26 PTS) (Green 1 AST)</v>
      </c>
      <c r="L4304" s="2" t="str">
        <f>HYPERLINK("https://www.nba.com/game/...-vs-...-0021600925/play-by-play?watchFullGame=true", "SAS vs MIN - Q4 02:45.00")</f>
        <v>SAS vs MIN - Q4 02:45.00</v>
      </c>
      <c r="M4304">
        <v>5</v>
      </c>
      <c r="N4304">
        <v>30</v>
      </c>
      <c r="O4304">
        <v>36</v>
      </c>
      <c r="P4304">
        <v>30</v>
      </c>
      <c r="Q4304">
        <v>36</v>
      </c>
      <c r="R4304" t="s">
        <v>21</v>
      </c>
      <c r="S4304" t="s">
        <v>21</v>
      </c>
    </row>
    <row r="4305" spans="1:19" hidden="1" x14ac:dyDescent="0.25">
      <c r="A4305">
        <v>21400291</v>
      </c>
      <c r="B4305" t="s">
        <v>18</v>
      </c>
      <c r="C4305" t="s">
        <v>19</v>
      </c>
      <c r="D4305">
        <v>55</v>
      </c>
      <c r="E4305">
        <v>42</v>
      </c>
      <c r="F4305">
        <v>13</v>
      </c>
      <c r="G4305">
        <v>2</v>
      </c>
      <c r="H4305" s="1">
        <v>2.4074074074074076E-3</v>
      </c>
      <c r="I4305">
        <v>2014</v>
      </c>
      <c r="J4305" t="s">
        <v>20</v>
      </c>
      <c r="K4305" s="2" t="str">
        <f>HYPERLINK("https://www.nba.com/stats/events?CFID=&amp;CFPARAMS=&amp;GameEventID=217&amp;GameID=0021400291&amp;Season=2014-15&amp;flag=1&amp;title=Leonard%205'%20Jump%20Shot%20(10%20PTS)", "Leonard 5' Jump Shot (10 PTS)")</f>
        <v>Leonard 5' Jump Shot (10 PTS)</v>
      </c>
      <c r="L4305" s="2" t="str">
        <f>HYPERLINK("https://www.nba.com/game/...-vs-...-0021400291/play-by-play?watchFullGame=true", "SAS vs MIN - Q2 03:28.00")</f>
        <v>SAS vs MIN - Q2 03:28.00</v>
      </c>
      <c r="M4305">
        <v>5</v>
      </c>
      <c r="N4305">
        <v>9</v>
      </c>
      <c r="O4305">
        <v>53</v>
      </c>
      <c r="P4305">
        <v>9</v>
      </c>
      <c r="Q4305">
        <v>53</v>
      </c>
      <c r="R4305" t="s">
        <v>21</v>
      </c>
      <c r="S4305" t="s">
        <v>21</v>
      </c>
    </row>
    <row r="4306" spans="1:19" hidden="1" x14ac:dyDescent="0.25">
      <c r="A4306">
        <v>21600902</v>
      </c>
      <c r="B4306" t="s">
        <v>18</v>
      </c>
      <c r="C4306" t="s">
        <v>67</v>
      </c>
      <c r="D4306">
        <v>98</v>
      </c>
      <c r="E4306">
        <v>94</v>
      </c>
      <c r="F4306">
        <v>4</v>
      </c>
      <c r="G4306">
        <v>4</v>
      </c>
      <c r="H4306" s="1">
        <v>2.476851851851852E-3</v>
      </c>
      <c r="I4306">
        <v>2016</v>
      </c>
      <c r="J4306" t="s">
        <v>20</v>
      </c>
      <c r="K4306" s="2" t="str">
        <f>HYPERLINK("https://www.nba.com/stats/events?CFID=&amp;CFPARAMS=&amp;GameEventID=490&amp;GameID=0021600902&amp;Season=2016-17&amp;flag=1&amp;title=Leonard%205'%20Turnaround%20Hook%20Shot%20(29%20PTS)", "Leonard 5' Turnaround Hook Shot (29 PTS)")</f>
        <v>Leonard 5' Turnaround Hook Shot (29 PTS)</v>
      </c>
      <c r="L4306" s="2" t="str">
        <f>HYPERLINK("https://www.nba.com/game/...-vs-...-0021600902/play-by-play?watchFullGame=true", "SAS vs IND - Q4 03:34.00")</f>
        <v>SAS vs IND - Q4 03:34.00</v>
      </c>
      <c r="M4306">
        <v>5</v>
      </c>
      <c r="N4306">
        <v>27</v>
      </c>
      <c r="O4306">
        <v>46</v>
      </c>
      <c r="P4306">
        <v>27</v>
      </c>
      <c r="Q4306">
        <v>46</v>
      </c>
      <c r="R4306" t="s">
        <v>21</v>
      </c>
      <c r="S4306" t="s">
        <v>21</v>
      </c>
    </row>
    <row r="4307" spans="1:19" hidden="1" x14ac:dyDescent="0.25">
      <c r="A4307">
        <v>21600425</v>
      </c>
      <c r="B4307" t="s">
        <v>18</v>
      </c>
      <c r="C4307" t="s">
        <v>30</v>
      </c>
      <c r="D4307">
        <v>16</v>
      </c>
      <c r="E4307">
        <v>13</v>
      </c>
      <c r="F4307">
        <v>3</v>
      </c>
      <c r="G4307">
        <v>1</v>
      </c>
      <c r="H4307" s="1">
        <v>2.5462962962962965E-3</v>
      </c>
      <c r="I4307">
        <v>2016</v>
      </c>
      <c r="J4307" t="s">
        <v>20</v>
      </c>
      <c r="K4307" s="2" t="str">
        <f>HYPERLINK("https://www.nba.com/stats/events?CFID=&amp;CFPARAMS=&amp;GameEventID=85&amp;GameID=0021600425&amp;Season=2016-17&amp;flag=1&amp;title=Leonard%205'%20Running%20Jump%20Shot%20(5%20PTS)", "Leonard 5' Running Jump Shot (5 PTS)")</f>
        <v>Leonard 5' Running Jump Shot (5 PTS)</v>
      </c>
      <c r="L4307" s="2" t="str">
        <f>HYPERLINK("https://www.nba.com/game/...-vs-...-0021600425/play-by-play?watchFullGame=true", "SAS vs HOU - Q1 03:40.00")</f>
        <v>SAS vs HOU - Q1 03:40.00</v>
      </c>
      <c r="M4307">
        <v>5</v>
      </c>
      <c r="N4307">
        <v>-47</v>
      </c>
      <c r="O4307">
        <v>11</v>
      </c>
      <c r="P4307">
        <v>-47</v>
      </c>
      <c r="Q4307">
        <v>11</v>
      </c>
      <c r="R4307" t="s">
        <v>21</v>
      </c>
      <c r="S4307" t="s">
        <v>21</v>
      </c>
    </row>
    <row r="4308" spans="1:19" hidden="1" x14ac:dyDescent="0.25">
      <c r="A4308">
        <v>21500040</v>
      </c>
      <c r="B4308" t="s">
        <v>18</v>
      </c>
      <c r="C4308" t="s">
        <v>34</v>
      </c>
      <c r="D4308">
        <v>12</v>
      </c>
      <c r="E4308">
        <v>6</v>
      </c>
      <c r="F4308">
        <v>6</v>
      </c>
      <c r="G4308">
        <v>1</v>
      </c>
      <c r="H4308" s="1">
        <v>2.5925925925925925E-3</v>
      </c>
      <c r="I4308">
        <v>2015</v>
      </c>
      <c r="J4308" t="s">
        <v>20</v>
      </c>
      <c r="K4308" s="2" t="str">
        <f>HYPERLINK("https://www.nba.com/stats/events?CFID=&amp;CFPARAMS=&amp;GameEventID=80&amp;GameID=0021500040&amp;Season=2015-16&amp;flag=1&amp;title=Leonard%205'%20Turnaround%20Jump%20Shot%20(6%20PTS)", "Leonard 5' Turnaround Jump Shot (6 PTS)")</f>
        <v>Leonard 5' Turnaround Jump Shot (6 PTS)</v>
      </c>
      <c r="L4308" s="2" t="str">
        <f>HYPERLINK("https://www.nba.com/game/...-vs-...-0021500040/play-by-play?watchFullGame=true", "SAS vs BOS - Q1 03:44.00")</f>
        <v>SAS vs BOS - Q1 03:44.00</v>
      </c>
      <c r="M4308">
        <v>5</v>
      </c>
      <c r="N4308">
        <v>1</v>
      </c>
      <c r="O4308">
        <v>46</v>
      </c>
      <c r="P4308">
        <v>1</v>
      </c>
      <c r="Q4308">
        <v>46</v>
      </c>
      <c r="R4308" t="s">
        <v>21</v>
      </c>
      <c r="S4308" t="s">
        <v>21</v>
      </c>
    </row>
    <row r="4309" spans="1:19" hidden="1" x14ac:dyDescent="0.25">
      <c r="A4309">
        <v>21800271</v>
      </c>
      <c r="B4309" t="s">
        <v>18</v>
      </c>
      <c r="C4309" t="s">
        <v>67</v>
      </c>
      <c r="D4309">
        <v>93</v>
      </c>
      <c r="E4309">
        <v>83</v>
      </c>
      <c r="F4309">
        <v>10</v>
      </c>
      <c r="G4309">
        <v>3</v>
      </c>
      <c r="H4309" s="1">
        <v>2.685185185185185E-3</v>
      </c>
      <c r="I4309">
        <v>2018</v>
      </c>
      <c r="J4309" t="s">
        <v>48</v>
      </c>
      <c r="K4309" s="2" t="str">
        <f>HYPERLINK("https://www.nba.com/stats/events?CFID=&amp;CFPARAMS=&amp;GameEventID=493&amp;GameID=0021800271&amp;Season=2018-19&amp;flag=1&amp;title=Leonard%205'%20Turnaround%20Hook%20Shot%20(23%20PTS)", "Leonard 5' Turnaround Hook Shot (23 PTS)")</f>
        <v>Leonard 5' Turnaround Hook Shot (23 PTS)</v>
      </c>
      <c r="L4309" s="2" t="str">
        <f>HYPERLINK("https://www.nba.com/game/...-vs-...-0021800271/play-by-play?watchFullGame=true", "TOR vs WAS - Q3 03:52.00")</f>
        <v>TOR vs WAS - Q3 03:52.00</v>
      </c>
      <c r="M4309">
        <v>5</v>
      </c>
      <c r="N4309">
        <v>-10</v>
      </c>
      <c r="O4309">
        <v>45</v>
      </c>
      <c r="P4309">
        <v>-10</v>
      </c>
      <c r="Q4309">
        <v>45</v>
      </c>
      <c r="R4309" t="s">
        <v>21</v>
      </c>
      <c r="S4309" t="s">
        <v>21</v>
      </c>
    </row>
    <row r="4310" spans="1:19" hidden="1" x14ac:dyDescent="0.25">
      <c r="A4310">
        <v>21400921</v>
      </c>
      <c r="B4310" t="s">
        <v>18</v>
      </c>
      <c r="C4310" t="s">
        <v>38</v>
      </c>
      <c r="D4310">
        <v>109</v>
      </c>
      <c r="E4310">
        <v>103</v>
      </c>
      <c r="F4310">
        <v>6</v>
      </c>
      <c r="G4310">
        <v>4</v>
      </c>
      <c r="H4310" s="1">
        <v>2.8240740740740739E-3</v>
      </c>
      <c r="I4310">
        <v>2014</v>
      </c>
      <c r="J4310" t="s">
        <v>20</v>
      </c>
      <c r="K4310" s="2" t="str">
        <f>HYPERLINK("https://www.nba.com/stats/events?CFID=&amp;CFPARAMS=&amp;GameEventID=481&amp;GameID=0021400921&amp;Season=2014-15&amp;flag=1&amp;title=Leonard%205'%20Turnaround%20Fadeaway%20(23%20PTS)", "Leonard 5' Turnaround Fadeaway (23 PTS)")</f>
        <v>Leonard 5' Turnaround Fadeaway (23 PTS)</v>
      </c>
      <c r="L4310" s="2" t="str">
        <f>HYPERLINK("https://www.nba.com/game/...-vs-...-0021400921/play-by-play?watchFullGame=true", "SAS vs DEN - Q4 04:04.00")</f>
        <v>SAS vs DEN - Q4 04:04.00</v>
      </c>
      <c r="M4310">
        <v>5</v>
      </c>
      <c r="N4310">
        <v>-26</v>
      </c>
      <c r="O4310">
        <v>48</v>
      </c>
      <c r="P4310">
        <v>-26</v>
      </c>
      <c r="Q4310">
        <v>48</v>
      </c>
      <c r="R4310" t="s">
        <v>21</v>
      </c>
      <c r="S4310" t="s">
        <v>21</v>
      </c>
    </row>
    <row r="4311" spans="1:19" hidden="1" x14ac:dyDescent="0.25">
      <c r="A4311">
        <v>41400162</v>
      </c>
      <c r="B4311" t="s">
        <v>18</v>
      </c>
      <c r="C4311" t="s">
        <v>47</v>
      </c>
      <c r="D4311">
        <v>46</v>
      </c>
      <c r="E4311">
        <v>39</v>
      </c>
      <c r="F4311">
        <v>7</v>
      </c>
      <c r="G4311">
        <v>2</v>
      </c>
      <c r="H4311" s="1">
        <v>2.8356481481481483E-3</v>
      </c>
      <c r="I4311" t="s">
        <v>56</v>
      </c>
      <c r="J4311" t="s">
        <v>20</v>
      </c>
      <c r="K4311" s="2" t="str">
        <f>HYPERLINK("https://www.nba.com/stats/events?CFID=&amp;CFPARAMS=&amp;GameEventID=203&amp;GameID=0041400162&amp;Season=2014-15&amp;flag=1&amp;title=Leonard%205'%20Hook%20Shot%20(11%20PTS)", "Leonard 5' Hook Shot (11 PTS)")</f>
        <v>Leonard 5' Hook Shot (11 PTS)</v>
      </c>
      <c r="L4311" s="2" t="str">
        <f>HYPERLINK("https://www.nba.com/game/...-vs-...-0041400162/play-by-play?watchFullGame=true", "SAS vs LAC - Q2 04:05.00")</f>
        <v>SAS vs LAC - Q2 04:05.00</v>
      </c>
      <c r="M4311">
        <v>5</v>
      </c>
      <c r="N4311">
        <v>28</v>
      </c>
      <c r="O4311">
        <v>39</v>
      </c>
      <c r="P4311">
        <v>28</v>
      </c>
      <c r="Q4311">
        <v>39</v>
      </c>
      <c r="R4311" t="s">
        <v>21</v>
      </c>
      <c r="S4311" t="s">
        <v>21</v>
      </c>
    </row>
    <row r="4312" spans="1:19" hidden="1" x14ac:dyDescent="0.25">
      <c r="A4312">
        <v>21700530</v>
      </c>
      <c r="B4312" t="s">
        <v>18</v>
      </c>
      <c r="C4312" t="s">
        <v>24</v>
      </c>
      <c r="D4312">
        <v>24</v>
      </c>
      <c r="E4312">
        <v>35</v>
      </c>
      <c r="F4312">
        <v>11</v>
      </c>
      <c r="G4312">
        <v>2</v>
      </c>
      <c r="H4312" s="1">
        <v>2.8703703703703703E-3</v>
      </c>
      <c r="I4312">
        <v>2017</v>
      </c>
      <c r="J4312" t="s">
        <v>20</v>
      </c>
      <c r="K4312" s="2" t="str">
        <f>HYPERLINK("https://www.nba.com/stats/events?CFID=&amp;CFPARAMS=&amp;GameEventID=231&amp;GameID=0021700530&amp;Season=2017-18&amp;flag=1&amp;title=Leonard%205'%20Layup%20(6%20PTS)", "Leonard 5' Layup (6 PTS)")</f>
        <v>Leonard 5' Layup (6 PTS)</v>
      </c>
      <c r="L4312" s="2" t="str">
        <f>HYPERLINK("https://www.nba.com/game/...-vs-...-0021700530/play-by-play?watchFullGame=true", "SAS vs DET - Q2 04:08.00")</f>
        <v>SAS vs DET - Q2 04:08.00</v>
      </c>
      <c r="M4312">
        <v>5</v>
      </c>
      <c r="N4312">
        <v>-25</v>
      </c>
      <c r="O4312">
        <v>43</v>
      </c>
      <c r="P4312">
        <v>-25</v>
      </c>
      <c r="Q4312">
        <v>43</v>
      </c>
      <c r="R4312" t="s">
        <v>21</v>
      </c>
      <c r="S4312" t="s">
        <v>21</v>
      </c>
    </row>
    <row r="4313" spans="1:19" hidden="1" x14ac:dyDescent="0.25">
      <c r="A4313">
        <v>21801098</v>
      </c>
      <c r="B4313" t="s">
        <v>18</v>
      </c>
      <c r="C4313" t="s">
        <v>37</v>
      </c>
      <c r="D4313">
        <v>108</v>
      </c>
      <c r="E4313">
        <v>109</v>
      </c>
      <c r="F4313">
        <v>1</v>
      </c>
      <c r="G4313">
        <v>4</v>
      </c>
      <c r="H4313" s="1">
        <v>2.9050925925925928E-3</v>
      </c>
      <c r="I4313">
        <v>2018</v>
      </c>
      <c r="J4313" t="s">
        <v>48</v>
      </c>
      <c r="K4313" s="2" t="str">
        <f>HYPERLINK("https://www.nba.com/stats/events?CFID=&amp;CFPARAMS=&amp;GameEventID=582&amp;GameID=0021801098&amp;Season=2018-19&amp;flag=1&amp;title=Leonard%205'%20Fadeaway%20Jumper%20(24%20PTS)", "Leonard 5' Fadeaway Jumper (24 PTS)")</f>
        <v>Leonard 5' Fadeaway Jumper (24 PTS)</v>
      </c>
      <c r="L4313" s="2" t="str">
        <f>HYPERLINK("https://www.nba.com/game/...-vs-...-0021801098/play-by-play?watchFullGame=true", "TOR vs CHA - Q4 04:11.00")</f>
        <v>TOR vs CHA - Q4 04:11.00</v>
      </c>
      <c r="M4313">
        <v>5</v>
      </c>
      <c r="N4313">
        <v>1</v>
      </c>
      <c r="O4313">
        <v>53</v>
      </c>
      <c r="P4313">
        <v>1</v>
      </c>
      <c r="Q4313">
        <v>53</v>
      </c>
      <c r="R4313" t="s">
        <v>21</v>
      </c>
      <c r="S4313" t="s">
        <v>21</v>
      </c>
    </row>
    <row r="4314" spans="1:19" hidden="1" x14ac:dyDescent="0.25">
      <c r="A4314">
        <v>41300403</v>
      </c>
      <c r="B4314" t="s">
        <v>18</v>
      </c>
      <c r="C4314" t="s">
        <v>76</v>
      </c>
      <c r="D4314">
        <v>104</v>
      </c>
      <c r="E4314">
        <v>86</v>
      </c>
      <c r="F4314">
        <v>18</v>
      </c>
      <c r="G4314">
        <v>4</v>
      </c>
      <c r="H4314" s="1">
        <v>2.9513888888888888E-3</v>
      </c>
      <c r="I4314" t="s">
        <v>55</v>
      </c>
      <c r="J4314" t="s">
        <v>20</v>
      </c>
      <c r="K4314" s="2" t="str">
        <f>HYPERLINK("https://www.nba.com/stats/events?CFID=&amp;CFPARAMS=&amp;GameEventID=448&amp;GameID=0041300403&amp;Season=2013-14&amp;flag=1&amp;title=Leonard%205'%20Hook%20Bank%20Shot%20(28%20PTS)", "Leonard 5' Hook Bank Shot (28 PTS)")</f>
        <v>Leonard 5' Hook Bank Shot (28 PTS)</v>
      </c>
      <c r="L4314" s="2" t="str">
        <f>HYPERLINK("https://www.nba.com/game/...-vs-...-0041300403/play-by-play?watchFullGame=true", "SAS vs MIA - Q4 04:15.00")</f>
        <v>SAS vs MIA - Q4 04:15.00</v>
      </c>
      <c r="M4314">
        <v>5</v>
      </c>
      <c r="N4314">
        <v>42</v>
      </c>
      <c r="O4314">
        <v>28</v>
      </c>
      <c r="P4314">
        <v>42</v>
      </c>
      <c r="Q4314">
        <v>28</v>
      </c>
      <c r="R4314" t="s">
        <v>21</v>
      </c>
      <c r="S4314" t="s">
        <v>21</v>
      </c>
    </row>
    <row r="4315" spans="1:19" hidden="1" x14ac:dyDescent="0.25">
      <c r="A4315">
        <v>21400648</v>
      </c>
      <c r="B4315" t="s">
        <v>18</v>
      </c>
      <c r="C4315" t="s">
        <v>19</v>
      </c>
      <c r="D4315">
        <v>17</v>
      </c>
      <c r="E4315">
        <v>8</v>
      </c>
      <c r="F4315">
        <v>9</v>
      </c>
      <c r="G4315">
        <v>1</v>
      </c>
      <c r="H4315" s="1">
        <v>3.0324074074074073E-3</v>
      </c>
      <c r="I4315">
        <v>2014</v>
      </c>
      <c r="J4315" t="s">
        <v>20</v>
      </c>
      <c r="K4315" s="2" t="str">
        <f>HYPERLINK("https://www.nba.com/stats/events?CFID=&amp;CFPARAMS=&amp;GameEventID=54&amp;GameID=0021400648&amp;Season=2014-15&amp;flag=1&amp;title=Leonard%205'%20Jump%20Shot%20(4%20PTS)", "Leonard 5' Jump Shot (4 PTS)")</f>
        <v>Leonard 5' Jump Shot (4 PTS)</v>
      </c>
      <c r="L4315" s="2" t="str">
        <f>HYPERLINK("https://www.nba.com/game/...-vs-...-0021400648/play-by-play?watchFullGame=true", "SAS vs LAL - Q1 04:22.00")</f>
        <v>SAS vs LAL - Q1 04:22.00</v>
      </c>
      <c r="M4315">
        <v>5</v>
      </c>
      <c r="N4315">
        <v>23</v>
      </c>
      <c r="O4315">
        <v>45</v>
      </c>
      <c r="P4315">
        <v>23</v>
      </c>
      <c r="Q4315">
        <v>45</v>
      </c>
      <c r="R4315" t="s">
        <v>21</v>
      </c>
      <c r="S4315" t="s">
        <v>21</v>
      </c>
    </row>
    <row r="4316" spans="1:19" hidden="1" x14ac:dyDescent="0.25">
      <c r="A4316">
        <v>21400875</v>
      </c>
      <c r="B4316" t="s">
        <v>18</v>
      </c>
      <c r="C4316" t="s">
        <v>73</v>
      </c>
      <c r="D4316">
        <v>85</v>
      </c>
      <c r="E4316">
        <v>62</v>
      </c>
      <c r="F4316">
        <v>23</v>
      </c>
      <c r="G4316">
        <v>4</v>
      </c>
      <c r="H4316" s="1">
        <v>3.1134259259259257E-3</v>
      </c>
      <c r="I4316">
        <v>2014</v>
      </c>
      <c r="J4316" t="s">
        <v>20</v>
      </c>
      <c r="K4316" s="2" t="str">
        <f>HYPERLINK("https://www.nba.com/stats/events?CFID=&amp;CFPARAMS=&amp;GameEventID=505&amp;GameID=0021400875&amp;Season=2014-15&amp;flag=1&amp;title=Leonard%205'%20Running%20Bank%20Shot%20(21%20PTS)", "Leonard 5' Running Bank Shot (21 PTS)")</f>
        <v>Leonard 5' Running Bank Shot (21 PTS)</v>
      </c>
      <c r="L4316" s="2" t="str">
        <f>HYPERLINK("https://www.nba.com/game/...-vs-...-0021400875/play-by-play?watchFullGame=true", "SAS vs PHX - Q4 04:29.00")</f>
        <v>SAS vs PHX - Q4 04:29.00</v>
      </c>
      <c r="M4316">
        <v>5</v>
      </c>
      <c r="N4316">
        <v>-7</v>
      </c>
      <c r="O4316">
        <v>48</v>
      </c>
      <c r="P4316">
        <v>-7</v>
      </c>
      <c r="Q4316">
        <v>48</v>
      </c>
      <c r="R4316" t="s">
        <v>21</v>
      </c>
      <c r="S4316" t="s">
        <v>21</v>
      </c>
    </row>
    <row r="4317" spans="1:19" hidden="1" x14ac:dyDescent="0.25">
      <c r="A4317">
        <v>21600817</v>
      </c>
      <c r="B4317" t="s">
        <v>18</v>
      </c>
      <c r="C4317" t="s">
        <v>30</v>
      </c>
      <c r="D4317">
        <v>59</v>
      </c>
      <c r="E4317">
        <v>59</v>
      </c>
      <c r="F4317">
        <v>0</v>
      </c>
      <c r="G4317">
        <v>3</v>
      </c>
      <c r="H4317" s="1">
        <v>3.460648148148148E-3</v>
      </c>
      <c r="I4317">
        <v>2016</v>
      </c>
      <c r="J4317" t="s">
        <v>20</v>
      </c>
      <c r="K4317" s="2" t="str">
        <f>HYPERLINK("https://www.nba.com/stats/events?CFID=&amp;CFPARAMS=&amp;GameEventID=303&amp;GameID=0021600817&amp;Season=2016-17&amp;flag=1&amp;title=Leonard%205'%20Running%20Jump%20Shot%20(21%20PTS)", "Leonard 5' Running Jump Shot (21 PTS)")</f>
        <v>Leonard 5' Running Jump Shot (21 PTS)</v>
      </c>
      <c r="L4317" s="2" t="str">
        <f>HYPERLINK("https://www.nba.com/game/...-vs-...-0021600817/play-by-play?watchFullGame=true", "SAS vs NYK - Q3 04:59.00")</f>
        <v>SAS vs NYK - Q3 04:59.00</v>
      </c>
      <c r="M4317">
        <v>5</v>
      </c>
      <c r="N4317">
        <v>-29</v>
      </c>
      <c r="O4317">
        <v>43</v>
      </c>
      <c r="P4317">
        <v>-29</v>
      </c>
      <c r="Q4317">
        <v>43</v>
      </c>
      <c r="R4317" t="s">
        <v>21</v>
      </c>
      <c r="S4317" t="s">
        <v>21</v>
      </c>
    </row>
    <row r="4318" spans="1:19" hidden="1" x14ac:dyDescent="0.25">
      <c r="A4318">
        <v>21400314</v>
      </c>
      <c r="B4318" t="s">
        <v>18</v>
      </c>
      <c r="C4318" t="s">
        <v>19</v>
      </c>
      <c r="D4318">
        <v>57</v>
      </c>
      <c r="E4318">
        <v>62</v>
      </c>
      <c r="F4318">
        <v>5</v>
      </c>
      <c r="G4318">
        <v>3</v>
      </c>
      <c r="H4318" s="1">
        <v>3.460648148148148E-3</v>
      </c>
      <c r="I4318">
        <v>2014</v>
      </c>
      <c r="J4318" t="s">
        <v>20</v>
      </c>
      <c r="K4318" s="2" t="str">
        <f>HYPERLINK("https://www.nba.com/stats/events?CFID=&amp;CFPARAMS=&amp;GameEventID=290&amp;GameID=0021400314&amp;Season=2014-15&amp;flag=1&amp;title=Leonard%205'%20Jump%20Shot%20(9%20PTS)", "Leonard 5' Jump Shot (9 PTS)")</f>
        <v>Leonard 5' Jump Shot (9 PTS)</v>
      </c>
      <c r="L4318" s="2" t="str">
        <f>HYPERLINK("https://www.nba.com/game/...-vs-...-0021400314/play-by-play?watchFullGame=true", "SAS vs UTA - Q3 04:59.00")</f>
        <v>SAS vs UTA - Q3 04:59.00</v>
      </c>
      <c r="M4318">
        <v>5</v>
      </c>
      <c r="N4318">
        <v>50</v>
      </c>
      <c r="O4318">
        <v>15</v>
      </c>
      <c r="P4318">
        <v>50</v>
      </c>
      <c r="Q4318">
        <v>15</v>
      </c>
      <c r="R4318" t="s">
        <v>21</v>
      </c>
      <c r="S4318" t="s">
        <v>21</v>
      </c>
    </row>
    <row r="4319" spans="1:19" hidden="1" x14ac:dyDescent="0.25">
      <c r="A4319">
        <v>21800766</v>
      </c>
      <c r="B4319" t="s">
        <v>18</v>
      </c>
      <c r="C4319" t="s">
        <v>29</v>
      </c>
      <c r="D4319">
        <v>88</v>
      </c>
      <c r="E4319">
        <v>96</v>
      </c>
      <c r="F4319">
        <v>8</v>
      </c>
      <c r="G4319">
        <v>4</v>
      </c>
      <c r="H4319" s="1">
        <v>3.5532407407407409E-3</v>
      </c>
      <c r="I4319">
        <v>2018</v>
      </c>
      <c r="J4319" t="s">
        <v>48</v>
      </c>
      <c r="K4319" s="2" t="str">
        <f>HYPERLINK("https://www.nba.com/stats/events?CFID=&amp;CFPARAMS=&amp;GameEventID=593&amp;GameID=0021800766&amp;Season=2018-19&amp;flag=1&amp;title=Leonard%205'%20Jump%20Bank%20Shot%20(14%20PTS)", "Leonard 5' Jump Bank Shot (14 PTS)")</f>
        <v>Leonard 5' Jump Bank Shot (14 PTS)</v>
      </c>
      <c r="L4319" s="2" t="str">
        <f>HYPERLINK("https://www.nba.com/game/...-vs-...-0021800766/play-by-play?watchFullGame=true", "TOR vs MIL - Q4 05:07.00")</f>
        <v>TOR vs MIL - Q4 05:07.00</v>
      </c>
      <c r="M4319">
        <v>5</v>
      </c>
      <c r="N4319">
        <v>36</v>
      </c>
      <c r="O4319">
        <v>27</v>
      </c>
      <c r="P4319">
        <v>36</v>
      </c>
      <c r="Q4319">
        <v>27</v>
      </c>
      <c r="R4319" t="s">
        <v>21</v>
      </c>
      <c r="S4319" t="s">
        <v>21</v>
      </c>
    </row>
    <row r="4320" spans="1:19" hidden="1" x14ac:dyDescent="0.25">
      <c r="A4320">
        <v>21800639</v>
      </c>
      <c r="B4320" t="s">
        <v>18</v>
      </c>
      <c r="C4320" t="s">
        <v>34</v>
      </c>
      <c r="D4320">
        <v>115</v>
      </c>
      <c r="E4320">
        <v>106</v>
      </c>
      <c r="F4320">
        <v>9</v>
      </c>
      <c r="G4320">
        <v>4</v>
      </c>
      <c r="H4320" s="1">
        <v>3.5763888888888889E-3</v>
      </c>
      <c r="I4320">
        <v>2018</v>
      </c>
      <c r="J4320" t="s">
        <v>48</v>
      </c>
      <c r="K4320" s="2" t="str">
        <f>HYPERLINK("https://www.nba.com/stats/events?CFID=&amp;CFPARAMS=&amp;GameEventID=601&amp;GameID=0021800639&amp;Season=2018-19&amp;flag=1&amp;title=Leonard%205'%20Turnaround%20Jump%20Shot%20(26%20PTS)", "Leonard 5' Turnaround Jump Shot (26 PTS)")</f>
        <v>Leonard 5' Turnaround Jump Shot (26 PTS)</v>
      </c>
      <c r="L4320" s="2" t="str">
        <f>HYPERLINK("https://www.nba.com/game/...-vs-...-0021800639/play-by-play?watchFullGame=true", "TOR vs WAS - Q4 05:09.00")</f>
        <v>TOR vs WAS - Q4 05:09.00</v>
      </c>
      <c r="M4320">
        <v>5</v>
      </c>
      <c r="N4320">
        <v>-12</v>
      </c>
      <c r="O4320">
        <v>44</v>
      </c>
      <c r="P4320">
        <v>-12</v>
      </c>
      <c r="Q4320">
        <v>44</v>
      </c>
      <c r="R4320" t="s">
        <v>21</v>
      </c>
      <c r="S4320" t="s">
        <v>21</v>
      </c>
    </row>
    <row r="4321" spans="1:19" hidden="1" x14ac:dyDescent="0.25">
      <c r="A4321">
        <v>21500854</v>
      </c>
      <c r="B4321" t="s">
        <v>18</v>
      </c>
      <c r="C4321" t="s">
        <v>47</v>
      </c>
      <c r="D4321">
        <v>42</v>
      </c>
      <c r="E4321">
        <v>34</v>
      </c>
      <c r="F4321">
        <v>8</v>
      </c>
      <c r="G4321">
        <v>2</v>
      </c>
      <c r="H4321" s="1">
        <v>3.7268518518518519E-3</v>
      </c>
      <c r="I4321">
        <v>2015</v>
      </c>
      <c r="J4321" t="s">
        <v>20</v>
      </c>
      <c r="K4321" s="2" t="str">
        <f>HYPERLINK("https://www.nba.com/stats/events?CFID=&amp;CFPARAMS=&amp;GameEventID=198&amp;GameID=0021500854&amp;Season=2015-16&amp;flag=1&amp;title=Leonard%205'%20Hook%20Shot%20(7%20PTS)%20(Diaw%203%20AST)", "Leonard 5' Hook Shot (7 PTS) (Diaw 3 AST)")</f>
        <v>Leonard 5' Hook Shot (7 PTS) (Diaw 3 AST)</v>
      </c>
      <c r="L4321" s="2" t="str">
        <f>HYPERLINK("https://www.nba.com/game/...-vs-...-0021500854/play-by-play?watchFullGame=true", "SAS vs SAC - Q2 05:22.00")</f>
        <v>SAS vs SAC - Q2 05:22.00</v>
      </c>
      <c r="M4321">
        <v>5</v>
      </c>
      <c r="N4321">
        <v>1</v>
      </c>
      <c r="O4321">
        <v>47</v>
      </c>
      <c r="P4321">
        <v>1</v>
      </c>
      <c r="Q4321">
        <v>47</v>
      </c>
      <c r="R4321" t="s">
        <v>21</v>
      </c>
      <c r="S4321" t="s">
        <v>21</v>
      </c>
    </row>
    <row r="4322" spans="1:19" hidden="1" x14ac:dyDescent="0.25">
      <c r="A4322">
        <v>21601227</v>
      </c>
      <c r="B4322" t="s">
        <v>18</v>
      </c>
      <c r="C4322" t="s">
        <v>59</v>
      </c>
      <c r="D4322">
        <v>86</v>
      </c>
      <c r="E4322">
        <v>88</v>
      </c>
      <c r="F4322">
        <v>2</v>
      </c>
      <c r="G4322">
        <v>4</v>
      </c>
      <c r="H4322" s="1">
        <v>3.7384259259259259E-3</v>
      </c>
      <c r="I4322">
        <v>2016</v>
      </c>
      <c r="J4322" t="s">
        <v>20</v>
      </c>
      <c r="K4322" s="2" t="str">
        <f>HYPERLINK("https://www.nba.com/stats/events?CFID=&amp;CFPARAMS=&amp;GameEventID=417&amp;GameID=0021601227&amp;Season=2016-17&amp;flag=1&amp;title=Leonard%205'%20Floating%20Jump%20Shot%20(14%20PTS)", "Leonard 5' Floating Jump Shot (14 PTS)")</f>
        <v>Leonard 5' Floating Jump Shot (14 PTS)</v>
      </c>
      <c r="L4322" s="2" t="str">
        <f>HYPERLINK("https://www.nba.com/game/...-vs-...-0021601227/play-by-play?watchFullGame=true", "SAS vs UTA - Q4 05:23.00")</f>
        <v>SAS vs UTA - Q4 05:23.00</v>
      </c>
      <c r="M4322">
        <v>5</v>
      </c>
      <c r="N4322">
        <v>2</v>
      </c>
      <c r="O4322">
        <v>46</v>
      </c>
      <c r="P4322">
        <v>2</v>
      </c>
      <c r="Q4322">
        <v>46</v>
      </c>
      <c r="R4322" t="s">
        <v>21</v>
      </c>
      <c r="S4322" t="s">
        <v>21</v>
      </c>
    </row>
    <row r="4323" spans="1:19" hidden="1" x14ac:dyDescent="0.25">
      <c r="A4323">
        <v>21600134</v>
      </c>
      <c r="B4323" t="s">
        <v>18</v>
      </c>
      <c r="C4323" t="s">
        <v>22</v>
      </c>
      <c r="D4323">
        <v>94</v>
      </c>
      <c r="E4323">
        <v>84</v>
      </c>
      <c r="F4323">
        <v>10</v>
      </c>
      <c r="G4323">
        <v>4</v>
      </c>
      <c r="H4323" s="1">
        <v>3.7731481481481483E-3</v>
      </c>
      <c r="I4323">
        <v>2016</v>
      </c>
      <c r="J4323" t="s">
        <v>20</v>
      </c>
      <c r="K4323" s="2" t="str">
        <f>HYPERLINK("https://www.nba.com/stats/events?CFID=&amp;CFPARAMS=&amp;GameEventID=477&amp;GameID=0021600134&amp;Season=2016-17&amp;flag=1&amp;title=Leonard%205'%20Driving%20Layup%20(14%20PTS)", "Leonard 5' Driving Layup (14 PTS)")</f>
        <v>Leonard 5' Driving Layup (14 PTS)</v>
      </c>
      <c r="L4323" s="2" t="str">
        <f>HYPERLINK("https://www.nba.com/game/...-vs-...-0021600134/play-by-play?watchFullGame=true", "SAS vs HOU - Q4 05:26.00")</f>
        <v>SAS vs HOU - Q4 05:26.00</v>
      </c>
      <c r="M4323">
        <v>5</v>
      </c>
      <c r="N4323">
        <v>-42</v>
      </c>
      <c r="O4323">
        <v>18</v>
      </c>
      <c r="P4323">
        <v>-42</v>
      </c>
      <c r="Q4323">
        <v>18</v>
      </c>
      <c r="R4323" t="s">
        <v>21</v>
      </c>
      <c r="S4323" t="s">
        <v>21</v>
      </c>
    </row>
    <row r="4324" spans="1:19" hidden="1" x14ac:dyDescent="0.25">
      <c r="A4324">
        <v>21600134</v>
      </c>
      <c r="B4324" t="s">
        <v>18</v>
      </c>
      <c r="C4324" t="s">
        <v>30</v>
      </c>
      <c r="D4324">
        <v>11</v>
      </c>
      <c r="E4324">
        <v>11</v>
      </c>
      <c r="F4324">
        <v>0</v>
      </c>
      <c r="G4324">
        <v>1</v>
      </c>
      <c r="H4324" s="1">
        <v>3.7962962962962963E-3</v>
      </c>
      <c r="I4324">
        <v>2016</v>
      </c>
      <c r="J4324" t="s">
        <v>20</v>
      </c>
      <c r="K4324" s="2" t="str">
        <f>HYPERLINK("https://www.nba.com/stats/events?CFID=&amp;CFPARAMS=&amp;GameEventID=71&amp;GameID=0021600134&amp;Season=2016-17&amp;flag=1&amp;title=Leonard%205'%20Running%20Jump%20Shot%20(4%20PTS)", "Leonard 5' Running Jump Shot (4 PTS)")</f>
        <v>Leonard 5' Running Jump Shot (4 PTS)</v>
      </c>
      <c r="L4324" s="2" t="str">
        <f>HYPERLINK("https://www.nba.com/game/...-vs-...-0021600134/play-by-play?watchFullGame=true", "SAS vs HOU - Q1 05:28.00")</f>
        <v>SAS vs HOU - Q1 05:28.00</v>
      </c>
      <c r="M4324">
        <v>5</v>
      </c>
      <c r="N4324">
        <v>-12</v>
      </c>
      <c r="O4324">
        <v>51</v>
      </c>
      <c r="P4324">
        <v>-12</v>
      </c>
      <c r="Q4324">
        <v>51</v>
      </c>
      <c r="R4324" t="s">
        <v>21</v>
      </c>
      <c r="S4324" t="s">
        <v>21</v>
      </c>
    </row>
    <row r="4325" spans="1:19" hidden="1" x14ac:dyDescent="0.25">
      <c r="A4325">
        <v>21301154</v>
      </c>
      <c r="B4325" t="s">
        <v>18</v>
      </c>
      <c r="C4325" t="s">
        <v>54</v>
      </c>
      <c r="D4325">
        <v>75</v>
      </c>
      <c r="E4325">
        <v>52</v>
      </c>
      <c r="F4325">
        <v>23</v>
      </c>
      <c r="G4325">
        <v>3</v>
      </c>
      <c r="H4325" s="1">
        <v>3.9120370370370368E-3</v>
      </c>
      <c r="I4325">
        <v>2013</v>
      </c>
      <c r="J4325" t="s">
        <v>20</v>
      </c>
      <c r="K4325" s="2" t="str">
        <f>HYPERLINK("https://www.nba.com/stats/events?CFID=&amp;CFPARAMS=&amp;GameEventID=298&amp;GameID=0021301154&amp;Season=2013-14&amp;flag=1&amp;title=Leonard%205'%20Driving%20Jump%20Shot%20(21%20PTS)", "Leonard 5' Driving Jump Shot (21 PTS)")</f>
        <v>Leonard 5' Driving Jump Shot (21 PTS)</v>
      </c>
      <c r="L4325" s="2" t="str">
        <f>HYPERLINK("https://www.nba.com/game/...-vs-...-0021301154/play-by-play?watchFullGame=true", "SAS vs MEM - Q3 05:38.00")</f>
        <v>SAS vs MEM - Q3 05:38.00</v>
      </c>
      <c r="M4325">
        <v>5</v>
      </c>
      <c r="N4325">
        <v>50</v>
      </c>
      <c r="O4325">
        <v>14</v>
      </c>
      <c r="P4325">
        <v>50</v>
      </c>
      <c r="Q4325">
        <v>14</v>
      </c>
      <c r="R4325" t="s">
        <v>21</v>
      </c>
      <c r="S4325" t="s">
        <v>21</v>
      </c>
    </row>
    <row r="4326" spans="1:19" hidden="1" x14ac:dyDescent="0.25">
      <c r="A4326">
        <v>41200402</v>
      </c>
      <c r="B4326" t="s">
        <v>18</v>
      </c>
      <c r="C4326" t="s">
        <v>19</v>
      </c>
      <c r="D4326">
        <v>58</v>
      </c>
      <c r="E4326">
        <v>56</v>
      </c>
      <c r="F4326">
        <v>2</v>
      </c>
      <c r="G4326">
        <v>3</v>
      </c>
      <c r="H4326" s="1">
        <v>4.0972222222222226E-3</v>
      </c>
      <c r="I4326" t="s">
        <v>53</v>
      </c>
      <c r="J4326" t="s">
        <v>20</v>
      </c>
      <c r="K4326" s="2" t="str">
        <f>HYPERLINK("https://www.nba.com/stats/events?CFID=&amp;CFPARAMS=&amp;GameEventID=282&amp;GameID=0041200402&amp;Season=2012-13&amp;flag=1&amp;title=Leonard%205'%20Jump%20Shot%20(9%20PTS)%20(Splitter%201%20AST)", "Leonard 5' Jump Shot (9 PTS) (Splitter 1 AST)")</f>
        <v>Leonard 5' Jump Shot (9 PTS) (Splitter 1 AST)</v>
      </c>
      <c r="L4326" s="2" t="str">
        <f>HYPERLINK("https://www.nba.com/game/...-vs-...-0041200402/play-by-play?watchFullGame=true", "SAS vs MIA - Q3 05:54.00")</f>
        <v>SAS vs MIA - Q3 05:54.00</v>
      </c>
      <c r="M4326">
        <v>5</v>
      </c>
      <c r="N4326">
        <v>-4</v>
      </c>
      <c r="O4326">
        <v>47</v>
      </c>
      <c r="P4326">
        <v>-4</v>
      </c>
      <c r="Q4326">
        <v>47</v>
      </c>
      <c r="R4326" t="s">
        <v>21</v>
      </c>
      <c r="S4326" t="s">
        <v>21</v>
      </c>
    </row>
    <row r="4327" spans="1:19" hidden="1" x14ac:dyDescent="0.25">
      <c r="A4327">
        <v>21300965</v>
      </c>
      <c r="B4327" t="s">
        <v>18</v>
      </c>
      <c r="C4327" t="s">
        <v>54</v>
      </c>
      <c r="D4327">
        <v>90</v>
      </c>
      <c r="E4327">
        <v>73</v>
      </c>
      <c r="F4327">
        <v>17</v>
      </c>
      <c r="G4327">
        <v>4</v>
      </c>
      <c r="H4327" s="1">
        <v>4.0972222222222226E-3</v>
      </c>
      <c r="I4327">
        <v>2013</v>
      </c>
      <c r="J4327" t="s">
        <v>20</v>
      </c>
      <c r="K4327" s="2" t="str">
        <f>HYPERLINK("https://www.nba.com/stats/events?CFID=&amp;CFPARAMS=&amp;GameEventID=484&amp;GameID=0021300965&amp;Season=2013-14&amp;flag=1&amp;title=Leonard%205'%20Driving%20Jump%20Shot%20(12%20PTS)%20(Mills%202%20AST)", "Leonard 5' Driving Jump Shot (12 PTS) (Mills 2 AST)")</f>
        <v>Leonard 5' Driving Jump Shot (12 PTS) (Mills 2 AST)</v>
      </c>
      <c r="L4327" s="2" t="str">
        <f>HYPERLINK("https://www.nba.com/game/...-vs-...-0021300965/play-by-play?watchFullGame=true", "SAS vs POR - Q4 05:54.00")</f>
        <v>SAS vs POR - Q4 05:54.00</v>
      </c>
      <c r="M4327">
        <v>5</v>
      </c>
      <c r="N4327">
        <v>31</v>
      </c>
      <c r="O4327">
        <v>42</v>
      </c>
      <c r="P4327">
        <v>31</v>
      </c>
      <c r="Q4327">
        <v>42</v>
      </c>
      <c r="R4327" t="s">
        <v>21</v>
      </c>
      <c r="S4327" t="s">
        <v>21</v>
      </c>
    </row>
    <row r="4328" spans="1:19" hidden="1" x14ac:dyDescent="0.25">
      <c r="A4328">
        <v>41300224</v>
      </c>
      <c r="B4328" t="s">
        <v>18</v>
      </c>
      <c r="C4328" t="s">
        <v>54</v>
      </c>
      <c r="D4328">
        <v>14</v>
      </c>
      <c r="E4328">
        <v>16</v>
      </c>
      <c r="F4328">
        <v>2</v>
      </c>
      <c r="G4328">
        <v>1</v>
      </c>
      <c r="H4328" s="1">
        <v>4.1435185185185186E-3</v>
      </c>
      <c r="I4328" t="s">
        <v>55</v>
      </c>
      <c r="J4328" t="s">
        <v>20</v>
      </c>
      <c r="K4328" s="2" t="str">
        <f>HYPERLINK("https://www.nba.com/stats/events?CFID=&amp;CFPARAMS=&amp;GameEventID=43&amp;GameID=0041300224&amp;Season=2013-14&amp;flag=1&amp;title=Leonard%205'%20Driving%20Jump%20Shot%20(4%20PTS)", "Leonard 5' Driving Jump Shot (4 PTS)")</f>
        <v>Leonard 5' Driving Jump Shot (4 PTS)</v>
      </c>
      <c r="L4328" s="2" t="str">
        <f>HYPERLINK("https://www.nba.com/game/...-vs-...-0041300224/play-by-play?watchFullGame=true", "SAS vs POR - Q1 05:58.00")</f>
        <v>SAS vs POR - Q1 05:58.00</v>
      </c>
      <c r="M4328">
        <v>5</v>
      </c>
      <c r="N4328">
        <v>4</v>
      </c>
      <c r="O4328">
        <v>45</v>
      </c>
      <c r="P4328">
        <v>4</v>
      </c>
      <c r="Q4328">
        <v>45</v>
      </c>
      <c r="R4328" t="s">
        <v>21</v>
      </c>
      <c r="S4328" t="s">
        <v>21</v>
      </c>
    </row>
    <row r="4329" spans="1:19" hidden="1" x14ac:dyDescent="0.25">
      <c r="A4329">
        <v>21401028</v>
      </c>
      <c r="B4329" t="s">
        <v>18</v>
      </c>
      <c r="C4329" t="s">
        <v>30</v>
      </c>
      <c r="D4329">
        <v>71</v>
      </c>
      <c r="E4329">
        <v>56</v>
      </c>
      <c r="F4329">
        <v>15</v>
      </c>
      <c r="G4329">
        <v>3</v>
      </c>
      <c r="H4329" s="1">
        <v>4.2476851851851851E-3</v>
      </c>
      <c r="I4329">
        <v>2014</v>
      </c>
      <c r="J4329" t="s">
        <v>20</v>
      </c>
      <c r="K4329" s="2" t="str">
        <f>HYPERLINK("https://www.nba.com/stats/events?CFID=&amp;CFPARAMS=&amp;GameEventID=308&amp;GameID=0021401028&amp;Season=2014-15&amp;flag=1&amp;title=Leonard%205'%20Running%20Jump%20Shot%20(13%20PTS)%20(Parker%205%20AST)", "Leonard 5' Running Jump Shot (13 PTS) (Parker 5 AST)")</f>
        <v>Leonard 5' Running Jump Shot (13 PTS) (Parker 5 AST)</v>
      </c>
      <c r="L4329" s="2" t="str">
        <f>HYPERLINK("https://www.nba.com/game/...-vs-...-0021401028/play-by-play?watchFullGame=true", "SAS vs BOS - Q3 06:07.00")</f>
        <v>SAS vs BOS - Q3 06:07.00</v>
      </c>
      <c r="M4329">
        <v>5</v>
      </c>
      <c r="N4329">
        <v>6</v>
      </c>
      <c r="O4329">
        <v>50</v>
      </c>
      <c r="P4329">
        <v>6</v>
      </c>
      <c r="Q4329">
        <v>50</v>
      </c>
      <c r="R4329" t="s">
        <v>21</v>
      </c>
      <c r="S4329" t="s">
        <v>21</v>
      </c>
    </row>
    <row r="4330" spans="1:19" hidden="1" x14ac:dyDescent="0.25">
      <c r="A4330">
        <v>41300404</v>
      </c>
      <c r="B4330" t="s">
        <v>18</v>
      </c>
      <c r="C4330" t="s">
        <v>43</v>
      </c>
      <c r="D4330">
        <v>39</v>
      </c>
      <c r="E4330">
        <v>28</v>
      </c>
      <c r="F4330">
        <v>11</v>
      </c>
      <c r="G4330">
        <v>2</v>
      </c>
      <c r="H4330" s="1">
        <v>4.2708333333333331E-3</v>
      </c>
      <c r="I4330" t="s">
        <v>55</v>
      </c>
      <c r="J4330" t="s">
        <v>20</v>
      </c>
      <c r="K4330" s="2" t="str">
        <f>HYPERLINK("https://www.nba.com/stats/events?CFID=&amp;CFPARAMS=&amp;GameEventID=167&amp;GameID=0041300404&amp;Season=2013-14&amp;flag=1&amp;title=Leonard%205'%20Driving%20Bank%20Shot%20(4%20PTS)", "Leonard 5' Driving Bank Shot (4 PTS)")</f>
        <v>Leonard 5' Driving Bank Shot (4 PTS)</v>
      </c>
      <c r="L4330" s="2" t="str">
        <f>HYPERLINK("https://www.nba.com/game/...-vs-...-0041300404/play-by-play?watchFullGame=true", "SAS vs MIA - Q2 06:09.00")</f>
        <v>SAS vs MIA - Q2 06:09.00</v>
      </c>
      <c r="M4330">
        <v>5</v>
      </c>
      <c r="N4330">
        <v>-23</v>
      </c>
      <c r="O4330">
        <v>45</v>
      </c>
      <c r="P4330">
        <v>-23</v>
      </c>
      <c r="Q4330">
        <v>45</v>
      </c>
      <c r="R4330" t="s">
        <v>21</v>
      </c>
      <c r="S4330" t="s">
        <v>21</v>
      </c>
    </row>
    <row r="4331" spans="1:19" hidden="1" x14ac:dyDescent="0.25">
      <c r="A4331">
        <v>21400139</v>
      </c>
      <c r="B4331" t="s">
        <v>18</v>
      </c>
      <c r="C4331" t="s">
        <v>29</v>
      </c>
      <c r="D4331">
        <v>79</v>
      </c>
      <c r="E4331">
        <v>82</v>
      </c>
      <c r="F4331">
        <v>3</v>
      </c>
      <c r="G4331">
        <v>4</v>
      </c>
      <c r="H4331" s="1">
        <v>4.2939814814814811E-3</v>
      </c>
      <c r="I4331">
        <v>2014</v>
      </c>
      <c r="J4331" t="s">
        <v>20</v>
      </c>
      <c r="K4331" s="2" t="str">
        <f>HYPERLINK("https://www.nba.com/stats/events?CFID=&amp;CFPARAMS=&amp;GameEventID=435&amp;GameID=0021400139&amp;Season=2014-15&amp;flag=1&amp;title=Leonard%205'%20Jump%20Bank%20Shot%20(16%20PTS)", "Leonard 5' Jump Bank Shot (16 PTS)")</f>
        <v>Leonard 5' Jump Bank Shot (16 PTS)</v>
      </c>
      <c r="L4331" s="2" t="str">
        <f>HYPERLINK("https://www.nba.com/game/...-vs-...-0021400139/play-by-play?watchFullGame=true", "SAS vs SAC - Q4 06:11.00")</f>
        <v>SAS vs SAC - Q4 06:11.00</v>
      </c>
      <c r="M4331">
        <v>5</v>
      </c>
      <c r="N4331">
        <v>18</v>
      </c>
      <c r="O4331">
        <v>42</v>
      </c>
      <c r="P4331">
        <v>18</v>
      </c>
      <c r="Q4331">
        <v>42</v>
      </c>
      <c r="R4331" t="s">
        <v>21</v>
      </c>
      <c r="S4331" t="s">
        <v>21</v>
      </c>
    </row>
    <row r="4332" spans="1:19" hidden="1" x14ac:dyDescent="0.25">
      <c r="A4332">
        <v>21500048</v>
      </c>
      <c r="B4332" t="s">
        <v>18</v>
      </c>
      <c r="C4332" t="s">
        <v>47</v>
      </c>
      <c r="D4332">
        <v>31</v>
      </c>
      <c r="E4332">
        <v>29</v>
      </c>
      <c r="F4332">
        <v>2</v>
      </c>
      <c r="G4332">
        <v>2</v>
      </c>
      <c r="H4332" s="1">
        <v>4.8726851851851848E-3</v>
      </c>
      <c r="I4332">
        <v>2015</v>
      </c>
      <c r="J4332" t="s">
        <v>20</v>
      </c>
      <c r="K4332" s="2" t="str">
        <f>HYPERLINK("https://www.nba.com/stats/events?CFID=&amp;CFPARAMS=&amp;GameEventID=169&amp;GameID=0021500048&amp;Season=2015-16&amp;flag=1&amp;title=Leonard%205'%20Hook%20Shot%20(7%20PTS)", "Leonard 5' Hook Shot (7 PTS)")</f>
        <v>Leonard 5' Hook Shot (7 PTS)</v>
      </c>
      <c r="L4332" s="2" t="str">
        <f>HYPERLINK("https://www.nba.com/game/...-vs-...-0021500048/play-by-play?watchFullGame=true", "SAS vs NYK - Q2 07:01.00")</f>
        <v>SAS vs NYK - Q2 07:01.00</v>
      </c>
      <c r="M4332">
        <v>5</v>
      </c>
      <c r="N4332">
        <v>-4</v>
      </c>
      <c r="O4332">
        <v>47</v>
      </c>
      <c r="P4332">
        <v>-4</v>
      </c>
      <c r="Q4332">
        <v>47</v>
      </c>
      <c r="R4332" t="s">
        <v>21</v>
      </c>
      <c r="S4332" t="s">
        <v>21</v>
      </c>
    </row>
    <row r="4333" spans="1:19" hidden="1" x14ac:dyDescent="0.25">
      <c r="A4333">
        <v>21300888</v>
      </c>
      <c r="B4333" t="s">
        <v>18</v>
      </c>
      <c r="C4333" t="s">
        <v>36</v>
      </c>
      <c r="D4333">
        <v>36</v>
      </c>
      <c r="E4333">
        <v>28</v>
      </c>
      <c r="F4333">
        <v>8</v>
      </c>
      <c r="G4333">
        <v>2</v>
      </c>
      <c r="H4333" s="1">
        <v>4.9768518518518521E-3</v>
      </c>
      <c r="I4333">
        <v>2013</v>
      </c>
      <c r="J4333" t="s">
        <v>20</v>
      </c>
      <c r="K4333" s="2" t="str">
        <f>HYPERLINK("https://www.nba.com/stats/events?CFID=&amp;CFPARAMS=&amp;GameEventID=164&amp;GameID=0021300888&amp;Season=2013-14&amp;flag=1&amp;title=Leonard%205'%20Pullup%20Jump%20Shot%20(7%20PTS)", "Leonard 5' Pullup Jump Shot (7 PTS)")</f>
        <v>Leonard 5' Pullup Jump Shot (7 PTS)</v>
      </c>
      <c r="L4333" s="2" t="str">
        <f>HYPERLINK("https://www.nba.com/game/...-vs-...-0021300888/play-by-play?watchFullGame=true", "SAS vs DAL - Q2 07:10.00")</f>
        <v>SAS vs DAL - Q2 07:10.00</v>
      </c>
      <c r="M4333">
        <v>5</v>
      </c>
      <c r="N4333">
        <v>2</v>
      </c>
      <c r="O4333">
        <v>50</v>
      </c>
      <c r="P4333">
        <v>2</v>
      </c>
      <c r="Q4333">
        <v>50</v>
      </c>
      <c r="R4333" t="s">
        <v>21</v>
      </c>
      <c r="S4333" t="s">
        <v>21</v>
      </c>
    </row>
    <row r="4334" spans="1:19" hidden="1" x14ac:dyDescent="0.25">
      <c r="A4334">
        <v>21600817</v>
      </c>
      <c r="B4334" t="s">
        <v>18</v>
      </c>
      <c r="C4334" t="s">
        <v>42</v>
      </c>
      <c r="D4334">
        <v>32</v>
      </c>
      <c r="E4334">
        <v>26</v>
      </c>
      <c r="F4334">
        <v>6</v>
      </c>
      <c r="G4334">
        <v>2</v>
      </c>
      <c r="H4334" s="1">
        <v>5.2199074074074075E-3</v>
      </c>
      <c r="I4334">
        <v>2016</v>
      </c>
      <c r="J4334" t="s">
        <v>20</v>
      </c>
      <c r="K4334" s="2" t="str">
        <f>HYPERLINK("https://www.nba.com/stats/events?CFID=&amp;CFPARAMS=&amp;GameEventID=153&amp;GameID=0021600817&amp;Season=2016-17&amp;flag=1&amp;title=Leonard%205'%20Driving%20Floating%20Jump%20Shot%20(6%20PTS)", "Leonard 5' Driving Floating Jump Shot (6 PTS)")</f>
        <v>Leonard 5' Driving Floating Jump Shot (6 PTS)</v>
      </c>
      <c r="L4334" s="2" t="str">
        <f>HYPERLINK("https://www.nba.com/game/...-vs-...-0021600817/play-by-play?watchFullGame=true", "SAS vs NYK - Q2 07:31.00")</f>
        <v>SAS vs NYK - Q2 07:31.00</v>
      </c>
      <c r="M4334">
        <v>5</v>
      </c>
      <c r="N4334">
        <v>-47</v>
      </c>
      <c r="O4334">
        <v>8</v>
      </c>
      <c r="P4334">
        <v>-47</v>
      </c>
      <c r="Q4334">
        <v>8</v>
      </c>
      <c r="R4334" t="s">
        <v>21</v>
      </c>
      <c r="S4334" t="s">
        <v>21</v>
      </c>
    </row>
    <row r="4335" spans="1:19" hidden="1" x14ac:dyDescent="0.25">
      <c r="A4335">
        <v>21600240</v>
      </c>
      <c r="B4335" t="s">
        <v>18</v>
      </c>
      <c r="C4335" t="s">
        <v>19</v>
      </c>
      <c r="D4335">
        <v>8</v>
      </c>
      <c r="E4335">
        <v>9</v>
      </c>
      <c r="F4335">
        <v>1</v>
      </c>
      <c r="G4335">
        <v>1</v>
      </c>
      <c r="H4335" s="1">
        <v>5.2314814814814811E-3</v>
      </c>
      <c r="I4335">
        <v>2016</v>
      </c>
      <c r="J4335" t="s">
        <v>20</v>
      </c>
      <c r="K4335" s="2" t="str">
        <f>HYPERLINK("https://www.nba.com/stats/events?CFID=&amp;CFPARAMS=&amp;GameEventID=30&amp;GameID=0021600240&amp;Season=2016-17&amp;flag=1&amp;title=Leonard%205'%20Jump%20Shot%20(2%20PTS)", "Leonard 5' Jump Shot (2 PTS)")</f>
        <v>Leonard 5' Jump Shot (2 PTS)</v>
      </c>
      <c r="L4335" s="2" t="str">
        <f>HYPERLINK("https://www.nba.com/game/...-vs-...-0021600240/play-by-play?watchFullGame=true", "SAS vs WAS - Q1 07:32.00")</f>
        <v>SAS vs WAS - Q1 07:32.00</v>
      </c>
      <c r="M4335">
        <v>5</v>
      </c>
      <c r="N4335">
        <v>14</v>
      </c>
      <c r="O4335">
        <v>46</v>
      </c>
      <c r="P4335">
        <v>14</v>
      </c>
      <c r="Q4335">
        <v>46</v>
      </c>
      <c r="R4335" t="s">
        <v>21</v>
      </c>
      <c r="S4335" t="s">
        <v>21</v>
      </c>
    </row>
    <row r="4336" spans="1:19" hidden="1" x14ac:dyDescent="0.25">
      <c r="A4336">
        <v>21501001</v>
      </c>
      <c r="B4336" t="s">
        <v>18</v>
      </c>
      <c r="C4336" t="s">
        <v>29</v>
      </c>
      <c r="D4336">
        <v>86</v>
      </c>
      <c r="E4336">
        <v>77</v>
      </c>
      <c r="F4336">
        <v>9</v>
      </c>
      <c r="G4336">
        <v>4</v>
      </c>
      <c r="H4336" s="1">
        <v>5.2430555555555555E-3</v>
      </c>
      <c r="I4336">
        <v>2015</v>
      </c>
      <c r="J4336" t="s">
        <v>20</v>
      </c>
      <c r="K4336" s="2" t="str">
        <f>HYPERLINK("https://www.nba.com/stats/events?CFID=&amp;CFPARAMS=&amp;GameEventID=403&amp;GameID=0021501001&amp;Season=2015-16&amp;flag=1&amp;title=Leonard%205'%20Jump%20Bank%20Shot%20(18%20PTS)", "Leonard 5' Jump Bank Shot (18 PTS)")</f>
        <v>Leonard 5' Jump Bank Shot (18 PTS)</v>
      </c>
      <c r="L4336" s="2" t="str">
        <f>HYPERLINK("https://www.nba.com/game/...-vs-...-0021501001/play-by-play?watchFullGame=true", "SAS vs LAC - Q4 07:33.00")</f>
        <v>SAS vs LAC - Q4 07:33.00</v>
      </c>
      <c r="M4336">
        <v>5</v>
      </c>
      <c r="N4336">
        <v>40</v>
      </c>
      <c r="O4336">
        <v>21</v>
      </c>
      <c r="P4336">
        <v>40</v>
      </c>
      <c r="Q4336">
        <v>21</v>
      </c>
      <c r="R4336" t="s">
        <v>21</v>
      </c>
      <c r="S4336" t="s">
        <v>21</v>
      </c>
    </row>
    <row r="4337" spans="1:19" hidden="1" x14ac:dyDescent="0.25">
      <c r="A4337">
        <v>21400689</v>
      </c>
      <c r="B4337" t="s">
        <v>18</v>
      </c>
      <c r="C4337" t="s">
        <v>29</v>
      </c>
      <c r="D4337">
        <v>39</v>
      </c>
      <c r="E4337">
        <v>22</v>
      </c>
      <c r="F4337">
        <v>17</v>
      </c>
      <c r="G4337">
        <v>2</v>
      </c>
      <c r="H4337" s="1">
        <v>5.4513888888888893E-3</v>
      </c>
      <c r="I4337">
        <v>2014</v>
      </c>
      <c r="J4337" t="s">
        <v>20</v>
      </c>
      <c r="K4337" s="2" t="str">
        <f>HYPERLINK("https://www.nba.com/stats/events?CFID=&amp;CFPARAMS=&amp;GameEventID=146&amp;GameID=0021400689&amp;Season=2014-15&amp;flag=1&amp;title=Leonard%205'%20Jump%20Bank%20Shot%20(4%20PTS)", "Leonard 5' Jump Bank Shot (4 PTS)")</f>
        <v>Leonard 5' Jump Bank Shot (4 PTS)</v>
      </c>
      <c r="L4337" s="2" t="str">
        <f>HYPERLINK("https://www.nba.com/game/...-vs-...-0021400689/play-by-play?watchFullGame=true", "SAS vs CHA - Q2 07:51.00")</f>
        <v>SAS vs CHA - Q2 07:51.00</v>
      </c>
      <c r="M4337">
        <v>5</v>
      </c>
      <c r="N4337">
        <v>50</v>
      </c>
      <c r="O4337">
        <v>20</v>
      </c>
      <c r="P4337">
        <v>50</v>
      </c>
      <c r="Q4337">
        <v>20</v>
      </c>
      <c r="R4337" t="s">
        <v>21</v>
      </c>
      <c r="S4337" t="s">
        <v>21</v>
      </c>
    </row>
    <row r="4338" spans="1:19" hidden="1" x14ac:dyDescent="0.25">
      <c r="A4338">
        <v>21300057</v>
      </c>
      <c r="B4338" t="s">
        <v>18</v>
      </c>
      <c r="C4338" t="s">
        <v>47</v>
      </c>
      <c r="D4338">
        <v>86</v>
      </c>
      <c r="E4338">
        <v>82</v>
      </c>
      <c r="F4338">
        <v>4</v>
      </c>
      <c r="G4338">
        <v>4</v>
      </c>
      <c r="H4338" s="1">
        <v>5.5671296296296293E-3</v>
      </c>
      <c r="I4338">
        <v>2013</v>
      </c>
      <c r="J4338" t="s">
        <v>20</v>
      </c>
      <c r="K4338" s="2" t="str">
        <f>HYPERLINK("https://www.nba.com/stats/events?CFID=&amp;CFPARAMS=&amp;GameEventID=452&amp;GameID=0021300057&amp;Season=2013-14&amp;flag=1&amp;title=Leonard%205'%20Hook%20Shot%20(12%20PTS)", "Leonard 5' Hook Shot (12 PTS)")</f>
        <v>Leonard 5' Hook Shot (12 PTS)</v>
      </c>
      <c r="L4338" s="2" t="str">
        <f>HYPERLINK("https://www.nba.com/game/...-vs-...-0021300057/play-by-play?watchFullGame=true", "SAS vs DEN - Q4 08:01.00")</f>
        <v>SAS vs DEN - Q4 08:01.00</v>
      </c>
      <c r="M4338">
        <v>5</v>
      </c>
      <c r="N4338">
        <v>6</v>
      </c>
      <c r="O4338">
        <v>53</v>
      </c>
      <c r="P4338">
        <v>6</v>
      </c>
      <c r="Q4338">
        <v>53</v>
      </c>
      <c r="R4338" t="s">
        <v>21</v>
      </c>
      <c r="S4338" t="s">
        <v>21</v>
      </c>
    </row>
    <row r="4339" spans="1:19" hidden="1" x14ac:dyDescent="0.25">
      <c r="A4339">
        <v>21800789</v>
      </c>
      <c r="B4339" t="s">
        <v>18</v>
      </c>
      <c r="C4339" t="s">
        <v>59</v>
      </c>
      <c r="D4339">
        <v>10</v>
      </c>
      <c r="E4339">
        <v>9</v>
      </c>
      <c r="F4339">
        <v>1</v>
      </c>
      <c r="G4339">
        <v>1</v>
      </c>
      <c r="H4339" s="1">
        <v>5.6365740740740742E-3</v>
      </c>
      <c r="I4339">
        <v>2018</v>
      </c>
      <c r="J4339" t="s">
        <v>48</v>
      </c>
      <c r="K4339" s="2" t="str">
        <f>HYPERLINK("https://www.nba.com/stats/events?CFID=&amp;CFPARAMS=&amp;GameEventID=46&amp;GameID=0021800789&amp;Season=2018-19&amp;flag=1&amp;title=Leonard%205'%20Floating%20Jump%20Shot%20(4%20PTS)", "Leonard 5' Floating Jump Shot (4 PTS)")</f>
        <v>Leonard 5' Floating Jump Shot (4 PTS)</v>
      </c>
      <c r="L4339" s="2" t="str">
        <f>HYPERLINK("https://www.nba.com/game/...-vs-...-0021800789/play-by-play?watchFullGame=true", "TOR vs LAC - Q1 08:07.00")</f>
        <v>TOR vs LAC - Q1 08:07.00</v>
      </c>
      <c r="M4339">
        <v>5</v>
      </c>
      <c r="N4339">
        <v>-6</v>
      </c>
      <c r="O4339">
        <v>50</v>
      </c>
      <c r="P4339">
        <v>-6</v>
      </c>
      <c r="Q4339">
        <v>50</v>
      </c>
      <c r="R4339" t="s">
        <v>21</v>
      </c>
      <c r="S4339" t="s">
        <v>21</v>
      </c>
    </row>
    <row r="4340" spans="1:19" hidden="1" x14ac:dyDescent="0.25">
      <c r="A4340">
        <v>41300145</v>
      </c>
      <c r="B4340" t="s">
        <v>18</v>
      </c>
      <c r="C4340" t="s">
        <v>29</v>
      </c>
      <c r="D4340">
        <v>64</v>
      </c>
      <c r="E4340">
        <v>57</v>
      </c>
      <c r="F4340">
        <v>7</v>
      </c>
      <c r="G4340">
        <v>3</v>
      </c>
      <c r="H4340" s="1">
        <v>5.7754629629629631E-3</v>
      </c>
      <c r="I4340" t="s">
        <v>55</v>
      </c>
      <c r="J4340" t="s">
        <v>20</v>
      </c>
      <c r="K4340" s="2" t="str">
        <f>HYPERLINK("https://www.nba.com/stats/events?CFID=&amp;CFPARAMS=&amp;GameEventID=285&amp;GameID=0041300145&amp;Season=2013-14&amp;flag=1&amp;title=Leonard%205'%20Jump%20Bank%20Shot%20(13%20PTS)", "Leonard 5' Jump Bank Shot (13 PTS)")</f>
        <v>Leonard 5' Jump Bank Shot (13 PTS)</v>
      </c>
      <c r="L4340" s="2" t="str">
        <f>HYPERLINK("https://www.nba.com/game/...-vs-...-0041300145/play-by-play?watchFullGame=true", "SAS vs DAL - Q3 08:19.00")</f>
        <v>SAS vs DAL - Q3 08:19.00</v>
      </c>
      <c r="M4340">
        <v>5</v>
      </c>
      <c r="N4340">
        <v>-34</v>
      </c>
      <c r="O4340">
        <v>37</v>
      </c>
      <c r="P4340">
        <v>-34</v>
      </c>
      <c r="Q4340">
        <v>37</v>
      </c>
      <c r="R4340" t="s">
        <v>21</v>
      </c>
      <c r="S4340" t="s">
        <v>21</v>
      </c>
    </row>
    <row r="4341" spans="1:19" hidden="1" x14ac:dyDescent="0.25">
      <c r="A4341">
        <v>41800217</v>
      </c>
      <c r="B4341" t="s">
        <v>18</v>
      </c>
      <c r="C4341" t="s">
        <v>31</v>
      </c>
      <c r="D4341">
        <v>26</v>
      </c>
      <c r="E4341">
        <v>21</v>
      </c>
      <c r="F4341">
        <v>5</v>
      </c>
      <c r="G4341">
        <v>2</v>
      </c>
      <c r="H4341" s="1">
        <v>5.7754629629629631E-3</v>
      </c>
      <c r="I4341" t="s">
        <v>60</v>
      </c>
      <c r="J4341" t="s">
        <v>48</v>
      </c>
      <c r="K4341" s="2" t="str">
        <f>HYPERLINK("https://www.nba.com/stats/events?CFID=&amp;CFPARAMS=&amp;GameEventID=196&amp;GameID=0041800217&amp;Season=2018-19&amp;flag=1&amp;title=Leonard%205'%20Driving%20Hook%20Shot%20(10%20PTS)", "Leonard 5' Driving Hook Shot (10 PTS)")</f>
        <v>Leonard 5' Driving Hook Shot (10 PTS)</v>
      </c>
      <c r="L4341" s="2" t="str">
        <f>HYPERLINK("https://www.nba.com/game/...-vs-...-0041800217/play-by-play?watchFullGame=true", "TOR vs PHI - Q2 08:19.00")</f>
        <v>TOR vs PHI - Q2 08:19.00</v>
      </c>
      <c r="M4341">
        <v>5</v>
      </c>
      <c r="N4341">
        <v>9</v>
      </c>
      <c r="O4341">
        <v>45</v>
      </c>
      <c r="P4341">
        <v>9</v>
      </c>
      <c r="Q4341">
        <v>45</v>
      </c>
      <c r="R4341" t="s">
        <v>21</v>
      </c>
      <c r="S4341" t="s">
        <v>21</v>
      </c>
    </row>
    <row r="4342" spans="1:19" hidden="1" x14ac:dyDescent="0.25">
      <c r="A4342">
        <v>21800506</v>
      </c>
      <c r="B4342" t="s">
        <v>18</v>
      </c>
      <c r="C4342" t="s">
        <v>22</v>
      </c>
      <c r="D4342">
        <v>6</v>
      </c>
      <c r="E4342">
        <v>11</v>
      </c>
      <c r="F4342">
        <v>5</v>
      </c>
      <c r="G4342">
        <v>1</v>
      </c>
      <c r="H4342" s="1">
        <v>5.8680555555555552E-3</v>
      </c>
      <c r="I4342">
        <v>2018</v>
      </c>
      <c r="J4342" t="s">
        <v>48</v>
      </c>
      <c r="K4342" s="2" t="str">
        <f>HYPERLINK("https://www.nba.com/stats/events?CFID=&amp;CFPARAMS=&amp;GameEventID=34&amp;GameID=0021800506&amp;Season=2018-19&amp;flag=1&amp;title=Leonard%205'%20Driving%20Layup%20(2%20PTS)", "Leonard 5' Driving Layup (2 PTS)")</f>
        <v>Leonard 5' Driving Layup (2 PTS)</v>
      </c>
      <c r="L4342" s="2" t="str">
        <f>HYPERLINK("https://www.nba.com/game/...-vs-...-0021800506/play-by-play?watchFullGame=true", "TOR vs MIA - Q1 08:27.00")</f>
        <v>TOR vs MIA - Q1 08:27.00</v>
      </c>
      <c r="M4342">
        <v>5</v>
      </c>
      <c r="N4342">
        <v>37</v>
      </c>
      <c r="O4342">
        <v>34</v>
      </c>
      <c r="P4342">
        <v>37</v>
      </c>
      <c r="Q4342">
        <v>34</v>
      </c>
      <c r="R4342" t="s">
        <v>21</v>
      </c>
      <c r="S4342" t="s">
        <v>21</v>
      </c>
    </row>
    <row r="4343" spans="1:19" hidden="1" x14ac:dyDescent="0.25">
      <c r="A4343">
        <v>21600032</v>
      </c>
      <c r="B4343" t="s">
        <v>18</v>
      </c>
      <c r="C4343" t="s">
        <v>59</v>
      </c>
      <c r="D4343">
        <v>64</v>
      </c>
      <c r="E4343">
        <v>54</v>
      </c>
      <c r="F4343">
        <v>10</v>
      </c>
      <c r="G4343">
        <v>3</v>
      </c>
      <c r="H4343" s="1">
        <v>5.8796296296296296E-3</v>
      </c>
      <c r="I4343">
        <v>2016</v>
      </c>
      <c r="J4343" t="s">
        <v>20</v>
      </c>
      <c r="K4343" s="2" t="str">
        <f>HYPERLINK("https://www.nba.com/stats/events?CFID=&amp;CFPARAMS=&amp;GameEventID=297&amp;GameID=0021600032&amp;Season=2016-17&amp;flag=1&amp;title=Leonard%205'%20Floating%20Jump%20Shot%20(11%20PTS)", "Leonard 5' Floating Jump Shot (11 PTS)")</f>
        <v>Leonard 5' Floating Jump Shot (11 PTS)</v>
      </c>
      <c r="L4343" s="2" t="str">
        <f>HYPERLINK("https://www.nba.com/game/...-vs-...-0021600032/play-by-play?watchFullGame=true", "SAS vs NOP - Q3 08:28.00")</f>
        <v>SAS vs NOP - Q3 08:28.00</v>
      </c>
      <c r="M4343">
        <v>5</v>
      </c>
      <c r="N4343">
        <v>-1</v>
      </c>
      <c r="O4343">
        <v>51</v>
      </c>
      <c r="P4343">
        <v>-1</v>
      </c>
      <c r="Q4343">
        <v>51</v>
      </c>
      <c r="R4343" t="s">
        <v>21</v>
      </c>
      <c r="S4343" t="s">
        <v>21</v>
      </c>
    </row>
    <row r="4344" spans="1:19" hidden="1" x14ac:dyDescent="0.25">
      <c r="A4344">
        <v>21500257</v>
      </c>
      <c r="B4344" t="s">
        <v>18</v>
      </c>
      <c r="C4344" t="s">
        <v>61</v>
      </c>
      <c r="D4344">
        <v>77</v>
      </c>
      <c r="E4344">
        <v>81</v>
      </c>
      <c r="F4344">
        <v>4</v>
      </c>
      <c r="G4344">
        <v>4</v>
      </c>
      <c r="H4344" s="1">
        <v>6.0185185185185185E-3</v>
      </c>
      <c r="I4344">
        <v>2015</v>
      </c>
      <c r="J4344" t="s">
        <v>20</v>
      </c>
      <c r="K4344" s="2" t="str">
        <f>HYPERLINK("https://www.nba.com/stats/events?CFID=&amp;CFPARAMS=&amp;GameEventID=399&amp;GameID=0021500257&amp;Season=2015-16&amp;flag=1&amp;title=Leonard%205'%20Turnaround%20Bank%20Shot%20(21%20PTS)", "Leonard 5' Turnaround Bank Shot (21 PTS)")</f>
        <v>Leonard 5' Turnaround Bank Shot (21 PTS)</v>
      </c>
      <c r="L4344" s="2" t="str">
        <f>HYPERLINK("https://www.nba.com/game/...-vs-...-0021500257/play-by-play?watchFullGame=true", "SAS vs CHI - Q4 08:40.00")</f>
        <v>SAS vs CHI - Q4 08:40.00</v>
      </c>
      <c r="M4344">
        <v>5</v>
      </c>
      <c r="N4344">
        <v>43</v>
      </c>
      <c r="O4344">
        <v>31</v>
      </c>
      <c r="P4344">
        <v>43</v>
      </c>
      <c r="Q4344">
        <v>31</v>
      </c>
      <c r="R4344" t="s">
        <v>21</v>
      </c>
      <c r="S4344" t="s">
        <v>21</v>
      </c>
    </row>
    <row r="4345" spans="1:19" hidden="1" x14ac:dyDescent="0.25">
      <c r="A4345">
        <v>21600727</v>
      </c>
      <c r="B4345" t="s">
        <v>18</v>
      </c>
      <c r="C4345" t="s">
        <v>59</v>
      </c>
      <c r="D4345">
        <v>66</v>
      </c>
      <c r="E4345">
        <v>49</v>
      </c>
      <c r="F4345">
        <v>17</v>
      </c>
      <c r="G4345">
        <v>3</v>
      </c>
      <c r="H4345" s="1">
        <v>6.053240740740741E-3</v>
      </c>
      <c r="I4345">
        <v>2016</v>
      </c>
      <c r="J4345" t="s">
        <v>20</v>
      </c>
      <c r="K4345" s="2" t="str">
        <f>HYPERLINK("https://www.nba.com/stats/events?CFID=&amp;CFPARAMS=&amp;GameEventID=379&amp;GameID=0021600727&amp;Season=2016-17&amp;flag=1&amp;title=Leonard%205'%20Floating%20Jump%20Shot%20(19%20PTS)", "Leonard 5' Floating Jump Shot (19 PTS)")</f>
        <v>Leonard 5' Floating Jump Shot (19 PTS)</v>
      </c>
      <c r="L4345" s="2" t="str">
        <f>HYPERLINK("https://www.nba.com/game/...-vs-...-0021600727/play-by-play?watchFullGame=true", "SAS vs OKC - Q3 08:43.00")</f>
        <v>SAS vs OKC - Q3 08:43.00</v>
      </c>
      <c r="M4345">
        <v>5</v>
      </c>
      <c r="N4345">
        <v>-14</v>
      </c>
      <c r="O4345">
        <v>43</v>
      </c>
      <c r="P4345">
        <v>-14</v>
      </c>
      <c r="Q4345">
        <v>43</v>
      </c>
      <c r="R4345" t="s">
        <v>21</v>
      </c>
      <c r="S4345" t="s">
        <v>21</v>
      </c>
    </row>
    <row r="4346" spans="1:19" hidden="1" x14ac:dyDescent="0.25">
      <c r="A4346">
        <v>21600825</v>
      </c>
      <c r="B4346" t="s">
        <v>18</v>
      </c>
      <c r="C4346" t="s">
        <v>19</v>
      </c>
      <c r="D4346">
        <v>30</v>
      </c>
      <c r="E4346">
        <v>37</v>
      </c>
      <c r="F4346">
        <v>7</v>
      </c>
      <c r="G4346">
        <v>2</v>
      </c>
      <c r="H4346" s="1">
        <v>6.2847222222222219E-3</v>
      </c>
      <c r="I4346">
        <v>2016</v>
      </c>
      <c r="J4346" t="s">
        <v>20</v>
      </c>
      <c r="K4346" s="2" t="str">
        <f>HYPERLINK("https://www.nba.com/stats/events?CFID=&amp;CFPARAMS=&amp;GameEventID=150&amp;GameID=0021600825&amp;Season=2016-17&amp;flag=1&amp;title=Leonard%205'%20Jump%20Shot%20(9%20PTS)", "Leonard 5' Jump Shot (9 PTS)")</f>
        <v>Leonard 5' Jump Shot (9 PTS)</v>
      </c>
      <c r="L4346" s="2" t="str">
        <f>HYPERLINK("https://www.nba.com/game/...-vs-...-0021600825/play-by-play?watchFullGame=true", "SAS vs IND - Q2 09:03.00")</f>
        <v>SAS vs IND - Q2 09:03.00</v>
      </c>
      <c r="M4346">
        <v>5</v>
      </c>
      <c r="N4346">
        <v>42</v>
      </c>
      <c r="O4346">
        <v>28</v>
      </c>
      <c r="P4346">
        <v>42</v>
      </c>
      <c r="Q4346">
        <v>28</v>
      </c>
      <c r="R4346" t="s">
        <v>21</v>
      </c>
      <c r="S4346" t="s">
        <v>21</v>
      </c>
    </row>
    <row r="4347" spans="1:19" hidden="1" x14ac:dyDescent="0.25">
      <c r="A4347">
        <v>21400964</v>
      </c>
      <c r="B4347" t="s">
        <v>18</v>
      </c>
      <c r="C4347" t="s">
        <v>19</v>
      </c>
      <c r="D4347">
        <v>39</v>
      </c>
      <c r="E4347">
        <v>41</v>
      </c>
      <c r="F4347">
        <v>2</v>
      </c>
      <c r="G4347">
        <v>2</v>
      </c>
      <c r="H4347" s="1">
        <v>6.4930555555555557E-3</v>
      </c>
      <c r="I4347">
        <v>2014</v>
      </c>
      <c r="J4347" t="s">
        <v>20</v>
      </c>
      <c r="K4347" s="2" t="str">
        <f>HYPERLINK("https://www.nba.com/stats/events?CFID=&amp;CFPARAMS=&amp;GameEventID=151&amp;GameID=0021400964&amp;Season=2014-15&amp;flag=1&amp;title=Leonard%205'%20Jump%20Shot%20(8%20PTS)", "Leonard 5' Jump Shot (8 PTS)")</f>
        <v>Leonard 5' Jump Shot (8 PTS)</v>
      </c>
      <c r="L4347" s="2" t="str">
        <f>HYPERLINK("https://www.nba.com/game/...-vs-...-0021400964/play-by-play?watchFullGame=true", "SAS vs CLE - Q2 09:21.00")</f>
        <v>SAS vs CLE - Q2 09:21.00</v>
      </c>
      <c r="M4347">
        <v>5</v>
      </c>
      <c r="N4347">
        <v>48</v>
      </c>
      <c r="O4347">
        <v>11</v>
      </c>
      <c r="P4347">
        <v>48</v>
      </c>
      <c r="Q4347">
        <v>11</v>
      </c>
      <c r="R4347" t="s">
        <v>21</v>
      </c>
      <c r="S4347" t="s">
        <v>21</v>
      </c>
    </row>
    <row r="4348" spans="1:19" hidden="1" x14ac:dyDescent="0.25">
      <c r="A4348">
        <v>21600817</v>
      </c>
      <c r="B4348" t="s">
        <v>18</v>
      </c>
      <c r="C4348" t="s">
        <v>47</v>
      </c>
      <c r="D4348">
        <v>28</v>
      </c>
      <c r="E4348">
        <v>26</v>
      </c>
      <c r="F4348">
        <v>2</v>
      </c>
      <c r="G4348">
        <v>2</v>
      </c>
      <c r="H4348" s="1">
        <v>6.5393518518518517E-3</v>
      </c>
      <c r="I4348">
        <v>2016</v>
      </c>
      <c r="J4348" t="s">
        <v>20</v>
      </c>
      <c r="K4348" s="2" t="str">
        <f>HYPERLINK("https://www.nba.com/stats/events?CFID=&amp;CFPARAMS=&amp;GameEventID=140&amp;GameID=0021600817&amp;Season=2016-17&amp;flag=1&amp;title=Leonard%205'%20Hook%20Shot%20(4%20PTS)", "Leonard 5' Hook Shot (4 PTS)")</f>
        <v>Leonard 5' Hook Shot (4 PTS)</v>
      </c>
      <c r="L4348" s="2" t="str">
        <f>HYPERLINK("https://www.nba.com/game/...-vs-...-0021600817/play-by-play?watchFullGame=true", "SAS vs NYK - Q2 09:25.00")</f>
        <v>SAS vs NYK - Q2 09:25.00</v>
      </c>
      <c r="M4348">
        <v>5</v>
      </c>
      <c r="N4348">
        <v>-32</v>
      </c>
      <c r="O4348">
        <v>43</v>
      </c>
      <c r="P4348">
        <v>-32</v>
      </c>
      <c r="Q4348">
        <v>43</v>
      </c>
      <c r="R4348" t="s">
        <v>21</v>
      </c>
      <c r="S4348" t="s">
        <v>21</v>
      </c>
    </row>
    <row r="4349" spans="1:19" hidden="1" x14ac:dyDescent="0.25">
      <c r="A4349">
        <v>21301123</v>
      </c>
      <c r="B4349" t="s">
        <v>18</v>
      </c>
      <c r="C4349" t="s">
        <v>19</v>
      </c>
      <c r="D4349">
        <v>67</v>
      </c>
      <c r="E4349">
        <v>49</v>
      </c>
      <c r="F4349">
        <v>18</v>
      </c>
      <c r="G4349">
        <v>3</v>
      </c>
      <c r="H4349" s="1">
        <v>6.5393518518518517E-3</v>
      </c>
      <c r="I4349">
        <v>2013</v>
      </c>
      <c r="J4349" t="s">
        <v>20</v>
      </c>
      <c r="K4349" s="2" t="str">
        <f>HYPERLINK("https://www.nba.com/stats/events?CFID=&amp;CFPARAMS=&amp;GameEventID=257&amp;GameID=0021301123&amp;Season=2013-14&amp;flag=1&amp;title=Leonard%205'%20Jump%20Shot%20(9%20PTS)", "Leonard 5' Jump Shot (9 PTS)")</f>
        <v>Leonard 5' Jump Shot (9 PTS)</v>
      </c>
      <c r="L4349" s="2" t="str">
        <f>HYPERLINK("https://www.nba.com/game/...-vs-...-0021301123/play-by-play?watchFullGame=true", "SAS vs GSW - Q3 09:25.00")</f>
        <v>SAS vs GSW - Q3 09:25.00</v>
      </c>
      <c r="M4349">
        <v>5</v>
      </c>
      <c r="N4349">
        <v>28</v>
      </c>
      <c r="O4349">
        <v>47</v>
      </c>
      <c r="P4349">
        <v>28</v>
      </c>
      <c r="Q4349">
        <v>47</v>
      </c>
      <c r="R4349" t="s">
        <v>21</v>
      </c>
      <c r="S4349" t="s">
        <v>21</v>
      </c>
    </row>
    <row r="4350" spans="1:19" hidden="1" x14ac:dyDescent="0.25">
      <c r="A4350">
        <v>41600234</v>
      </c>
      <c r="B4350" t="s">
        <v>18</v>
      </c>
      <c r="C4350" t="s">
        <v>31</v>
      </c>
      <c r="D4350">
        <v>4</v>
      </c>
      <c r="E4350">
        <v>7</v>
      </c>
      <c r="F4350">
        <v>3</v>
      </c>
      <c r="G4350">
        <v>1</v>
      </c>
      <c r="H4350" s="1">
        <v>6.5624999999999998E-3</v>
      </c>
      <c r="I4350" t="s">
        <v>58</v>
      </c>
      <c r="J4350" t="s">
        <v>20</v>
      </c>
      <c r="K4350" s="2" t="str">
        <f>HYPERLINK("https://www.nba.com/stats/events?CFID=&amp;CFPARAMS=&amp;GameEventID=26&amp;GameID=0041600234&amp;Season=2016-17&amp;flag=1&amp;title=Leonard%205'%20Driving%20Hook%20Shot%20(2%20PTS)", "Leonard 5' Driving Hook Shot (2 PTS)")</f>
        <v>Leonard 5' Driving Hook Shot (2 PTS)</v>
      </c>
      <c r="L4350" s="2" t="str">
        <f>HYPERLINK("https://www.nba.com/game/...-vs-...-0041600234/play-by-play?watchFullGame=true", "SAS vs HOU - Q1 09:27.00")</f>
        <v>SAS vs HOU - Q1 09:27.00</v>
      </c>
      <c r="M4350">
        <v>5</v>
      </c>
      <c r="N4350">
        <v>46</v>
      </c>
      <c r="O4350">
        <v>7</v>
      </c>
      <c r="P4350">
        <v>46</v>
      </c>
      <c r="Q4350">
        <v>7</v>
      </c>
      <c r="R4350" t="s">
        <v>21</v>
      </c>
      <c r="S4350" t="s">
        <v>21</v>
      </c>
    </row>
    <row r="4351" spans="1:19" hidden="1" x14ac:dyDescent="0.25">
      <c r="A4351">
        <v>21500416</v>
      </c>
      <c r="B4351" t="s">
        <v>18</v>
      </c>
      <c r="C4351" t="s">
        <v>31</v>
      </c>
      <c r="D4351">
        <v>54</v>
      </c>
      <c r="E4351">
        <v>55</v>
      </c>
      <c r="F4351">
        <v>1</v>
      </c>
      <c r="G4351">
        <v>3</v>
      </c>
      <c r="H4351" s="1">
        <v>6.5740740740740742E-3</v>
      </c>
      <c r="I4351">
        <v>2015</v>
      </c>
      <c r="J4351" t="s">
        <v>20</v>
      </c>
      <c r="K4351" s="2" t="str">
        <f>HYPERLINK("https://www.nba.com/stats/events?CFID=&amp;CFPARAMS=&amp;GameEventID=257&amp;GameID=0021500416&amp;Season=2015-16&amp;flag=1&amp;title=Leonard%205'%20Driving%20Hook%20Shot%20(14%20PTS)%20(Aldridge%201%20AST)", "Leonard 5' Driving Hook Shot (14 PTS) (Aldridge 1 AST)")</f>
        <v>Leonard 5' Driving Hook Shot (14 PTS) (Aldridge 1 AST)</v>
      </c>
      <c r="L4351" s="2" t="str">
        <f>HYPERLINK("https://www.nba.com/game/...-vs-...-0021500416/play-by-play?watchFullGame=true", "SAS vs IND - Q3 09:28.00")</f>
        <v>SAS vs IND - Q3 09:28.00</v>
      </c>
      <c r="M4351">
        <v>5</v>
      </c>
      <c r="N4351">
        <v>4</v>
      </c>
      <c r="O4351">
        <v>46</v>
      </c>
      <c r="P4351">
        <v>4</v>
      </c>
      <c r="Q4351">
        <v>46</v>
      </c>
      <c r="R4351" t="s">
        <v>21</v>
      </c>
      <c r="S4351" t="s">
        <v>21</v>
      </c>
    </row>
    <row r="4352" spans="1:19" hidden="1" x14ac:dyDescent="0.25">
      <c r="A4352">
        <v>21600962</v>
      </c>
      <c r="B4352" t="s">
        <v>18</v>
      </c>
      <c r="C4352" t="s">
        <v>67</v>
      </c>
      <c r="D4352">
        <v>55</v>
      </c>
      <c r="E4352">
        <v>61</v>
      </c>
      <c r="F4352">
        <v>6</v>
      </c>
      <c r="G4352">
        <v>3</v>
      </c>
      <c r="H4352" s="1">
        <v>6.6666666666666671E-3</v>
      </c>
      <c r="I4352">
        <v>2016</v>
      </c>
      <c r="J4352" t="s">
        <v>20</v>
      </c>
      <c r="K4352" s="2" t="str">
        <f>HYPERLINK("https://www.nba.com/stats/events?CFID=&amp;CFPARAMS=&amp;GameEventID=264&amp;GameID=0021600962&amp;Season=2016-17&amp;flag=1&amp;title=Leonard%205'%20Turnaround%20Hook%20Shot%20(16%20PTS)", "Leonard 5' Turnaround Hook Shot (16 PTS)")</f>
        <v>Leonard 5' Turnaround Hook Shot (16 PTS)</v>
      </c>
      <c r="L4352" s="2" t="str">
        <f>HYPERLINK("https://www.nba.com/game/...-vs-...-0021600962/play-by-play?watchFullGame=true", "SAS vs OKC - Q3 09:36.00")</f>
        <v>SAS vs OKC - Q3 09:36.00</v>
      </c>
      <c r="M4352">
        <v>5</v>
      </c>
      <c r="N4352">
        <v>48</v>
      </c>
      <c r="O4352">
        <v>26</v>
      </c>
      <c r="P4352">
        <v>48</v>
      </c>
      <c r="Q4352">
        <v>26</v>
      </c>
      <c r="R4352" t="s">
        <v>21</v>
      </c>
      <c r="S4352" t="s">
        <v>21</v>
      </c>
    </row>
    <row r="4353" spans="1:19" hidden="1" x14ac:dyDescent="0.25">
      <c r="A4353">
        <v>21800248</v>
      </c>
      <c r="B4353" t="s">
        <v>18</v>
      </c>
      <c r="C4353" t="s">
        <v>47</v>
      </c>
      <c r="D4353">
        <v>51</v>
      </c>
      <c r="E4353">
        <v>42</v>
      </c>
      <c r="F4353">
        <v>9</v>
      </c>
      <c r="G4353">
        <v>3</v>
      </c>
      <c r="H4353" s="1">
        <v>6.828703703703704E-3</v>
      </c>
      <c r="I4353">
        <v>2018</v>
      </c>
      <c r="J4353" t="s">
        <v>48</v>
      </c>
      <c r="K4353" s="2" t="str">
        <f>HYPERLINK("https://www.nba.com/stats/events?CFID=&amp;CFPARAMS=&amp;GameEventID=332&amp;GameID=0021800248&amp;Season=2018-19&amp;flag=1&amp;title=Leonard%205'%20Hook%20Shot%20(10%20PTS)", "Leonard 5' Hook Shot (10 PTS)")</f>
        <v>Leonard 5' Hook Shot (10 PTS)</v>
      </c>
      <c r="L4353" s="2" t="str">
        <f>HYPERLINK("https://www.nba.com/game/...-vs-...-0021800248/play-by-play?watchFullGame=true", "TOR vs ORL - Q3 09:50.00")</f>
        <v>TOR vs ORL - Q3 09:50.00</v>
      </c>
      <c r="M4353">
        <v>5</v>
      </c>
      <c r="N4353">
        <v>-2</v>
      </c>
      <c r="O4353">
        <v>45</v>
      </c>
      <c r="P4353">
        <v>-2</v>
      </c>
      <c r="Q4353">
        <v>45</v>
      </c>
      <c r="R4353" t="s">
        <v>21</v>
      </c>
      <c r="S4353" t="s">
        <v>21</v>
      </c>
    </row>
    <row r="4354" spans="1:19" hidden="1" x14ac:dyDescent="0.25">
      <c r="A4354">
        <v>21800470</v>
      </c>
      <c r="B4354" t="s">
        <v>18</v>
      </c>
      <c r="C4354" t="s">
        <v>59</v>
      </c>
      <c r="D4354">
        <v>63</v>
      </c>
      <c r="E4354">
        <v>55</v>
      </c>
      <c r="F4354">
        <v>8</v>
      </c>
      <c r="G4354">
        <v>3</v>
      </c>
      <c r="H4354" s="1">
        <v>7.2685185185185188E-3</v>
      </c>
      <c r="I4354">
        <v>2018</v>
      </c>
      <c r="J4354" t="s">
        <v>48</v>
      </c>
      <c r="K4354" s="2" t="str">
        <f>HYPERLINK("https://www.nba.com/stats/events?CFID=&amp;CFPARAMS=&amp;GameEventID=331&amp;GameID=0021800470&amp;Season=2018-19&amp;flag=1&amp;title=Leonard%205'%20Floating%20Jump%20Shot%20(17%20PTS)", "Leonard 5' Floating Jump Shot (17 PTS)")</f>
        <v>Leonard 5' Floating Jump Shot (17 PTS)</v>
      </c>
      <c r="L4354" s="2" t="str">
        <f>HYPERLINK("https://www.nba.com/game/...-vs-...-0021800470/play-by-play?watchFullGame=true", "TOR vs CLE - Q3 10:28.00")</f>
        <v>TOR vs CLE - Q3 10:28.00</v>
      </c>
      <c r="M4354">
        <v>5</v>
      </c>
      <c r="N4354">
        <v>4</v>
      </c>
      <c r="O4354">
        <v>46</v>
      </c>
      <c r="P4354">
        <v>4</v>
      </c>
      <c r="Q4354">
        <v>46</v>
      </c>
      <c r="R4354" t="s">
        <v>21</v>
      </c>
      <c r="S4354" t="s">
        <v>21</v>
      </c>
    </row>
    <row r="4355" spans="1:19" hidden="1" x14ac:dyDescent="0.25">
      <c r="A4355">
        <v>41200311</v>
      </c>
      <c r="B4355" t="s">
        <v>18</v>
      </c>
      <c r="C4355" t="s">
        <v>19</v>
      </c>
      <c r="D4355">
        <v>75</v>
      </c>
      <c r="E4355">
        <v>59</v>
      </c>
      <c r="F4355">
        <v>16</v>
      </c>
      <c r="G4355">
        <v>4</v>
      </c>
      <c r="H4355" s="1">
        <v>7.5231481481481477E-3</v>
      </c>
      <c r="I4355" t="s">
        <v>53</v>
      </c>
      <c r="J4355" t="s">
        <v>20</v>
      </c>
      <c r="K4355" s="2" t="str">
        <f>HYPERLINK("https://www.nba.com/stats/events?CFID=&amp;CFPARAMS=&amp;GameEventID=348&amp;GameID=0041200311&amp;Season=2012-13&amp;flag=1&amp;title=Leonard%205'%20Jump%20Shot%20(10%20PTS)%20(Parker%207%20AST)", "Leonard 5' Jump Shot (10 PTS) (Parker 7 AST)")</f>
        <v>Leonard 5' Jump Shot (10 PTS) (Parker 7 AST)</v>
      </c>
      <c r="L4355" s="2" t="str">
        <f>HYPERLINK("https://www.nba.com/game/...-vs-...-0041200311/play-by-play?watchFullGame=true", "SAS vs MEM - Q4 10:50.00")</f>
        <v>SAS vs MEM - Q4 10:50.00</v>
      </c>
      <c r="M4355">
        <v>5</v>
      </c>
      <c r="N4355">
        <v>-54</v>
      </c>
      <c r="O4355">
        <v>0</v>
      </c>
      <c r="P4355">
        <v>-54</v>
      </c>
      <c r="Q4355">
        <v>0</v>
      </c>
      <c r="R4355" t="s">
        <v>21</v>
      </c>
      <c r="S4355" t="s">
        <v>21</v>
      </c>
    </row>
    <row r="4356" spans="1:19" hidden="1" x14ac:dyDescent="0.25">
      <c r="A4356">
        <v>41600154</v>
      </c>
      <c r="B4356" t="s">
        <v>18</v>
      </c>
      <c r="C4356" t="s">
        <v>37</v>
      </c>
      <c r="D4356">
        <v>53</v>
      </c>
      <c r="E4356">
        <v>58</v>
      </c>
      <c r="F4356">
        <v>5</v>
      </c>
      <c r="G4356">
        <v>3</v>
      </c>
      <c r="H4356" s="1">
        <v>7.6504629629629631E-3</v>
      </c>
      <c r="I4356" t="s">
        <v>58</v>
      </c>
      <c r="J4356" t="s">
        <v>20</v>
      </c>
      <c r="K4356" s="2" t="str">
        <f>HYPERLINK("https://www.nba.com/stats/events?CFID=&amp;CFPARAMS=&amp;GameEventID=260&amp;GameID=0041600154&amp;Season=2016-17&amp;flag=1&amp;title=Leonard%205'%20Fadeaway%20Jumper%20(17%20PTS)", "Leonard 5' Fadeaway Jumper (17 PTS)")</f>
        <v>Leonard 5' Fadeaway Jumper (17 PTS)</v>
      </c>
      <c r="L4356" s="2" t="str">
        <f>HYPERLINK("https://www.nba.com/game/...-vs-...-0041600154/play-by-play?watchFullGame=true", "SAS vs MEM - Q3 11:01.00")</f>
        <v>SAS vs MEM - Q3 11:01.00</v>
      </c>
      <c r="M4356">
        <v>5</v>
      </c>
      <c r="N4356">
        <v>38</v>
      </c>
      <c r="O4356">
        <v>38</v>
      </c>
      <c r="P4356">
        <v>38</v>
      </c>
      <c r="Q4356">
        <v>38</v>
      </c>
      <c r="R4356" t="s">
        <v>21</v>
      </c>
      <c r="S4356" t="s">
        <v>21</v>
      </c>
    </row>
    <row r="4357" spans="1:19" hidden="1" x14ac:dyDescent="0.25">
      <c r="A4357">
        <v>21300604</v>
      </c>
      <c r="B4357" t="s">
        <v>18</v>
      </c>
      <c r="C4357" t="s">
        <v>29</v>
      </c>
      <c r="D4357">
        <v>2</v>
      </c>
      <c r="E4357">
        <v>0</v>
      </c>
      <c r="F4357">
        <v>2</v>
      </c>
      <c r="G4357">
        <v>1</v>
      </c>
      <c r="H4357" s="1">
        <v>8.0092592592592594E-3</v>
      </c>
      <c r="I4357">
        <v>2013</v>
      </c>
      <c r="J4357" t="s">
        <v>20</v>
      </c>
      <c r="K4357" s="2" t="str">
        <f>HYPERLINK("https://www.nba.com/stats/events?CFID=&amp;CFPARAMS=&amp;GameEventID=4&amp;GameID=0021300604&amp;Season=2013-14&amp;flag=1&amp;title=Leonard%205'%20Jump%20Bank%20Shot%20(2%20PTS)", "Leonard 5' Jump Bank Shot (2 PTS)")</f>
        <v>Leonard 5' Jump Bank Shot (2 PTS)</v>
      </c>
      <c r="L4357" s="2" t="str">
        <f>HYPERLINK("https://www.nba.com/game/...-vs-...-0021300604/play-by-play?watchFullGame=true", "SAS vs MIL - Q1 11:32.00")</f>
        <v>SAS vs MIL - Q1 11:32.00</v>
      </c>
      <c r="M4357">
        <v>5</v>
      </c>
      <c r="N4357">
        <v>54</v>
      </c>
      <c r="O4357">
        <v>7</v>
      </c>
      <c r="P4357">
        <v>54</v>
      </c>
      <c r="Q4357">
        <v>7</v>
      </c>
      <c r="R4357" t="s">
        <v>21</v>
      </c>
      <c r="S4357" t="s">
        <v>21</v>
      </c>
    </row>
    <row r="4358" spans="1:19" hidden="1" x14ac:dyDescent="0.25">
      <c r="A4358">
        <v>21300573</v>
      </c>
      <c r="B4358" t="s">
        <v>18</v>
      </c>
      <c r="C4358" t="s">
        <v>23</v>
      </c>
      <c r="D4358">
        <v>88</v>
      </c>
      <c r="E4358">
        <v>77</v>
      </c>
      <c r="F4358">
        <v>11</v>
      </c>
      <c r="G4358">
        <v>4</v>
      </c>
      <c r="H4358" s="1">
        <v>5.6828703703703702E-3</v>
      </c>
      <c r="I4358">
        <v>2013</v>
      </c>
      <c r="J4358" t="s">
        <v>20</v>
      </c>
      <c r="K4358" s="2" t="str">
        <f>HYPERLINK("https://www.nba.com/stats/events?CFID=&amp;CFPARAMS=&amp;GameEventID=384&amp;GameID=0021300573&amp;Season=2013-14&amp;flag=1&amp;title=Leonard%202'%20Dunk%20(12%20PTS)", "Leonard 2' Dunk (12 PTS)")</f>
        <v>Leonard 2' Dunk (12 PTS)</v>
      </c>
      <c r="L4358" s="2" t="str">
        <f>HYPERLINK("https://www.nba.com/game/...-vs-...-0021300573/play-by-play?watchFullGame=true", "SAS vs UTA - Q4 08:11.00")</f>
        <v>SAS vs UTA - Q4 08:11.00</v>
      </c>
      <c r="M4358">
        <v>2</v>
      </c>
      <c r="N4358">
        <v>-15</v>
      </c>
      <c r="O4358">
        <v>17</v>
      </c>
      <c r="P4358">
        <v>-15</v>
      </c>
      <c r="Q4358">
        <v>17</v>
      </c>
      <c r="R4358" t="s">
        <v>21</v>
      </c>
      <c r="S4358" t="s">
        <v>21</v>
      </c>
    </row>
    <row r="4359" spans="1:19" hidden="1" x14ac:dyDescent="0.25">
      <c r="A4359">
        <v>21800470</v>
      </c>
      <c r="B4359" t="s">
        <v>18</v>
      </c>
      <c r="C4359" t="s">
        <v>50</v>
      </c>
      <c r="D4359">
        <v>56</v>
      </c>
      <c r="E4359">
        <v>47</v>
      </c>
      <c r="F4359">
        <v>9</v>
      </c>
      <c r="G4359">
        <v>2</v>
      </c>
      <c r="H4359" s="1">
        <v>1.724537037037037E-3</v>
      </c>
      <c r="I4359">
        <v>2018</v>
      </c>
      <c r="J4359" t="s">
        <v>48</v>
      </c>
      <c r="K4359" s="2" t="str">
        <f>HYPERLINK("https://www.nba.com/stats/events?CFID=&amp;CFPARAMS=&amp;GameEventID=276&amp;GameID=0021800470&amp;Season=2018-19&amp;flag=1&amp;title=Leonard%202'%20Running%20Dunk%20(12%20PTS)", "Leonard 2' Running Dunk (12 PTS)")</f>
        <v>Leonard 2' Running Dunk (12 PTS)</v>
      </c>
      <c r="L4359" s="2" t="str">
        <f>HYPERLINK("https://www.nba.com/game/...-vs-...-0021800470/play-by-play?watchFullGame=true", "TOR vs CLE - Q2 02:29.00")</f>
        <v>TOR vs CLE - Q2 02:29.00</v>
      </c>
      <c r="M4359">
        <v>2</v>
      </c>
      <c r="N4359">
        <v>-14</v>
      </c>
      <c r="O4359">
        <v>-11</v>
      </c>
      <c r="P4359">
        <v>-14</v>
      </c>
      <c r="Q4359">
        <v>-11</v>
      </c>
      <c r="R4359" t="s">
        <v>21</v>
      </c>
      <c r="S4359" t="s">
        <v>21</v>
      </c>
    </row>
    <row r="4360" spans="1:19" hidden="1" x14ac:dyDescent="0.25">
      <c r="A4360">
        <v>21800216</v>
      </c>
      <c r="B4360" t="s">
        <v>18</v>
      </c>
      <c r="C4360" t="s">
        <v>23</v>
      </c>
      <c r="D4360">
        <v>21</v>
      </c>
      <c r="E4360">
        <v>23</v>
      </c>
      <c r="F4360">
        <v>2</v>
      </c>
      <c r="G4360">
        <v>1</v>
      </c>
      <c r="H4360" s="1">
        <v>2.0601851851851853E-3</v>
      </c>
      <c r="I4360">
        <v>2018</v>
      </c>
      <c r="J4360" t="s">
        <v>48</v>
      </c>
      <c r="K4360" s="2" t="str">
        <f>HYPERLINK("https://www.nba.com/stats/events?CFID=&amp;CFPARAMS=&amp;GameEventID=108&amp;GameID=0021800216&amp;Season=2018-19&amp;flag=1&amp;title=Leonard%202'%20Dunk%20(6%20PTS)", "Leonard 2' Dunk (6 PTS)")</f>
        <v>Leonard 2' Dunk (6 PTS)</v>
      </c>
      <c r="L4360" s="2" t="str">
        <f>HYPERLINK("https://www.nba.com/game/...-vs-...-0021800216/play-by-play?watchFullGame=true", "TOR vs BOS - Q1 02:58.00")</f>
        <v>TOR vs BOS - Q1 02:58.00</v>
      </c>
      <c r="M4360">
        <v>2</v>
      </c>
      <c r="N4360">
        <v>-13</v>
      </c>
      <c r="O4360">
        <v>13</v>
      </c>
      <c r="P4360">
        <v>-13</v>
      </c>
      <c r="Q4360">
        <v>13</v>
      </c>
      <c r="R4360" t="s">
        <v>21</v>
      </c>
      <c r="S4360" t="s">
        <v>21</v>
      </c>
    </row>
    <row r="4361" spans="1:19" hidden="1" x14ac:dyDescent="0.25">
      <c r="A4361">
        <v>21400757</v>
      </c>
      <c r="B4361" t="s">
        <v>18</v>
      </c>
      <c r="C4361" t="s">
        <v>19</v>
      </c>
      <c r="D4361">
        <v>52</v>
      </c>
      <c r="E4361">
        <v>38</v>
      </c>
      <c r="F4361">
        <v>14</v>
      </c>
      <c r="G4361">
        <v>2</v>
      </c>
      <c r="H4361" s="1">
        <v>5.3009259259259253E-4</v>
      </c>
      <c r="I4361">
        <v>2014</v>
      </c>
      <c r="J4361" t="s">
        <v>20</v>
      </c>
      <c r="K4361" s="2" t="str">
        <f>HYPERLINK("https://www.nba.com/stats/events?CFID=&amp;CFPARAMS=&amp;GameEventID=194&amp;GameID=0021400757&amp;Season=2014-15&amp;flag=1&amp;title=Leonard%204'%20Jump%20Shot%20(16%20PTS)%20(Ginobili%206%20AST)", "Leonard 4' Jump Shot (16 PTS) (Ginobili 6 AST)")</f>
        <v>Leonard 4' Jump Shot (16 PTS) (Ginobili 6 AST)</v>
      </c>
      <c r="L4361" s="2" t="str">
        <f>HYPERLINK("https://www.nba.com/game/...-vs-...-0021400757/play-by-play?watchFullGame=true", "SAS vs MIA - Q2 00:45.80")</f>
        <v>SAS vs MIA - Q2 00:45.80</v>
      </c>
      <c r="M4361">
        <v>4</v>
      </c>
      <c r="N4361">
        <v>-19</v>
      </c>
      <c r="O4361">
        <v>37</v>
      </c>
      <c r="P4361">
        <v>-19</v>
      </c>
      <c r="Q4361">
        <v>37</v>
      </c>
      <c r="R4361" t="s">
        <v>21</v>
      </c>
      <c r="S4361" t="s">
        <v>21</v>
      </c>
    </row>
    <row r="4362" spans="1:19" hidden="1" x14ac:dyDescent="0.25">
      <c r="A4362">
        <v>41800406</v>
      </c>
      <c r="B4362" t="s">
        <v>18</v>
      </c>
      <c r="C4362" t="s">
        <v>51</v>
      </c>
      <c r="D4362">
        <v>57</v>
      </c>
      <c r="E4362">
        <v>54</v>
      </c>
      <c r="F4362">
        <v>3</v>
      </c>
      <c r="G4362">
        <v>2</v>
      </c>
      <c r="H4362" s="1">
        <v>5.3819444444444444E-4</v>
      </c>
      <c r="I4362" t="s">
        <v>60</v>
      </c>
      <c r="J4362" t="s">
        <v>48</v>
      </c>
      <c r="K4362" s="2" t="str">
        <f>HYPERLINK("https://www.nba.com/stats/events?CFID=&amp;CFPARAMS=&amp;GameEventID=302&amp;GameID=0041800406&amp;Season=2018-19&amp;flag=1&amp;title=Leonard%204'%20Running%20Layup%20(8%20PTS)%20(Siakam%203%20AST)", "Leonard 4' Running Layup (8 PTS) (Siakam 3 AST)")</f>
        <v>Leonard 4' Running Layup (8 PTS) (Siakam 3 AST)</v>
      </c>
      <c r="L4362" s="2" t="str">
        <f>HYPERLINK("https://www.nba.com/game/...-vs-...-0041800406/play-by-play?watchFullGame=true", "TOR vs GSW - Q2 00:46.50")</f>
        <v>TOR vs GSW - Q2 00:46.50</v>
      </c>
      <c r="M4362">
        <v>4</v>
      </c>
      <c r="N4362">
        <v>-13</v>
      </c>
      <c r="O4362">
        <v>43</v>
      </c>
      <c r="P4362">
        <v>-13</v>
      </c>
      <c r="Q4362">
        <v>43</v>
      </c>
      <c r="R4362" t="s">
        <v>21</v>
      </c>
      <c r="S4362" t="s">
        <v>21</v>
      </c>
    </row>
    <row r="4363" spans="1:19" hidden="1" x14ac:dyDescent="0.25">
      <c r="A4363">
        <v>21800724</v>
      </c>
      <c r="B4363" t="s">
        <v>18</v>
      </c>
      <c r="C4363" t="s">
        <v>24</v>
      </c>
      <c r="D4363">
        <v>86</v>
      </c>
      <c r="E4363">
        <v>94</v>
      </c>
      <c r="F4363">
        <v>8</v>
      </c>
      <c r="G4363">
        <v>3</v>
      </c>
      <c r="H4363" s="1">
        <v>5.8217592592592587E-4</v>
      </c>
      <c r="I4363">
        <v>2018</v>
      </c>
      <c r="J4363" t="s">
        <v>48</v>
      </c>
      <c r="K4363" s="2" t="str">
        <f>HYPERLINK("https://www.nba.com/stats/events?CFID=&amp;CFPARAMS=&amp;GameEventID=455&amp;GameID=0021800724&amp;Season=2018-19&amp;flag=1&amp;title=Leonard%204'%20Layup%20(23%20PTS)", "Leonard 4' Layup (23 PTS)")</f>
        <v>Leonard 4' Layup (23 PTS)</v>
      </c>
      <c r="L4363" s="2" t="str">
        <f>HYPERLINK("https://www.nba.com/game/...-vs-...-0021800724/play-by-play?watchFullGame=true", "TOR vs HOU - Q3 00:50.30")</f>
        <v>TOR vs HOU - Q3 00:50.30</v>
      </c>
      <c r="M4363">
        <v>4</v>
      </c>
      <c r="N4363">
        <v>-33</v>
      </c>
      <c r="O4363">
        <v>25</v>
      </c>
      <c r="P4363">
        <v>-33</v>
      </c>
      <c r="Q4363">
        <v>25</v>
      </c>
      <c r="R4363" t="s">
        <v>21</v>
      </c>
      <c r="S4363" t="s">
        <v>21</v>
      </c>
    </row>
    <row r="4364" spans="1:19" hidden="1" x14ac:dyDescent="0.25">
      <c r="A4364">
        <v>21600625</v>
      </c>
      <c r="B4364" t="s">
        <v>18</v>
      </c>
      <c r="C4364" t="s">
        <v>47</v>
      </c>
      <c r="D4364">
        <v>61</v>
      </c>
      <c r="E4364">
        <v>65</v>
      </c>
      <c r="F4364">
        <v>4</v>
      </c>
      <c r="G4364">
        <v>2</v>
      </c>
      <c r="H4364" s="1">
        <v>9.6064814814814819E-4</v>
      </c>
      <c r="I4364">
        <v>2016</v>
      </c>
      <c r="J4364" t="s">
        <v>20</v>
      </c>
      <c r="K4364" s="2" t="str">
        <f>HYPERLINK("https://www.nba.com/stats/events?CFID=&amp;CFPARAMS=&amp;GameEventID=283&amp;GameID=0021600625&amp;Season=2016-17&amp;flag=1&amp;title=Leonard%204'%20Hook%20Shot%20(13%20PTS)", "Leonard 4' Hook Shot (13 PTS)")</f>
        <v>Leonard 4' Hook Shot (13 PTS)</v>
      </c>
      <c r="L4364" s="2" t="str">
        <f>HYPERLINK("https://www.nba.com/game/...-vs-...-0021600625/play-by-play?watchFullGame=true", "SAS vs MIN - Q2 01:23.00")</f>
        <v>SAS vs MIN - Q2 01:23.00</v>
      </c>
      <c r="M4364">
        <v>4</v>
      </c>
      <c r="N4364">
        <v>4</v>
      </c>
      <c r="O4364">
        <v>41</v>
      </c>
      <c r="P4364">
        <v>4</v>
      </c>
      <c r="Q4364">
        <v>41</v>
      </c>
      <c r="R4364" t="s">
        <v>21</v>
      </c>
      <c r="S4364" t="s">
        <v>21</v>
      </c>
    </row>
    <row r="4365" spans="1:19" hidden="1" x14ac:dyDescent="0.25">
      <c r="A4365">
        <v>21800506</v>
      </c>
      <c r="B4365" t="s">
        <v>18</v>
      </c>
      <c r="C4365" t="s">
        <v>33</v>
      </c>
      <c r="D4365">
        <v>78</v>
      </c>
      <c r="E4365">
        <v>76</v>
      </c>
      <c r="F4365">
        <v>2</v>
      </c>
      <c r="G4365">
        <v>3</v>
      </c>
      <c r="H4365" s="1">
        <v>9.9537037037037042E-4</v>
      </c>
      <c r="I4365">
        <v>2018</v>
      </c>
      <c r="J4365" t="s">
        <v>48</v>
      </c>
      <c r="K4365" s="2" t="str">
        <f>HYPERLINK("https://www.nba.com/stats/events?CFID=&amp;CFPARAMS=&amp;GameEventID=427&amp;GameID=0021800506&amp;Season=2018-19&amp;flag=1&amp;title=Leonard%204'%20Putback%20Layup%20(23%20PTS)", "Leonard 4' Putback Layup (23 PTS)")</f>
        <v>Leonard 4' Putback Layup (23 PTS)</v>
      </c>
      <c r="L4365" s="2" t="str">
        <f>HYPERLINK("https://www.nba.com/game/...-vs-...-0021800506/play-by-play?watchFullGame=true", "TOR vs MIA - Q3 01:26.00")</f>
        <v>TOR vs MIA - Q3 01:26.00</v>
      </c>
      <c r="M4365">
        <v>4</v>
      </c>
      <c r="N4365">
        <v>27</v>
      </c>
      <c r="O4365">
        <v>25</v>
      </c>
      <c r="P4365">
        <v>27</v>
      </c>
      <c r="Q4365">
        <v>25</v>
      </c>
      <c r="R4365" t="s">
        <v>21</v>
      </c>
      <c r="S4365" t="s">
        <v>21</v>
      </c>
    </row>
    <row r="4366" spans="1:19" hidden="1" x14ac:dyDescent="0.25">
      <c r="A4366">
        <v>41400161</v>
      </c>
      <c r="B4366" t="s">
        <v>18</v>
      </c>
      <c r="C4366" t="s">
        <v>19</v>
      </c>
      <c r="D4366">
        <v>39</v>
      </c>
      <c r="E4366">
        <v>45</v>
      </c>
      <c r="F4366">
        <v>6</v>
      </c>
      <c r="G4366">
        <v>2</v>
      </c>
      <c r="H4366" s="1">
        <v>1.1226851851851851E-3</v>
      </c>
      <c r="I4366" t="s">
        <v>56</v>
      </c>
      <c r="J4366" t="s">
        <v>20</v>
      </c>
      <c r="K4366" s="2" t="str">
        <f>HYPERLINK("https://www.nba.com/stats/events?CFID=&amp;CFPARAMS=&amp;GameEventID=269&amp;GameID=0041400161&amp;Season=2014-15&amp;flag=1&amp;title=Leonard%204'%20Jump%20Shot%20(7%20PTS)", "Leonard 4' Jump Shot (7 PTS)")</f>
        <v>Leonard 4' Jump Shot (7 PTS)</v>
      </c>
      <c r="L4366" s="2" t="str">
        <f>HYPERLINK("https://www.nba.com/game/...-vs-...-0041400161/play-by-play?watchFullGame=true", "SAS vs LAC - Q2 01:37.00")</f>
        <v>SAS vs LAC - Q2 01:37.00</v>
      </c>
      <c r="M4366">
        <v>4</v>
      </c>
      <c r="N4366">
        <v>34</v>
      </c>
      <c r="O4366">
        <v>11</v>
      </c>
      <c r="P4366">
        <v>34</v>
      </c>
      <c r="Q4366">
        <v>11</v>
      </c>
      <c r="R4366" t="s">
        <v>21</v>
      </c>
      <c r="S4366" t="s">
        <v>21</v>
      </c>
    </row>
    <row r="4367" spans="1:19" hidden="1" x14ac:dyDescent="0.25">
      <c r="A4367">
        <v>21500502</v>
      </c>
      <c r="B4367" t="s">
        <v>18</v>
      </c>
      <c r="C4367" t="s">
        <v>31</v>
      </c>
      <c r="D4367">
        <v>115</v>
      </c>
      <c r="E4367">
        <v>96</v>
      </c>
      <c r="F4367">
        <v>19</v>
      </c>
      <c r="G4367">
        <v>4</v>
      </c>
      <c r="H4367" s="1">
        <v>1.5162037037037036E-3</v>
      </c>
      <c r="I4367">
        <v>2015</v>
      </c>
      <c r="J4367" t="s">
        <v>20</v>
      </c>
      <c r="K4367" s="2" t="str">
        <f>HYPERLINK("https://www.nba.com/stats/events?CFID=&amp;CFPARAMS=&amp;GameEventID=493&amp;GameID=0021500502&amp;Season=2015-16&amp;flag=1&amp;title=Leonard%204'%20Driving%20Hook%20Shot%20(22%20PTS)%20(Parker%2010%20AST)", "Leonard 4' Driving Hook Shot (22 PTS) (Parker 10 AST)")</f>
        <v>Leonard 4' Driving Hook Shot (22 PTS) (Parker 10 AST)</v>
      </c>
      <c r="L4367" s="2" t="str">
        <f>HYPERLINK("https://www.nba.com/game/...-vs-...-0021500502/play-by-play?watchFullGame=true", "SAS vs HOU - Q4 02:11.00")</f>
        <v>SAS vs HOU - Q4 02:11.00</v>
      </c>
      <c r="M4367">
        <v>4</v>
      </c>
      <c r="N4367">
        <v>9</v>
      </c>
      <c r="O4367">
        <v>43</v>
      </c>
      <c r="P4367">
        <v>9</v>
      </c>
      <c r="Q4367">
        <v>43</v>
      </c>
      <c r="R4367" t="s">
        <v>21</v>
      </c>
      <c r="S4367" t="s">
        <v>21</v>
      </c>
    </row>
    <row r="4368" spans="1:19" hidden="1" x14ac:dyDescent="0.25">
      <c r="A4368">
        <v>21800580</v>
      </c>
      <c r="B4368" t="s">
        <v>18</v>
      </c>
      <c r="C4368" t="s">
        <v>31</v>
      </c>
      <c r="D4368">
        <v>44</v>
      </c>
      <c r="E4368">
        <v>51</v>
      </c>
      <c r="F4368">
        <v>7</v>
      </c>
      <c r="G4368">
        <v>2</v>
      </c>
      <c r="H4368" s="1">
        <v>2.3726851851851851E-3</v>
      </c>
      <c r="I4368">
        <v>2018</v>
      </c>
      <c r="J4368" t="s">
        <v>48</v>
      </c>
      <c r="K4368" s="2" t="str">
        <f>HYPERLINK("https://www.nba.com/stats/events?CFID=&amp;CFPARAMS=&amp;GameEventID=278&amp;GameID=0021800580&amp;Season=2018-19&amp;flag=1&amp;title=Leonard%204'%20Driving%20Hook%20Shot%20(15%20PTS)", "Leonard 4' Driving Hook Shot (15 PTS)")</f>
        <v>Leonard 4' Driving Hook Shot (15 PTS)</v>
      </c>
      <c r="L4368" s="2" t="str">
        <f>HYPERLINK("https://www.nba.com/game/...-vs-...-0021800580/play-by-play?watchFullGame=true", "TOR vs MIL - Q2 03:25.00")</f>
        <v>TOR vs MIL - Q2 03:25.00</v>
      </c>
      <c r="M4368">
        <v>4</v>
      </c>
      <c r="N4368">
        <v>-5</v>
      </c>
      <c r="O4368">
        <v>37</v>
      </c>
      <c r="P4368">
        <v>-5</v>
      </c>
      <c r="Q4368">
        <v>37</v>
      </c>
      <c r="R4368" t="s">
        <v>21</v>
      </c>
      <c r="S4368" t="s">
        <v>21</v>
      </c>
    </row>
    <row r="4369" spans="1:19" hidden="1" x14ac:dyDescent="0.25">
      <c r="A4369">
        <v>21400314</v>
      </c>
      <c r="B4369" t="s">
        <v>18</v>
      </c>
      <c r="C4369" t="s">
        <v>30</v>
      </c>
      <c r="D4369">
        <v>40</v>
      </c>
      <c r="E4369">
        <v>38</v>
      </c>
      <c r="F4369">
        <v>2</v>
      </c>
      <c r="G4369">
        <v>2</v>
      </c>
      <c r="H4369" s="1">
        <v>2.4305555555555556E-3</v>
      </c>
      <c r="I4369">
        <v>2014</v>
      </c>
      <c r="J4369" t="s">
        <v>20</v>
      </c>
      <c r="K4369" s="2" t="str">
        <f>HYPERLINK("https://www.nba.com/stats/events?CFID=&amp;CFPARAMS=&amp;GameEventID=194&amp;GameID=0021400314&amp;Season=2014-15&amp;flag=1&amp;title=Leonard%204'%20Running%20Jump%20Shot%20(5%20PTS)", "Leonard 4' Running Jump Shot (5 PTS)")</f>
        <v>Leonard 4' Running Jump Shot (5 PTS)</v>
      </c>
      <c r="L4369" s="2" t="str">
        <f>HYPERLINK("https://www.nba.com/game/...-vs-...-0021400314/play-by-play?watchFullGame=true", "SAS vs UTA - Q2 03:30.00")</f>
        <v>SAS vs UTA - Q2 03:30.00</v>
      </c>
      <c r="M4369">
        <v>4</v>
      </c>
      <c r="N4369">
        <v>-27</v>
      </c>
      <c r="O4369">
        <v>31</v>
      </c>
      <c r="P4369">
        <v>-27</v>
      </c>
      <c r="Q4369">
        <v>31</v>
      </c>
      <c r="R4369" t="s">
        <v>21</v>
      </c>
      <c r="S4369" t="s">
        <v>21</v>
      </c>
    </row>
    <row r="4370" spans="1:19" hidden="1" x14ac:dyDescent="0.25">
      <c r="A4370">
        <v>21501215</v>
      </c>
      <c r="B4370" t="s">
        <v>18</v>
      </c>
      <c r="C4370" t="s">
        <v>43</v>
      </c>
      <c r="D4370">
        <v>90</v>
      </c>
      <c r="E4370">
        <v>88</v>
      </c>
      <c r="F4370">
        <v>2</v>
      </c>
      <c r="G4370">
        <v>4</v>
      </c>
      <c r="H4370" s="1">
        <v>2.673611111111111E-3</v>
      </c>
      <c r="I4370">
        <v>2015</v>
      </c>
      <c r="J4370" t="s">
        <v>20</v>
      </c>
      <c r="K4370" s="2" t="str">
        <f>HYPERLINK("https://www.nba.com/stats/events?CFID=&amp;CFPARAMS=&amp;GameEventID=467&amp;GameID=0021501215&amp;Season=2015-16&amp;flag=1&amp;title=Leonard%204'%20Driving%20Bank%20Shot%20(20%20PTS)%20(Parker%203%20AST)", "Leonard 4' Driving Bank Shot (20 PTS) (Parker 3 AST)")</f>
        <v>Leonard 4' Driving Bank Shot (20 PTS) (Parker 3 AST)</v>
      </c>
      <c r="L4370" s="2" t="str">
        <f>HYPERLINK("https://www.nba.com/game/...-vs-...-0021501215/play-by-play?watchFullGame=true", "SAS vs OKC - Q4 03:51.00")</f>
        <v>SAS vs OKC - Q4 03:51.00</v>
      </c>
      <c r="M4370">
        <v>4</v>
      </c>
      <c r="N4370">
        <v>38</v>
      </c>
      <c r="O4370">
        <v>21</v>
      </c>
      <c r="P4370">
        <v>38</v>
      </c>
      <c r="Q4370">
        <v>21</v>
      </c>
      <c r="R4370" t="s">
        <v>21</v>
      </c>
      <c r="S4370" t="s">
        <v>21</v>
      </c>
    </row>
    <row r="4371" spans="1:19" hidden="1" x14ac:dyDescent="0.25">
      <c r="A4371">
        <v>21300554</v>
      </c>
      <c r="B4371" t="s">
        <v>18</v>
      </c>
      <c r="C4371" t="s">
        <v>29</v>
      </c>
      <c r="D4371">
        <v>41</v>
      </c>
      <c r="E4371">
        <v>38</v>
      </c>
      <c r="F4371">
        <v>3</v>
      </c>
      <c r="G4371">
        <v>2</v>
      </c>
      <c r="H4371" s="1">
        <v>2.7314814814814814E-3</v>
      </c>
      <c r="I4371">
        <v>2013</v>
      </c>
      <c r="J4371" t="s">
        <v>20</v>
      </c>
      <c r="K4371" s="2" t="str">
        <f>HYPERLINK("https://www.nba.com/stats/events?CFID=&amp;CFPARAMS=&amp;GameEventID=211&amp;GameID=0021300554&amp;Season=2013-14&amp;flag=1&amp;title=Leonard%204'%20Jump%20Bank%20Shot%20(4%20PTS)%20(Duncan%204%20AST)", "Leonard 4' Jump Bank Shot (4 PTS) (Duncan 4 AST)")</f>
        <v>Leonard 4' Jump Bank Shot (4 PTS) (Duncan 4 AST)</v>
      </c>
      <c r="L4371" s="2" t="str">
        <f>HYPERLINK("https://www.nba.com/game/...-vs-...-0021300554/play-by-play?watchFullGame=true", "SAS vs MIN - Q2 03:56.00")</f>
        <v>SAS vs MIN - Q2 03:56.00</v>
      </c>
      <c r="M4371">
        <v>4</v>
      </c>
      <c r="N4371">
        <v>29</v>
      </c>
      <c r="O4371">
        <v>26</v>
      </c>
      <c r="P4371">
        <v>29</v>
      </c>
      <c r="Q4371">
        <v>26</v>
      </c>
      <c r="R4371" t="s">
        <v>21</v>
      </c>
      <c r="S4371" t="s">
        <v>21</v>
      </c>
    </row>
    <row r="4372" spans="1:19" hidden="1" x14ac:dyDescent="0.25">
      <c r="A4372">
        <v>21800442</v>
      </c>
      <c r="B4372" t="s">
        <v>18</v>
      </c>
      <c r="C4372" t="s">
        <v>22</v>
      </c>
      <c r="D4372">
        <v>67</v>
      </c>
      <c r="E4372">
        <v>57</v>
      </c>
      <c r="F4372">
        <v>10</v>
      </c>
      <c r="G4372">
        <v>3</v>
      </c>
      <c r="H4372" s="1">
        <v>2.9745370370370373E-3</v>
      </c>
      <c r="I4372">
        <v>2018</v>
      </c>
      <c r="J4372" t="s">
        <v>48</v>
      </c>
      <c r="K4372" s="2" t="str">
        <f>HYPERLINK("https://www.nba.com/stats/events?CFID=&amp;CFPARAMS=&amp;GameEventID=369&amp;GameID=0021800442&amp;Season=2018-19&amp;flag=1&amp;title=Leonard%204'%20Driving%20Layup%20(20%20PTS)", "Leonard 4' Driving Layup (20 PTS)")</f>
        <v>Leonard 4' Driving Layup (20 PTS)</v>
      </c>
      <c r="L4372" s="2" t="str">
        <f>HYPERLINK("https://www.nba.com/game/...-vs-...-0021800442/play-by-play?watchFullGame=true", "TOR vs DEN - Q3 04:17.00")</f>
        <v>TOR vs DEN - Q3 04:17.00</v>
      </c>
      <c r="M4372">
        <v>4</v>
      </c>
      <c r="N4372">
        <v>35</v>
      </c>
      <c r="O4372">
        <v>28</v>
      </c>
      <c r="P4372">
        <v>35</v>
      </c>
      <c r="Q4372">
        <v>28</v>
      </c>
      <c r="R4372" t="s">
        <v>21</v>
      </c>
      <c r="S4372" t="s">
        <v>21</v>
      </c>
    </row>
    <row r="4373" spans="1:19" hidden="1" x14ac:dyDescent="0.25">
      <c r="A4373">
        <v>21300414</v>
      </c>
      <c r="B4373" t="s">
        <v>18</v>
      </c>
      <c r="C4373" t="s">
        <v>19</v>
      </c>
      <c r="D4373">
        <v>17</v>
      </c>
      <c r="E4373">
        <v>12</v>
      </c>
      <c r="F4373">
        <v>5</v>
      </c>
      <c r="G4373">
        <v>1</v>
      </c>
      <c r="H4373" s="1">
        <v>3.1597222222222222E-3</v>
      </c>
      <c r="I4373">
        <v>2013</v>
      </c>
      <c r="J4373" t="s">
        <v>20</v>
      </c>
      <c r="K4373" s="2" t="str">
        <f>HYPERLINK("https://www.nba.com/stats/events?CFID=&amp;CFPARAMS=&amp;GameEventID=69&amp;GameID=0021300414&amp;Season=2013-14&amp;flag=1&amp;title=Leonard%204'%20Jump%20Shot%20(6%20PTS)%20(Parker%203%20AST)", "Leonard 4' Jump Shot (6 PTS) (Parker 3 AST)")</f>
        <v>Leonard 4' Jump Shot (6 PTS) (Parker 3 AST)</v>
      </c>
      <c r="L4373" s="2" t="str">
        <f>HYPERLINK("https://www.nba.com/game/...-vs-...-0021300414/play-by-play?watchFullGame=true", "SAS vs TOR - Q1 04:33.00")</f>
        <v>SAS vs TOR - Q1 04:33.00</v>
      </c>
      <c r="M4373">
        <v>4</v>
      </c>
      <c r="N4373">
        <v>24</v>
      </c>
      <c r="O4373">
        <v>31</v>
      </c>
      <c r="P4373">
        <v>24</v>
      </c>
      <c r="Q4373">
        <v>31</v>
      </c>
      <c r="R4373" t="s">
        <v>21</v>
      </c>
      <c r="S4373" t="s">
        <v>21</v>
      </c>
    </row>
    <row r="4374" spans="1:19" hidden="1" x14ac:dyDescent="0.25">
      <c r="A4374">
        <v>21800008</v>
      </c>
      <c r="B4374" t="s">
        <v>18</v>
      </c>
      <c r="C4374" t="s">
        <v>42</v>
      </c>
      <c r="D4374">
        <v>18</v>
      </c>
      <c r="E4374">
        <v>17</v>
      </c>
      <c r="F4374">
        <v>1</v>
      </c>
      <c r="G4374">
        <v>1</v>
      </c>
      <c r="H4374" s="1">
        <v>3.2870370370370371E-3</v>
      </c>
      <c r="I4374">
        <v>2018</v>
      </c>
      <c r="J4374" t="s">
        <v>48</v>
      </c>
      <c r="K4374" s="2" t="str">
        <f>HYPERLINK("https://www.nba.com/stats/events?CFID=&amp;CFPARAMS=&amp;GameEventID=98&amp;GameID=0021800008&amp;Season=2018-19&amp;flag=1&amp;title=Leonard%204'%20Driving%20Floating%20Jump%20Shot%20(4%20PTS)%20(VanVleet%201%20AST)", "Leonard 4' Driving Floating Jump Shot (4 PTS) (VanVleet 1 AST)")</f>
        <v>Leonard 4' Driving Floating Jump Shot (4 PTS) (VanVleet 1 AST)</v>
      </c>
      <c r="L4374" s="2" t="str">
        <f>HYPERLINK("https://www.nba.com/game/...-vs-...-0021800008/play-by-play?watchFullGame=true", "TOR vs CLE - Q1 04:44.00")</f>
        <v>TOR vs CLE - Q1 04:44.00</v>
      </c>
      <c r="M4374">
        <v>4</v>
      </c>
      <c r="N4374">
        <v>0</v>
      </c>
      <c r="O4374">
        <v>41</v>
      </c>
      <c r="P4374">
        <v>0</v>
      </c>
      <c r="Q4374">
        <v>41</v>
      </c>
      <c r="R4374" t="s">
        <v>21</v>
      </c>
      <c r="S4374" t="s">
        <v>21</v>
      </c>
    </row>
    <row r="4375" spans="1:19" hidden="1" x14ac:dyDescent="0.25">
      <c r="A4375">
        <v>21300421</v>
      </c>
      <c r="B4375" t="s">
        <v>18</v>
      </c>
      <c r="C4375" t="s">
        <v>54</v>
      </c>
      <c r="D4375">
        <v>66</v>
      </c>
      <c r="E4375">
        <v>71</v>
      </c>
      <c r="F4375">
        <v>5</v>
      </c>
      <c r="G4375">
        <v>3</v>
      </c>
      <c r="H4375" s="1">
        <v>3.3217592592592591E-3</v>
      </c>
      <c r="I4375">
        <v>2013</v>
      </c>
      <c r="J4375" t="s">
        <v>20</v>
      </c>
      <c r="K4375" s="2" t="str">
        <f>HYPERLINK("https://www.nba.com/stats/events?CFID=&amp;CFPARAMS=&amp;GameEventID=319&amp;GameID=0021300421&amp;Season=2013-14&amp;flag=1&amp;title=Leonard%204'%20Driving%20Jump%20Shot%20(8%20PTS)", "Leonard 4' Driving Jump Shot (8 PTS)")</f>
        <v>Leonard 4' Driving Jump Shot (8 PTS)</v>
      </c>
      <c r="L4375" s="2" t="str">
        <f>HYPERLINK("https://www.nba.com/game/...-vs-...-0021300421/play-by-play?watchFullGame=true", "SAS vs HOU - Q3 04:47.00")</f>
        <v>SAS vs HOU - Q3 04:47.00</v>
      </c>
      <c r="M4375">
        <v>4</v>
      </c>
      <c r="N4375">
        <v>-23</v>
      </c>
      <c r="O4375">
        <v>33</v>
      </c>
      <c r="P4375">
        <v>-23</v>
      </c>
      <c r="Q4375">
        <v>33</v>
      </c>
      <c r="R4375" t="s">
        <v>21</v>
      </c>
      <c r="S4375" t="s">
        <v>21</v>
      </c>
    </row>
    <row r="4376" spans="1:19" hidden="1" x14ac:dyDescent="0.25">
      <c r="A4376">
        <v>21400361</v>
      </c>
      <c r="B4376" t="s">
        <v>18</v>
      </c>
      <c r="C4376" t="s">
        <v>31</v>
      </c>
      <c r="D4376">
        <v>33</v>
      </c>
      <c r="E4376">
        <v>38</v>
      </c>
      <c r="F4376">
        <v>5</v>
      </c>
      <c r="G4376">
        <v>2</v>
      </c>
      <c r="H4376" s="1">
        <v>3.414351851851852E-3</v>
      </c>
      <c r="I4376">
        <v>2014</v>
      </c>
      <c r="J4376" t="s">
        <v>20</v>
      </c>
      <c r="K4376" s="2" t="str">
        <f>HYPERLINK("https://www.nba.com/stats/events?CFID=&amp;CFPARAMS=&amp;GameEventID=191&amp;GameID=0021400361&amp;Season=2014-15&amp;flag=1&amp;title=Leonard%204'%20Driving%20Hook%20Shot%20(5%20PTS)", "Leonard 4' Driving Hook Shot (5 PTS)")</f>
        <v>Leonard 4' Driving Hook Shot (5 PTS)</v>
      </c>
      <c r="L4376" s="2" t="str">
        <f>HYPERLINK("https://www.nba.com/game/...-vs-...-0021400361/play-by-play?watchFullGame=true", "SAS vs POR - Q2 04:55.00")</f>
        <v>SAS vs POR - Q2 04:55.00</v>
      </c>
      <c r="M4376">
        <v>4</v>
      </c>
      <c r="N4376">
        <v>39</v>
      </c>
      <c r="O4376">
        <v>4</v>
      </c>
      <c r="P4376">
        <v>39</v>
      </c>
      <c r="Q4376">
        <v>4</v>
      </c>
      <c r="R4376" t="s">
        <v>21</v>
      </c>
      <c r="S4376" t="s">
        <v>21</v>
      </c>
    </row>
    <row r="4377" spans="1:19" hidden="1" x14ac:dyDescent="0.25">
      <c r="A4377">
        <v>21800216</v>
      </c>
      <c r="B4377" t="s">
        <v>18</v>
      </c>
      <c r="C4377" t="s">
        <v>22</v>
      </c>
      <c r="D4377">
        <v>98</v>
      </c>
      <c r="E4377">
        <v>96</v>
      </c>
      <c r="F4377">
        <v>2</v>
      </c>
      <c r="G4377">
        <v>4</v>
      </c>
      <c r="H4377" s="1">
        <v>3.5069444444444445E-3</v>
      </c>
      <c r="I4377">
        <v>2018</v>
      </c>
      <c r="J4377" t="s">
        <v>48</v>
      </c>
      <c r="K4377" s="2" t="str">
        <f>HYPERLINK("https://www.nba.com/stats/events?CFID=&amp;CFPARAMS=&amp;GameEventID=619&amp;GameID=0021800216&amp;Season=2018-19&amp;flag=1&amp;title=Leonard%204'%20Driving%20Layup%20(24%20PTS)", "Leonard 4' Driving Layup (24 PTS)")</f>
        <v>Leonard 4' Driving Layup (24 PTS)</v>
      </c>
      <c r="L4377" s="2" t="str">
        <f>HYPERLINK("https://www.nba.com/game/...-vs-...-0021800216/play-by-play?watchFullGame=true", "TOR vs BOS - Q4 05:03.00")</f>
        <v>TOR vs BOS - Q4 05:03.00</v>
      </c>
      <c r="M4377">
        <v>4</v>
      </c>
      <c r="N4377">
        <v>-8</v>
      </c>
      <c r="O4377">
        <v>35</v>
      </c>
      <c r="P4377">
        <v>-8</v>
      </c>
      <c r="Q4377">
        <v>35</v>
      </c>
      <c r="R4377" t="s">
        <v>21</v>
      </c>
      <c r="S4377" t="s">
        <v>21</v>
      </c>
    </row>
    <row r="4378" spans="1:19" hidden="1" x14ac:dyDescent="0.25">
      <c r="A4378">
        <v>21601193</v>
      </c>
      <c r="B4378" t="s">
        <v>18</v>
      </c>
      <c r="C4378" t="s">
        <v>31</v>
      </c>
      <c r="D4378">
        <v>38</v>
      </c>
      <c r="E4378">
        <v>39</v>
      </c>
      <c r="F4378">
        <v>1</v>
      </c>
      <c r="G4378">
        <v>2</v>
      </c>
      <c r="H4378" s="1">
        <v>3.5069444444444445E-3</v>
      </c>
      <c r="I4378">
        <v>2016</v>
      </c>
      <c r="J4378" t="s">
        <v>20</v>
      </c>
      <c r="K4378" s="2" t="str">
        <f>HYPERLINK("https://www.nba.com/stats/events?CFID=&amp;CFPARAMS=&amp;GameEventID=182&amp;GameID=0021601193&amp;Season=2016-17&amp;flag=1&amp;title=Leonard%204'%20Driving%20Hook%20Shot%20(9%20PTS)", "Leonard 4' Driving Hook Shot (9 PTS)")</f>
        <v>Leonard 4' Driving Hook Shot (9 PTS)</v>
      </c>
      <c r="L4378" s="2" t="str">
        <f>HYPERLINK("https://www.nba.com/game/...-vs-...-0021601193/play-by-play?watchFullGame=true", "SAS vs LAC - Q2 05:03.00")</f>
        <v>SAS vs LAC - Q2 05:03.00</v>
      </c>
      <c r="M4378">
        <v>4</v>
      </c>
      <c r="N4378">
        <v>40</v>
      </c>
      <c r="O4378">
        <v>16</v>
      </c>
      <c r="P4378">
        <v>40</v>
      </c>
      <c r="Q4378">
        <v>16</v>
      </c>
      <c r="R4378" t="s">
        <v>21</v>
      </c>
      <c r="S4378" t="s">
        <v>21</v>
      </c>
    </row>
    <row r="4379" spans="1:19" hidden="1" x14ac:dyDescent="0.25">
      <c r="A4379">
        <v>41200404</v>
      </c>
      <c r="B4379" t="s">
        <v>18</v>
      </c>
      <c r="C4379" t="s">
        <v>61</v>
      </c>
      <c r="D4379">
        <v>36</v>
      </c>
      <c r="E4379">
        <v>41</v>
      </c>
      <c r="F4379">
        <v>5</v>
      </c>
      <c r="G4379">
        <v>2</v>
      </c>
      <c r="H4379" s="1">
        <v>3.5300925925925925E-3</v>
      </c>
      <c r="I4379" t="s">
        <v>53</v>
      </c>
      <c r="J4379" t="s">
        <v>20</v>
      </c>
      <c r="K4379" s="2" t="str">
        <f>HYPERLINK("https://www.nba.com/stats/events?CFID=&amp;CFPARAMS=&amp;GameEventID=209&amp;GameID=0041200404&amp;Season=2012-13&amp;flag=1&amp;title=Leonard%204'%20Turnaround%20Bank%20Shot%20(5%20PTS)%20(Parker%204%20AST)", "Leonard 4' Turnaround Bank Shot (5 PTS) (Parker 4 AST)")</f>
        <v>Leonard 4' Turnaround Bank Shot (5 PTS) (Parker 4 AST)</v>
      </c>
      <c r="L4379" s="2" t="str">
        <f>HYPERLINK("https://www.nba.com/game/...-vs-...-0041200404/play-by-play?watchFullGame=true", "SAS vs MIA - Q2 05:05.00")</f>
        <v>SAS vs MIA - Q2 05:05.00</v>
      </c>
      <c r="M4379">
        <v>4</v>
      </c>
      <c r="N4379">
        <v>34</v>
      </c>
      <c r="O4379">
        <v>28</v>
      </c>
      <c r="P4379">
        <v>34</v>
      </c>
      <c r="Q4379">
        <v>28</v>
      </c>
      <c r="R4379" t="s">
        <v>21</v>
      </c>
      <c r="S4379" t="s">
        <v>21</v>
      </c>
    </row>
    <row r="4380" spans="1:19" hidden="1" x14ac:dyDescent="0.25">
      <c r="A4380">
        <v>41200407</v>
      </c>
      <c r="B4380" t="s">
        <v>18</v>
      </c>
      <c r="C4380" t="s">
        <v>29</v>
      </c>
      <c r="D4380">
        <v>13</v>
      </c>
      <c r="E4380">
        <v>8</v>
      </c>
      <c r="F4380">
        <v>5</v>
      </c>
      <c r="G4380">
        <v>1</v>
      </c>
      <c r="H4380" s="1">
        <v>3.6226851851851854E-3</v>
      </c>
      <c r="I4380" t="s">
        <v>53</v>
      </c>
      <c r="J4380" t="s">
        <v>20</v>
      </c>
      <c r="K4380" s="2" t="str">
        <f>HYPERLINK("https://www.nba.com/stats/events?CFID=&amp;CFPARAMS=&amp;GameEventID=62&amp;GameID=0041200407&amp;Season=2012-13&amp;flag=1&amp;title=Leonard%204'%20Jump%20Bank%20Shot%20(4%20PTS)", "Leonard 4' Jump Bank Shot (4 PTS)")</f>
        <v>Leonard 4' Jump Bank Shot (4 PTS)</v>
      </c>
      <c r="L4380" s="2" t="str">
        <f>HYPERLINK("https://www.nba.com/game/...-vs-...-0041200407/play-by-play?watchFullGame=true", "SAS vs MIA - Q1 05:13.00")</f>
        <v>SAS vs MIA - Q1 05:13.00</v>
      </c>
      <c r="M4380">
        <v>4</v>
      </c>
      <c r="N4380">
        <v>29</v>
      </c>
      <c r="O4380">
        <v>26</v>
      </c>
      <c r="P4380">
        <v>29</v>
      </c>
      <c r="Q4380">
        <v>26</v>
      </c>
      <c r="R4380" t="s">
        <v>21</v>
      </c>
      <c r="S4380" t="s">
        <v>21</v>
      </c>
    </row>
    <row r="4381" spans="1:19" hidden="1" x14ac:dyDescent="0.25">
      <c r="A4381">
        <v>21800388</v>
      </c>
      <c r="B4381" t="s">
        <v>18</v>
      </c>
      <c r="C4381" t="s">
        <v>59</v>
      </c>
      <c r="D4381">
        <v>18</v>
      </c>
      <c r="E4381">
        <v>15</v>
      </c>
      <c r="F4381">
        <v>3</v>
      </c>
      <c r="G4381">
        <v>1</v>
      </c>
      <c r="H4381" s="1">
        <v>3.7499999999999999E-3</v>
      </c>
      <c r="I4381">
        <v>2018</v>
      </c>
      <c r="J4381" t="s">
        <v>48</v>
      </c>
      <c r="K4381" s="2" t="str">
        <f>HYPERLINK("https://www.nba.com/stats/events?CFID=&amp;CFPARAMS=&amp;GameEventID=67&amp;GameID=0021800388&amp;Season=2018-19&amp;flag=1&amp;title=Leonard%204'%20Floating%20Jump%20Shot%20(6%20PTS)", "Leonard 4' Floating Jump Shot (6 PTS)")</f>
        <v>Leonard 4' Floating Jump Shot (6 PTS)</v>
      </c>
      <c r="L4381" s="2" t="str">
        <f>HYPERLINK("https://www.nba.com/game/...-vs-...-0021800388/play-by-play?watchFullGame=true", "TOR vs MIL - Q1 05:24.00")</f>
        <v>TOR vs MIL - Q1 05:24.00</v>
      </c>
      <c r="M4381">
        <v>4</v>
      </c>
      <c r="N4381">
        <v>-35</v>
      </c>
      <c r="O4381">
        <v>4</v>
      </c>
      <c r="P4381">
        <v>-35</v>
      </c>
      <c r="Q4381">
        <v>4</v>
      </c>
      <c r="R4381" t="s">
        <v>21</v>
      </c>
      <c r="S4381" t="s">
        <v>21</v>
      </c>
    </row>
    <row r="4382" spans="1:19" hidden="1" x14ac:dyDescent="0.25">
      <c r="A4382">
        <v>21600206</v>
      </c>
      <c r="B4382" t="s">
        <v>18</v>
      </c>
      <c r="C4382" t="s">
        <v>76</v>
      </c>
      <c r="D4382">
        <v>14</v>
      </c>
      <c r="E4382">
        <v>16</v>
      </c>
      <c r="F4382">
        <v>2</v>
      </c>
      <c r="G4382">
        <v>1</v>
      </c>
      <c r="H4382" s="1">
        <v>3.7962962962962963E-3</v>
      </c>
      <c r="I4382">
        <v>2016</v>
      </c>
      <c r="J4382" t="s">
        <v>20</v>
      </c>
      <c r="K4382" s="2" t="str">
        <f>HYPERLINK("https://www.nba.com/stats/events?CFID=&amp;CFPARAMS=&amp;GameEventID=43&amp;GameID=0021600206&amp;Season=2016-17&amp;flag=1&amp;title=Leonard%204'%20Hook%20Bank%20Shot%20(7%20PTS)%20(Lee%201%20AST)", "Leonard 4' Hook Bank Shot (7 PTS) (Lee 1 AST)")</f>
        <v>Leonard 4' Hook Bank Shot (7 PTS) (Lee 1 AST)</v>
      </c>
      <c r="L4382" s="2" t="str">
        <f>HYPERLINK("https://www.nba.com/game/...-vs-...-0021600206/play-by-play?watchFullGame=true", "SAS vs DAL - Q1 05:28.00")</f>
        <v>SAS vs DAL - Q1 05:28.00</v>
      </c>
      <c r="M4382">
        <v>4</v>
      </c>
      <c r="N4382">
        <v>40</v>
      </c>
      <c r="O4382">
        <v>18</v>
      </c>
      <c r="P4382">
        <v>40</v>
      </c>
      <c r="Q4382">
        <v>18</v>
      </c>
      <c r="R4382" t="s">
        <v>21</v>
      </c>
      <c r="S4382" t="s">
        <v>21</v>
      </c>
    </row>
    <row r="4383" spans="1:19" hidden="1" x14ac:dyDescent="0.25">
      <c r="A4383">
        <v>21401157</v>
      </c>
      <c r="B4383" t="s">
        <v>18</v>
      </c>
      <c r="C4383" t="s">
        <v>47</v>
      </c>
      <c r="D4383">
        <v>13</v>
      </c>
      <c r="E4383">
        <v>5</v>
      </c>
      <c r="F4383">
        <v>8</v>
      </c>
      <c r="G4383">
        <v>1</v>
      </c>
      <c r="H4383" s="1">
        <v>3.8310185185185183E-3</v>
      </c>
      <c r="I4383">
        <v>2014</v>
      </c>
      <c r="J4383" t="s">
        <v>20</v>
      </c>
      <c r="K4383" s="2" t="str">
        <f>HYPERLINK("https://www.nba.com/stats/events?CFID=&amp;CFPARAMS=&amp;GameEventID=76&amp;GameID=0021401157&amp;Season=2014-15&amp;flag=1&amp;title=Leonard%204'%20Hook%20Shot%20(9%20PTS)", "Leonard 4' Hook Shot (9 PTS)")</f>
        <v>Leonard 4' Hook Shot (9 PTS)</v>
      </c>
      <c r="L4383" s="2" t="str">
        <f>HYPERLINK("https://www.nba.com/game/...-vs-...-0021401157/play-by-play?watchFullGame=true", "SAS vs OKC - Q1 05:31.00")</f>
        <v>SAS vs OKC - Q1 05:31.00</v>
      </c>
      <c r="M4383">
        <v>4</v>
      </c>
      <c r="N4383">
        <v>13</v>
      </c>
      <c r="O4383">
        <v>41</v>
      </c>
      <c r="P4383">
        <v>13</v>
      </c>
      <c r="Q4383">
        <v>41</v>
      </c>
      <c r="R4383" t="s">
        <v>21</v>
      </c>
      <c r="S4383" t="s">
        <v>21</v>
      </c>
    </row>
    <row r="4384" spans="1:19" hidden="1" x14ac:dyDescent="0.25">
      <c r="A4384">
        <v>21500156</v>
      </c>
      <c r="B4384" t="s">
        <v>18</v>
      </c>
      <c r="C4384" t="s">
        <v>19</v>
      </c>
      <c r="D4384">
        <v>30</v>
      </c>
      <c r="E4384">
        <v>19</v>
      </c>
      <c r="F4384">
        <v>11</v>
      </c>
      <c r="G4384">
        <v>2</v>
      </c>
      <c r="H4384" s="1">
        <v>3.8888888888888888E-3</v>
      </c>
      <c r="I4384">
        <v>2015</v>
      </c>
      <c r="J4384" t="s">
        <v>20</v>
      </c>
      <c r="K4384" s="2" t="str">
        <f>HYPERLINK("https://www.nba.com/stats/events?CFID=&amp;CFPARAMS=&amp;GameEventID=190&amp;GameID=0021500156&amp;Season=2015-16&amp;flag=1&amp;title=Leonard%204'%20Jump%20Shot%20(6%20PTS)", "Leonard 4' Jump Shot (6 PTS)")</f>
        <v>Leonard 4' Jump Shot (6 PTS)</v>
      </c>
      <c r="L4384" s="2" t="str">
        <f>HYPERLINK("https://www.nba.com/game/...-vs-...-0021500156/play-by-play?watchFullGame=true", "SAS vs POR - Q2 05:36.00")</f>
        <v>SAS vs POR - Q2 05:36.00</v>
      </c>
      <c r="M4384">
        <v>4</v>
      </c>
      <c r="N4384">
        <v>9</v>
      </c>
      <c r="O4384">
        <v>41</v>
      </c>
      <c r="P4384">
        <v>9</v>
      </c>
      <c r="Q4384">
        <v>41</v>
      </c>
      <c r="R4384" t="s">
        <v>21</v>
      </c>
      <c r="S4384" t="s">
        <v>21</v>
      </c>
    </row>
    <row r="4385" spans="1:19" hidden="1" x14ac:dyDescent="0.25">
      <c r="A4385">
        <v>21800248</v>
      </c>
      <c r="B4385" t="s">
        <v>18</v>
      </c>
      <c r="C4385" t="s">
        <v>22</v>
      </c>
      <c r="D4385">
        <v>17</v>
      </c>
      <c r="E4385">
        <v>9</v>
      </c>
      <c r="F4385">
        <v>8</v>
      </c>
      <c r="G4385">
        <v>1</v>
      </c>
      <c r="H4385" s="1">
        <v>4.1319444444444442E-3</v>
      </c>
      <c r="I4385">
        <v>2018</v>
      </c>
      <c r="J4385" t="s">
        <v>48</v>
      </c>
      <c r="K4385" s="2" t="str">
        <f>HYPERLINK("https://www.nba.com/stats/events?CFID=&amp;CFPARAMS=&amp;GameEventID=79&amp;GameID=0021800248&amp;Season=2018-19&amp;flag=1&amp;title=Leonard%204'%20Driving%20Layup%20(6%20PTS)%20(Lowry%203%20AST)", "Leonard 4' Driving Layup (6 PTS) (Lowry 3 AST)")</f>
        <v>Leonard 4' Driving Layup (6 PTS) (Lowry 3 AST)</v>
      </c>
      <c r="L4385" s="2" t="str">
        <f>HYPERLINK("https://www.nba.com/game/...-vs-...-0021800248/play-by-play?watchFullGame=true", "TOR vs ORL - Q1 05:57.00")</f>
        <v>TOR vs ORL - Q1 05:57.00</v>
      </c>
      <c r="M4385">
        <v>4</v>
      </c>
      <c r="N4385">
        <v>-36</v>
      </c>
      <c r="O4385">
        <v>21</v>
      </c>
      <c r="P4385">
        <v>-36</v>
      </c>
      <c r="Q4385">
        <v>21</v>
      </c>
      <c r="R4385" t="s">
        <v>21</v>
      </c>
      <c r="S4385" t="s">
        <v>21</v>
      </c>
    </row>
    <row r="4386" spans="1:19" hidden="1" x14ac:dyDescent="0.25">
      <c r="A4386">
        <v>21500759</v>
      </c>
      <c r="B4386" t="s">
        <v>18</v>
      </c>
      <c r="C4386" t="s">
        <v>34</v>
      </c>
      <c r="D4386">
        <v>77</v>
      </c>
      <c r="E4386">
        <v>40</v>
      </c>
      <c r="F4386">
        <v>37</v>
      </c>
      <c r="G4386">
        <v>3</v>
      </c>
      <c r="H4386" s="1">
        <v>4.1319444444444442E-3</v>
      </c>
      <c r="I4386">
        <v>2015</v>
      </c>
      <c r="J4386" t="s">
        <v>20</v>
      </c>
      <c r="K4386" s="2" t="str">
        <f>HYPERLINK("https://www.nba.com/stats/events?CFID=&amp;CFPARAMS=&amp;GameEventID=303&amp;GameID=0021500759&amp;Season=2015-16&amp;flag=1&amp;title=Leonard%204'%20Turnaround%20Jump%20Shot%20(21%20PTS)", "Leonard 4' Turnaround Jump Shot (21 PTS)")</f>
        <v>Leonard 4' Turnaround Jump Shot (21 PTS)</v>
      </c>
      <c r="L4386" s="2" t="str">
        <f>HYPERLINK("https://www.nba.com/game/...-vs-...-0021500759/play-by-play?watchFullGame=true", "SAS vs DAL - Q3 05:57.00")</f>
        <v>SAS vs DAL - Q3 05:57.00</v>
      </c>
      <c r="M4386">
        <v>4</v>
      </c>
      <c r="N4386">
        <v>6</v>
      </c>
      <c r="O4386">
        <v>41</v>
      </c>
      <c r="P4386">
        <v>6</v>
      </c>
      <c r="Q4386">
        <v>41</v>
      </c>
      <c r="R4386" t="s">
        <v>21</v>
      </c>
      <c r="S4386" t="s">
        <v>21</v>
      </c>
    </row>
    <row r="4387" spans="1:19" hidden="1" x14ac:dyDescent="0.25">
      <c r="A4387">
        <v>21500945</v>
      </c>
      <c r="B4387" t="s">
        <v>18</v>
      </c>
      <c r="C4387" t="s">
        <v>43</v>
      </c>
      <c r="D4387">
        <v>15</v>
      </c>
      <c r="E4387">
        <v>11</v>
      </c>
      <c r="F4387">
        <v>4</v>
      </c>
      <c r="G4387">
        <v>1</v>
      </c>
      <c r="H4387" s="1">
        <v>4.2129629629629626E-3</v>
      </c>
      <c r="I4387">
        <v>2015</v>
      </c>
      <c r="J4387" t="s">
        <v>20</v>
      </c>
      <c r="K4387" s="2" t="str">
        <f>HYPERLINK("https://www.nba.com/stats/events?CFID=&amp;CFPARAMS=&amp;GameEventID=58&amp;GameID=0021500945&amp;Season=2015-16&amp;flag=1&amp;title=Leonard%204'%20Driving%20Bank%20Shot%20(4%20PTS)", "Leonard 4' Driving Bank Shot (4 PTS)")</f>
        <v>Leonard 4' Driving Bank Shot (4 PTS)</v>
      </c>
      <c r="L4387" s="2" t="str">
        <f>HYPERLINK("https://www.nba.com/game/...-vs-...-0021500945/play-by-play?watchFullGame=true", "SAS vs MIN - Q1 06:04.00")</f>
        <v>SAS vs MIN - Q1 06:04.00</v>
      </c>
      <c r="M4387">
        <v>4</v>
      </c>
      <c r="N4387">
        <v>-2</v>
      </c>
      <c r="O4387">
        <v>41</v>
      </c>
      <c r="P4387">
        <v>-2</v>
      </c>
      <c r="Q4387">
        <v>41</v>
      </c>
      <c r="R4387" t="s">
        <v>21</v>
      </c>
      <c r="S4387" t="s">
        <v>21</v>
      </c>
    </row>
    <row r="4388" spans="1:19" hidden="1" x14ac:dyDescent="0.25">
      <c r="A4388">
        <v>21500960</v>
      </c>
      <c r="B4388" t="s">
        <v>18</v>
      </c>
      <c r="C4388" t="s">
        <v>24</v>
      </c>
      <c r="D4388">
        <v>96</v>
      </c>
      <c r="E4388">
        <v>90</v>
      </c>
      <c r="F4388">
        <v>6</v>
      </c>
      <c r="G4388">
        <v>4</v>
      </c>
      <c r="H4388" s="1">
        <v>4.2129629629629626E-3</v>
      </c>
      <c r="I4388">
        <v>2015</v>
      </c>
      <c r="J4388" t="s">
        <v>20</v>
      </c>
      <c r="K4388" s="2" t="str">
        <f>HYPERLINK("https://www.nba.com/stats/events?CFID=&amp;CFPARAMS=&amp;GameEventID=438&amp;GameID=0021500960&amp;Season=2015-16&amp;flag=1&amp;title=Leonard%204'%20Layup%20(26%20PTS)%20(Parker%2010%20AST)", "Leonard 4' Layup (26 PTS) (Parker 10 AST)")</f>
        <v>Leonard 4' Layup (26 PTS) (Parker 10 AST)</v>
      </c>
      <c r="L4388" s="2" t="str">
        <f>HYPERLINK("https://www.nba.com/game/...-vs-...-0021500960/play-by-play?watchFullGame=true", "SAS vs CHI - Q4 06:04.00")</f>
        <v>SAS vs CHI - Q4 06:04.00</v>
      </c>
      <c r="M4388">
        <v>4</v>
      </c>
      <c r="N4388">
        <v>19</v>
      </c>
      <c r="O4388">
        <v>36</v>
      </c>
      <c r="P4388">
        <v>19</v>
      </c>
      <c r="Q4388">
        <v>36</v>
      </c>
      <c r="R4388" t="s">
        <v>21</v>
      </c>
      <c r="S4388" t="s">
        <v>21</v>
      </c>
    </row>
    <row r="4389" spans="1:19" hidden="1" x14ac:dyDescent="0.25">
      <c r="A4389">
        <v>41300404</v>
      </c>
      <c r="B4389" t="s">
        <v>18</v>
      </c>
      <c r="C4389" t="s">
        <v>19</v>
      </c>
      <c r="D4389">
        <v>91</v>
      </c>
      <c r="E4389">
        <v>71</v>
      </c>
      <c r="F4389">
        <v>20</v>
      </c>
      <c r="G4389">
        <v>4</v>
      </c>
      <c r="H4389" s="1">
        <v>4.2592592592592595E-3</v>
      </c>
      <c r="I4389" t="s">
        <v>55</v>
      </c>
      <c r="J4389" t="s">
        <v>20</v>
      </c>
      <c r="K4389" s="2" t="str">
        <f>HYPERLINK("https://www.nba.com/stats/events?CFID=&amp;CFPARAMS=&amp;GameEventID=428&amp;GameID=0041300404&amp;Season=2013-14&amp;flag=1&amp;title=Leonard%204'%20Jump%20Shot%20(20%20PTS)", "Leonard 4' Jump Shot (20 PTS)")</f>
        <v>Leonard 4' Jump Shot (20 PTS)</v>
      </c>
      <c r="L4389" s="2" t="str">
        <f>HYPERLINK("https://www.nba.com/game/...-vs-...-0041300404/play-by-play?watchFullGame=true", "SAS vs MIA - Q4 06:08.00")</f>
        <v>SAS vs MIA - Q4 06:08.00</v>
      </c>
      <c r="M4389">
        <v>4</v>
      </c>
      <c r="N4389">
        <v>13</v>
      </c>
      <c r="O4389">
        <v>34</v>
      </c>
      <c r="P4389">
        <v>13</v>
      </c>
      <c r="Q4389">
        <v>34</v>
      </c>
      <c r="R4389" t="s">
        <v>21</v>
      </c>
      <c r="S4389" t="s">
        <v>21</v>
      </c>
    </row>
    <row r="4390" spans="1:19" hidden="1" x14ac:dyDescent="0.25">
      <c r="A4390">
        <v>21300554</v>
      </c>
      <c r="B4390" t="s">
        <v>18</v>
      </c>
      <c r="C4390" t="s">
        <v>19</v>
      </c>
      <c r="D4390">
        <v>93</v>
      </c>
      <c r="E4390">
        <v>79</v>
      </c>
      <c r="F4390">
        <v>14</v>
      </c>
      <c r="G4390">
        <v>4</v>
      </c>
      <c r="H4390" s="1">
        <v>4.2592592592592595E-3</v>
      </c>
      <c r="I4390">
        <v>2013</v>
      </c>
      <c r="J4390" t="s">
        <v>20</v>
      </c>
      <c r="K4390" s="2" t="str">
        <f>HYPERLINK("https://www.nba.com/stats/events?CFID=&amp;CFPARAMS=&amp;GameEventID=414&amp;GameID=0021300554&amp;Season=2013-14&amp;flag=1&amp;title=Leonard%204'%20Jump%20Shot%20(15%20PTS)%20(Mills%202%20AST)", "Leonard 4' Jump Shot (15 PTS) (Mills 2 AST)")</f>
        <v>Leonard 4' Jump Shot (15 PTS) (Mills 2 AST)</v>
      </c>
      <c r="L4390" s="2" t="str">
        <f>HYPERLINK("https://www.nba.com/game/...-vs-...-0021300554/play-by-play?watchFullGame=true", "SAS vs MIN - Q4 06:08.00")</f>
        <v>SAS vs MIN - Q4 06:08.00</v>
      </c>
      <c r="M4390">
        <v>4</v>
      </c>
      <c r="N4390">
        <v>17</v>
      </c>
      <c r="O4390">
        <v>37</v>
      </c>
      <c r="P4390">
        <v>17</v>
      </c>
      <c r="Q4390">
        <v>37</v>
      </c>
      <c r="R4390" t="s">
        <v>21</v>
      </c>
      <c r="S4390" t="s">
        <v>21</v>
      </c>
    </row>
    <row r="4391" spans="1:19" hidden="1" x14ac:dyDescent="0.25">
      <c r="A4391">
        <v>21800739</v>
      </c>
      <c r="B4391" t="s">
        <v>18</v>
      </c>
      <c r="C4391" t="s">
        <v>67</v>
      </c>
      <c r="D4391">
        <v>103</v>
      </c>
      <c r="E4391">
        <v>106</v>
      </c>
      <c r="F4391">
        <v>3</v>
      </c>
      <c r="G4391">
        <v>4</v>
      </c>
      <c r="H4391" s="1">
        <v>4.5254629629629629E-3</v>
      </c>
      <c r="I4391">
        <v>2018</v>
      </c>
      <c r="J4391" t="s">
        <v>48</v>
      </c>
      <c r="K4391" s="2" t="str">
        <f>HYPERLINK("https://www.nba.com/stats/events?CFID=&amp;CFPARAMS=&amp;GameEventID=604&amp;GameID=0021800739&amp;Season=2018-19&amp;flag=1&amp;title=Leonard%204'%20Turnaround%20Hook%20Shot%20(26%20PTS)", "Leonard 4' Turnaround Hook Shot (26 PTS)")</f>
        <v>Leonard 4' Turnaround Hook Shot (26 PTS)</v>
      </c>
      <c r="L4391" s="2" t="str">
        <f>HYPERLINK("https://www.nba.com/game/...-vs-...-0021800739/play-by-play?watchFullGame=true", "TOR vs DAL - Q4 06:31.00")</f>
        <v>TOR vs DAL - Q4 06:31.00</v>
      </c>
      <c r="M4391">
        <v>4</v>
      </c>
      <c r="N4391">
        <v>13</v>
      </c>
      <c r="O4391">
        <v>38</v>
      </c>
      <c r="P4391">
        <v>13</v>
      </c>
      <c r="Q4391">
        <v>38</v>
      </c>
      <c r="R4391" t="s">
        <v>21</v>
      </c>
      <c r="S4391" t="s">
        <v>21</v>
      </c>
    </row>
    <row r="4392" spans="1:19" hidden="1" x14ac:dyDescent="0.25">
      <c r="A4392">
        <v>21800161</v>
      </c>
      <c r="B4392" t="s">
        <v>18</v>
      </c>
      <c r="C4392" t="s">
        <v>22</v>
      </c>
      <c r="D4392">
        <v>78</v>
      </c>
      <c r="E4392">
        <v>65</v>
      </c>
      <c r="F4392">
        <v>13</v>
      </c>
      <c r="G4392">
        <v>3</v>
      </c>
      <c r="H4392" s="1">
        <v>4.6296296296296294E-3</v>
      </c>
      <c r="I4392">
        <v>2018</v>
      </c>
      <c r="J4392" t="s">
        <v>48</v>
      </c>
      <c r="K4392" s="2" t="str">
        <f>HYPERLINK("https://www.nba.com/stats/events?CFID=&amp;CFPARAMS=&amp;GameEventID=416&amp;GameID=0021800161&amp;Season=2018-19&amp;flag=1&amp;title=Leonard%204'%20Driving%20Layup%20(15%20PTS)", "Leonard 4' Driving Layup (15 PTS)")</f>
        <v>Leonard 4' Driving Layup (15 PTS)</v>
      </c>
      <c r="L4392" s="2" t="str">
        <f>HYPERLINK("https://www.nba.com/game/...-vs-...-0021800161/play-by-play?watchFullGame=true", "TOR vs SAC - Q3 06:40.00")</f>
        <v>TOR vs SAC - Q3 06:40.00</v>
      </c>
      <c r="M4392">
        <v>4</v>
      </c>
      <c r="N4392">
        <v>40</v>
      </c>
      <c r="O4392">
        <v>15</v>
      </c>
      <c r="P4392">
        <v>40</v>
      </c>
      <c r="Q4392">
        <v>15</v>
      </c>
      <c r="R4392" t="s">
        <v>21</v>
      </c>
      <c r="S4392" t="s">
        <v>21</v>
      </c>
    </row>
    <row r="4393" spans="1:19" hidden="1" x14ac:dyDescent="0.25">
      <c r="A4393">
        <v>21600657</v>
      </c>
      <c r="B4393" t="s">
        <v>18</v>
      </c>
      <c r="C4393" t="s">
        <v>19</v>
      </c>
      <c r="D4393">
        <v>43</v>
      </c>
      <c r="E4393">
        <v>37</v>
      </c>
      <c r="F4393">
        <v>6</v>
      </c>
      <c r="G4393">
        <v>2</v>
      </c>
      <c r="H4393" s="1">
        <v>4.6874999999999998E-3</v>
      </c>
      <c r="I4393">
        <v>2016</v>
      </c>
      <c r="J4393" t="s">
        <v>20</v>
      </c>
      <c r="K4393" s="2" t="str">
        <f>HYPERLINK("https://www.nba.com/stats/events?CFID=&amp;CFPARAMS=&amp;GameEventID=191&amp;GameID=0021600657&amp;Season=2016-17&amp;flag=1&amp;title=Leonard%204'%20Jump%20Shot%20(12%20PTS)%20(Murray%202%20AST)", "Leonard 4' Jump Shot (12 PTS) (Murray 2 AST)")</f>
        <v>Leonard 4' Jump Shot (12 PTS) (Murray 2 AST)</v>
      </c>
      <c r="L4393" s="2" t="str">
        <f>HYPERLINK("https://www.nba.com/game/...-vs-...-0021600657/play-by-play?watchFullGame=true", "SAS vs CLE - Q2 06:45.00")</f>
        <v>SAS vs CLE - Q2 06:45.00</v>
      </c>
      <c r="M4393">
        <v>4</v>
      </c>
      <c r="N4393">
        <v>-14</v>
      </c>
      <c r="O4393">
        <v>41</v>
      </c>
      <c r="P4393">
        <v>-14</v>
      </c>
      <c r="Q4393">
        <v>41</v>
      </c>
      <c r="R4393" t="s">
        <v>21</v>
      </c>
      <c r="S4393" t="s">
        <v>21</v>
      </c>
    </row>
    <row r="4394" spans="1:19" hidden="1" x14ac:dyDescent="0.25">
      <c r="A4394">
        <v>21800739</v>
      </c>
      <c r="B4394" t="s">
        <v>18</v>
      </c>
      <c r="C4394" t="s">
        <v>51</v>
      </c>
      <c r="D4394">
        <v>73</v>
      </c>
      <c r="E4394">
        <v>68</v>
      </c>
      <c r="F4394">
        <v>5</v>
      </c>
      <c r="G4394">
        <v>3</v>
      </c>
      <c r="H4394" s="1">
        <v>4.8842592592592592E-3</v>
      </c>
      <c r="I4394">
        <v>2018</v>
      </c>
      <c r="J4394" t="s">
        <v>48</v>
      </c>
      <c r="K4394" s="2" t="str">
        <f>HYPERLINK("https://www.nba.com/stats/events?CFID=&amp;CFPARAMS=&amp;GameEventID=432&amp;GameID=0021800739&amp;Season=2018-19&amp;flag=1&amp;title=Leonard%204'%20Running%20Layup%20(21%20PTS)", "Leonard 4' Running Layup (21 PTS)")</f>
        <v>Leonard 4' Running Layup (21 PTS)</v>
      </c>
      <c r="L4394" s="2" t="str">
        <f>HYPERLINK("https://www.nba.com/game/...-vs-...-0021800739/play-by-play?watchFullGame=true", "TOR vs DAL - Q3 07:02.00")</f>
        <v>TOR vs DAL - Q3 07:02.00</v>
      </c>
      <c r="M4394">
        <v>4</v>
      </c>
      <c r="N4394">
        <v>-20</v>
      </c>
      <c r="O4394">
        <v>32</v>
      </c>
      <c r="P4394">
        <v>-20</v>
      </c>
      <c r="Q4394">
        <v>32</v>
      </c>
      <c r="R4394" t="s">
        <v>21</v>
      </c>
      <c r="S4394" t="s">
        <v>21</v>
      </c>
    </row>
    <row r="4395" spans="1:19" hidden="1" x14ac:dyDescent="0.25">
      <c r="A4395">
        <v>41800302</v>
      </c>
      <c r="B4395" t="s">
        <v>18</v>
      </c>
      <c r="C4395" t="s">
        <v>42</v>
      </c>
      <c r="D4395">
        <v>53</v>
      </c>
      <c r="E4395">
        <v>72</v>
      </c>
      <c r="F4395">
        <v>19</v>
      </c>
      <c r="G4395">
        <v>3</v>
      </c>
      <c r="H4395" s="1">
        <v>4.9652777777777777E-3</v>
      </c>
      <c r="I4395" t="s">
        <v>60</v>
      </c>
      <c r="J4395" t="s">
        <v>48</v>
      </c>
      <c r="K4395" s="2" t="str">
        <f>HYPERLINK("https://www.nba.com/stats/events?CFID=&amp;CFPARAMS=&amp;GameEventID=412&amp;GameID=0041800302&amp;Season=2018-19&amp;flag=1&amp;title=Leonard%204'%20Driving%20Floating%20Jump%20Shot%20(20%20PTS)", "Leonard 4' Driving Floating Jump Shot (20 PTS)")</f>
        <v>Leonard 4' Driving Floating Jump Shot (20 PTS)</v>
      </c>
      <c r="L4395" s="2" t="str">
        <f>HYPERLINK("https://www.nba.com/game/...-vs-...-0041800302/play-by-play?watchFullGame=true", "TOR vs MIL - Q3 07:09.00")</f>
        <v>TOR vs MIL - Q3 07:09.00</v>
      </c>
      <c r="M4395">
        <v>4</v>
      </c>
      <c r="N4395">
        <v>-41</v>
      </c>
      <c r="O4395">
        <v>2</v>
      </c>
      <c r="P4395">
        <v>-41</v>
      </c>
      <c r="Q4395">
        <v>2</v>
      </c>
      <c r="R4395" t="s">
        <v>21</v>
      </c>
      <c r="S4395" t="s">
        <v>21</v>
      </c>
    </row>
    <row r="4396" spans="1:19" hidden="1" x14ac:dyDescent="0.25">
      <c r="A4396">
        <v>41800215</v>
      </c>
      <c r="B4396" t="s">
        <v>18</v>
      </c>
      <c r="C4396" t="s">
        <v>42</v>
      </c>
      <c r="D4396">
        <v>70</v>
      </c>
      <c r="E4396">
        <v>55</v>
      </c>
      <c r="F4396">
        <v>15</v>
      </c>
      <c r="G4396">
        <v>3</v>
      </c>
      <c r="H4396" s="1">
        <v>5.1967592592592595E-3</v>
      </c>
      <c r="I4396" t="s">
        <v>60</v>
      </c>
      <c r="J4396" t="s">
        <v>48</v>
      </c>
      <c r="K4396" s="2" t="str">
        <f>HYPERLINK("https://www.nba.com/stats/events?CFID=&amp;CFPARAMS=&amp;GameEventID=402&amp;GameID=0041800215&amp;Season=2018-19&amp;flag=1&amp;title=Leonard%204'%20Driving%20Floating%20Jump%20Shot%20(17%20PTS)", "Leonard 4' Driving Floating Jump Shot (17 PTS)")</f>
        <v>Leonard 4' Driving Floating Jump Shot (17 PTS)</v>
      </c>
      <c r="L4396" s="2" t="str">
        <f>HYPERLINK("https://www.nba.com/game/...-vs-...-0041800215/play-by-play?watchFullGame=true", "TOR vs PHI - Q3 07:29.00")</f>
        <v>TOR vs PHI - Q3 07:29.00</v>
      </c>
      <c r="M4396">
        <v>4</v>
      </c>
      <c r="N4396">
        <v>33</v>
      </c>
      <c r="O4396">
        <v>27</v>
      </c>
      <c r="P4396">
        <v>33</v>
      </c>
      <c r="Q4396">
        <v>27</v>
      </c>
      <c r="R4396" t="s">
        <v>21</v>
      </c>
      <c r="S4396" t="s">
        <v>21</v>
      </c>
    </row>
    <row r="4397" spans="1:19" hidden="1" x14ac:dyDescent="0.25">
      <c r="A4397">
        <v>41400164</v>
      </c>
      <c r="B4397" t="s">
        <v>18</v>
      </c>
      <c r="C4397" t="s">
        <v>30</v>
      </c>
      <c r="D4397">
        <v>88</v>
      </c>
      <c r="E4397">
        <v>93</v>
      </c>
      <c r="F4397">
        <v>5</v>
      </c>
      <c r="G4397">
        <v>4</v>
      </c>
      <c r="H4397" s="1">
        <v>5.2893518518518515E-3</v>
      </c>
      <c r="I4397" t="s">
        <v>56</v>
      </c>
      <c r="J4397" t="s">
        <v>20</v>
      </c>
      <c r="K4397" s="2" t="str">
        <f>HYPERLINK("https://www.nba.com/stats/events?CFID=&amp;CFPARAMS=&amp;GameEventID=455&amp;GameID=0041400164&amp;Season=2014-15&amp;flag=1&amp;title=Leonard%204'%20Running%20Jump%20Shot%20(20%20PTS)%20(Duncan%203%20AST)", "Leonard 4' Running Jump Shot (20 PTS) (Duncan 3 AST)")</f>
        <v>Leonard 4' Running Jump Shot (20 PTS) (Duncan 3 AST)</v>
      </c>
      <c r="L4397" s="2" t="str">
        <f>HYPERLINK("https://www.nba.com/game/...-vs-...-0041400164/play-by-play?watchFullGame=true", "SAS vs LAC - Q4 07:37.00")</f>
        <v>SAS vs LAC - Q4 07:37.00</v>
      </c>
      <c r="M4397">
        <v>4</v>
      </c>
      <c r="N4397">
        <v>34</v>
      </c>
      <c r="O4397">
        <v>23</v>
      </c>
      <c r="P4397">
        <v>34</v>
      </c>
      <c r="Q4397">
        <v>23</v>
      </c>
      <c r="R4397" t="s">
        <v>21</v>
      </c>
      <c r="S4397" t="s">
        <v>21</v>
      </c>
    </row>
    <row r="4398" spans="1:19" hidden="1" x14ac:dyDescent="0.25">
      <c r="A4398">
        <v>21400790</v>
      </c>
      <c r="B4398" t="s">
        <v>18</v>
      </c>
      <c r="C4398" t="s">
        <v>19</v>
      </c>
      <c r="D4398">
        <v>91</v>
      </c>
      <c r="E4398">
        <v>74</v>
      </c>
      <c r="F4398">
        <v>17</v>
      </c>
      <c r="G4398">
        <v>4</v>
      </c>
      <c r="H4398" s="1">
        <v>5.4513888888888893E-3</v>
      </c>
      <c r="I4398">
        <v>2014</v>
      </c>
      <c r="J4398" t="s">
        <v>20</v>
      </c>
      <c r="K4398" s="2" t="str">
        <f>HYPERLINK("https://www.nba.com/stats/events?CFID=&amp;CFPARAMS=&amp;GameEventID=381&amp;GameID=0021400790&amp;Season=2014-15&amp;flag=1&amp;title=Leonard%204'%20Jump%20Shot%20(8%20PTS)", "Leonard 4' Jump Shot (8 PTS)")</f>
        <v>Leonard 4' Jump Shot (8 PTS)</v>
      </c>
      <c r="L4398" s="2" t="str">
        <f>HYPERLINK("https://www.nba.com/game/...-vs-...-0021400790/play-by-play?watchFullGame=true", "SAS vs DET - Q4 07:51.00")</f>
        <v>SAS vs DET - Q4 07:51.00</v>
      </c>
      <c r="M4398">
        <v>4</v>
      </c>
      <c r="N4398">
        <v>-13</v>
      </c>
      <c r="O4398">
        <v>39</v>
      </c>
      <c r="P4398">
        <v>-13</v>
      </c>
      <c r="Q4398">
        <v>39</v>
      </c>
      <c r="R4398" t="s">
        <v>21</v>
      </c>
      <c r="S4398" t="s">
        <v>21</v>
      </c>
    </row>
    <row r="4399" spans="1:19" hidden="1" x14ac:dyDescent="0.25">
      <c r="A4399">
        <v>21500546</v>
      </c>
      <c r="B4399" t="s">
        <v>18</v>
      </c>
      <c r="C4399" t="s">
        <v>19</v>
      </c>
      <c r="D4399">
        <v>61</v>
      </c>
      <c r="E4399">
        <v>59</v>
      </c>
      <c r="F4399">
        <v>2</v>
      </c>
      <c r="G4399">
        <v>3</v>
      </c>
      <c r="H4399" s="1">
        <v>5.4629629629629629E-3</v>
      </c>
      <c r="I4399">
        <v>2015</v>
      </c>
      <c r="J4399" t="s">
        <v>20</v>
      </c>
      <c r="K4399" s="2" t="str">
        <f>HYPERLINK("https://www.nba.com/stats/events?CFID=&amp;CFPARAMS=&amp;GameEventID=304&amp;GameID=0021500546&amp;Season=2015-16&amp;flag=1&amp;title=Leonard%204'%20Jump%20Shot%20(15%20PTS)", "Leonard 4' Jump Shot (15 PTS)")</f>
        <v>Leonard 4' Jump Shot (15 PTS)</v>
      </c>
      <c r="L4399" s="2" t="str">
        <f>HYPERLINK("https://www.nba.com/game/...-vs-...-0021500546/play-by-play?watchFullGame=true", "SAS vs NYK - Q3 07:52.00")</f>
        <v>SAS vs NYK - Q3 07:52.00</v>
      </c>
      <c r="M4399">
        <v>4</v>
      </c>
      <c r="N4399">
        <v>22</v>
      </c>
      <c r="O4399">
        <v>36</v>
      </c>
      <c r="P4399">
        <v>22</v>
      </c>
      <c r="Q4399">
        <v>36</v>
      </c>
      <c r="R4399" t="s">
        <v>21</v>
      </c>
      <c r="S4399" t="s">
        <v>21</v>
      </c>
    </row>
    <row r="4400" spans="1:19" hidden="1" x14ac:dyDescent="0.25">
      <c r="A4400">
        <v>41500236</v>
      </c>
      <c r="B4400" t="s">
        <v>18</v>
      </c>
      <c r="C4400" t="s">
        <v>43</v>
      </c>
      <c r="D4400">
        <v>8</v>
      </c>
      <c r="E4400">
        <v>6</v>
      </c>
      <c r="F4400">
        <v>2</v>
      </c>
      <c r="G4400">
        <v>1</v>
      </c>
      <c r="H4400" s="1">
        <v>5.6481481481481478E-3</v>
      </c>
      <c r="I4400" t="s">
        <v>57</v>
      </c>
      <c r="J4400" t="s">
        <v>20</v>
      </c>
      <c r="K4400" s="2" t="str">
        <f>HYPERLINK("https://www.nba.com/stats/events?CFID=&amp;CFPARAMS=&amp;GameEventID=27&amp;GameID=0041500236&amp;Season=2015-16&amp;flag=1&amp;title=Leonard%204'%20Driving%20Bank%20Shot%20(2%20PTS)", "Leonard 4' Driving Bank Shot (2 PTS)")</f>
        <v>Leonard 4' Driving Bank Shot (2 PTS)</v>
      </c>
      <c r="L4400" s="2" t="str">
        <f>HYPERLINK("https://www.nba.com/game/...-vs-...-0041500236/play-by-play?watchFullGame=true", "SAS vs OKC - Q1 08:08.00")</f>
        <v>SAS vs OKC - Q1 08:08.00</v>
      </c>
      <c r="M4400">
        <v>4</v>
      </c>
      <c r="N4400">
        <v>22</v>
      </c>
      <c r="O4400">
        <v>31</v>
      </c>
      <c r="P4400">
        <v>22</v>
      </c>
      <c r="Q4400">
        <v>31</v>
      </c>
      <c r="R4400" t="s">
        <v>21</v>
      </c>
      <c r="S4400" t="s">
        <v>21</v>
      </c>
    </row>
    <row r="4401" spans="1:19" hidden="1" x14ac:dyDescent="0.25">
      <c r="A4401">
        <v>21600150</v>
      </c>
      <c r="B4401" t="s">
        <v>18</v>
      </c>
      <c r="C4401" t="s">
        <v>42</v>
      </c>
      <c r="D4401">
        <v>8</v>
      </c>
      <c r="E4401">
        <v>4</v>
      </c>
      <c r="F4401">
        <v>4</v>
      </c>
      <c r="G4401">
        <v>1</v>
      </c>
      <c r="H4401" s="1">
        <v>5.8796296296296296E-3</v>
      </c>
      <c r="I4401">
        <v>2016</v>
      </c>
      <c r="J4401" t="s">
        <v>20</v>
      </c>
      <c r="K4401" s="2" t="str">
        <f>HYPERLINK("https://www.nba.com/stats/events?CFID=&amp;CFPARAMS=&amp;GameEventID=23&amp;GameID=0021600150&amp;Season=2016-17&amp;flag=1&amp;title=Leonard%204'%20Driving%20Floating%20Jump%20Shot%20(2%20PTS)%20(Parker%201%20AST)", "Leonard 4' Driving Floating Jump Shot (2 PTS) (Parker 1 AST)")</f>
        <v>Leonard 4' Driving Floating Jump Shot (2 PTS) (Parker 1 AST)</v>
      </c>
      <c r="L4401" s="2" t="str">
        <f>HYPERLINK("https://www.nba.com/game/...-vs-...-0021600150/play-by-play?watchFullGame=true", "SAS vs MIA - Q1 08:28.00")</f>
        <v>SAS vs MIA - Q1 08:28.00</v>
      </c>
      <c r="M4401">
        <v>4</v>
      </c>
      <c r="N4401">
        <v>-42</v>
      </c>
      <c r="O4401">
        <v>2</v>
      </c>
      <c r="P4401">
        <v>-42</v>
      </c>
      <c r="Q4401">
        <v>2</v>
      </c>
      <c r="R4401" t="s">
        <v>21</v>
      </c>
      <c r="S4401" t="s">
        <v>21</v>
      </c>
    </row>
    <row r="4402" spans="1:19" hidden="1" x14ac:dyDescent="0.25">
      <c r="A4402">
        <v>21600387</v>
      </c>
      <c r="B4402" t="s">
        <v>18</v>
      </c>
      <c r="C4402" t="s">
        <v>19</v>
      </c>
      <c r="D4402">
        <v>85</v>
      </c>
      <c r="E4402">
        <v>77</v>
      </c>
      <c r="F4402">
        <v>8</v>
      </c>
      <c r="G4402">
        <v>4</v>
      </c>
      <c r="H4402" s="1">
        <v>5.8796296296296296E-3</v>
      </c>
      <c r="I4402">
        <v>2016</v>
      </c>
      <c r="J4402" t="s">
        <v>20</v>
      </c>
      <c r="K4402" s="2" t="str">
        <f>HYPERLINK("https://www.nba.com/stats/events?CFID=&amp;CFPARAMS=&amp;GameEventID=432&amp;GameID=0021600387&amp;Season=2016-17&amp;flag=1&amp;title=Leonard%204'%20Jump%20Shot%20(18%20PTS)", "Leonard 4' Jump Shot (18 PTS)")</f>
        <v>Leonard 4' Jump Shot (18 PTS)</v>
      </c>
      <c r="L4402" s="2" t="str">
        <f>HYPERLINK("https://www.nba.com/game/...-vs-...-0021600387/play-by-play?watchFullGame=true", "SAS vs PHX - Q4 08:28.00")</f>
        <v>SAS vs PHX - Q4 08:28.00</v>
      </c>
      <c r="M4402">
        <v>4</v>
      </c>
      <c r="N4402">
        <v>43</v>
      </c>
      <c r="O4402">
        <v>7</v>
      </c>
      <c r="P4402">
        <v>43</v>
      </c>
      <c r="Q4402">
        <v>7</v>
      </c>
      <c r="R4402" t="s">
        <v>21</v>
      </c>
      <c r="S4402" t="s">
        <v>21</v>
      </c>
    </row>
    <row r="4403" spans="1:19" hidden="1" x14ac:dyDescent="0.25">
      <c r="A4403">
        <v>21300414</v>
      </c>
      <c r="B4403" t="s">
        <v>18</v>
      </c>
      <c r="C4403" t="s">
        <v>24</v>
      </c>
      <c r="D4403">
        <v>8</v>
      </c>
      <c r="E4403">
        <v>4</v>
      </c>
      <c r="F4403">
        <v>4</v>
      </c>
      <c r="G4403">
        <v>1</v>
      </c>
      <c r="H4403" s="1">
        <v>6.0069444444444441E-3</v>
      </c>
      <c r="I4403">
        <v>2013</v>
      </c>
      <c r="J4403" t="s">
        <v>20</v>
      </c>
      <c r="K4403" s="2" t="str">
        <f>HYPERLINK("https://www.nba.com/stats/events?CFID=&amp;CFPARAMS=&amp;GameEventID=27&amp;GameID=0021300414&amp;Season=2013-14&amp;flag=1&amp;title=Leonard%204'%20Layup%20(4%20PTS)%20(Belinelli%201%20AST)", "Leonard 4' Layup (4 PTS) (Belinelli 1 AST)")</f>
        <v>Leonard 4' Layup (4 PTS) (Belinelli 1 AST)</v>
      </c>
      <c r="L4403" s="2" t="str">
        <f>HYPERLINK("https://www.nba.com/game/...-vs-...-0021300414/play-by-play?watchFullGame=true", "SAS vs TOR - Q1 08:39.00")</f>
        <v>SAS vs TOR - Q1 08:39.00</v>
      </c>
      <c r="M4403">
        <v>4</v>
      </c>
      <c r="N4403">
        <v>29</v>
      </c>
      <c r="O4403">
        <v>22</v>
      </c>
      <c r="P4403">
        <v>29</v>
      </c>
      <c r="Q4403">
        <v>22</v>
      </c>
      <c r="R4403" t="s">
        <v>21</v>
      </c>
      <c r="S4403" t="s">
        <v>21</v>
      </c>
    </row>
    <row r="4404" spans="1:19" hidden="1" x14ac:dyDescent="0.25">
      <c r="A4404">
        <v>41200404</v>
      </c>
      <c r="B4404" t="s">
        <v>18</v>
      </c>
      <c r="C4404" t="s">
        <v>54</v>
      </c>
      <c r="D4404">
        <v>55</v>
      </c>
      <c r="E4404">
        <v>56</v>
      </c>
      <c r="F4404">
        <v>1</v>
      </c>
      <c r="G4404">
        <v>3</v>
      </c>
      <c r="H4404" s="1">
        <v>6.0069444444444441E-3</v>
      </c>
      <c r="I4404" t="s">
        <v>53</v>
      </c>
      <c r="J4404" t="s">
        <v>20</v>
      </c>
      <c r="K4404" s="2" t="str">
        <f>HYPERLINK("https://www.nba.com/stats/events?CFID=&amp;CFPARAMS=&amp;GameEventID=277&amp;GameID=0041200404&amp;Season=2012-13&amp;flag=1&amp;title=Leonard%204'%20Driving%20Jump%20Shot%20(9%20PTS)", "Leonard 4' Driving Jump Shot (9 PTS)")</f>
        <v>Leonard 4' Driving Jump Shot (9 PTS)</v>
      </c>
      <c r="L4404" s="2" t="str">
        <f>HYPERLINK("https://www.nba.com/game/...-vs-...-0041200404/play-by-play?watchFullGame=true", "SAS vs MIA - Q3 08:39.00")</f>
        <v>SAS vs MIA - Q3 08:39.00</v>
      </c>
      <c r="M4404">
        <v>4</v>
      </c>
      <c r="N4404">
        <v>32</v>
      </c>
      <c r="O4404">
        <v>31</v>
      </c>
      <c r="P4404">
        <v>32</v>
      </c>
      <c r="Q4404">
        <v>31</v>
      </c>
      <c r="R4404" t="s">
        <v>21</v>
      </c>
      <c r="S4404" t="s">
        <v>21</v>
      </c>
    </row>
    <row r="4405" spans="1:19" hidden="1" x14ac:dyDescent="0.25">
      <c r="A4405">
        <v>21800563</v>
      </c>
      <c r="B4405" t="s">
        <v>18</v>
      </c>
      <c r="C4405" t="s">
        <v>24</v>
      </c>
      <c r="D4405">
        <v>25</v>
      </c>
      <c r="E4405">
        <v>47</v>
      </c>
      <c r="F4405">
        <v>22</v>
      </c>
      <c r="G4405">
        <v>2</v>
      </c>
      <c r="H4405" s="1">
        <v>6.099537037037037E-3</v>
      </c>
      <c r="I4405">
        <v>2018</v>
      </c>
      <c r="J4405" t="s">
        <v>48</v>
      </c>
      <c r="K4405" s="2" t="str">
        <f>HYPERLINK("https://www.nba.com/stats/events?CFID=&amp;CFPARAMS=&amp;GameEventID=210&amp;GameID=0021800563&amp;Season=2018-19&amp;flag=1&amp;title=Leonard%204'%20Layup%20(6%20PTS)", "Leonard 4' Layup (6 PTS)")</f>
        <v>Leonard 4' Layup (6 PTS)</v>
      </c>
      <c r="L4405" s="2" t="str">
        <f>HYPERLINK("https://www.nba.com/game/...-vs-...-0021800563/play-by-play?watchFullGame=true", "TOR vs SAS - Q2 08:47.00")</f>
        <v>TOR vs SAS - Q2 08:47.00</v>
      </c>
      <c r="M4405">
        <v>4</v>
      </c>
      <c r="N4405">
        <v>7</v>
      </c>
      <c r="O4405">
        <v>37</v>
      </c>
      <c r="P4405">
        <v>7</v>
      </c>
      <c r="Q4405">
        <v>37</v>
      </c>
      <c r="R4405" t="s">
        <v>21</v>
      </c>
      <c r="S4405" t="s">
        <v>21</v>
      </c>
    </row>
    <row r="4406" spans="1:19" hidden="1" x14ac:dyDescent="0.25">
      <c r="A4406">
        <v>21300421</v>
      </c>
      <c r="B4406" t="s">
        <v>18</v>
      </c>
      <c r="C4406" t="s">
        <v>19</v>
      </c>
      <c r="D4406">
        <v>58</v>
      </c>
      <c r="E4406">
        <v>67</v>
      </c>
      <c r="F4406">
        <v>9</v>
      </c>
      <c r="G4406">
        <v>3</v>
      </c>
      <c r="H4406" s="1">
        <v>6.122685185185185E-3</v>
      </c>
      <c r="I4406">
        <v>2013</v>
      </c>
      <c r="J4406" t="s">
        <v>20</v>
      </c>
      <c r="K4406" s="2" t="str">
        <f>HYPERLINK("https://www.nba.com/stats/events?CFID=&amp;CFPARAMS=&amp;GameEventID=276&amp;GameID=0021300421&amp;Season=2013-14&amp;flag=1&amp;title=Leonard%204'%20Jump%20Shot%20(4%20PTS)", "Leonard 4' Jump Shot (4 PTS)")</f>
        <v>Leonard 4' Jump Shot (4 PTS)</v>
      </c>
      <c r="L4406" s="2" t="str">
        <f>HYPERLINK("https://www.nba.com/game/...-vs-...-0021300421/play-by-play?watchFullGame=true", "SAS vs HOU - Q3 08:49.00")</f>
        <v>SAS vs HOU - Q3 08:49.00</v>
      </c>
      <c r="M4406">
        <v>4</v>
      </c>
      <c r="N4406">
        <v>-7</v>
      </c>
      <c r="O4406">
        <v>42</v>
      </c>
      <c r="P4406">
        <v>-7</v>
      </c>
      <c r="Q4406">
        <v>42</v>
      </c>
      <c r="R4406" t="s">
        <v>21</v>
      </c>
      <c r="S4406" t="s">
        <v>21</v>
      </c>
    </row>
    <row r="4407" spans="1:19" hidden="1" x14ac:dyDescent="0.25">
      <c r="A4407">
        <v>41300311</v>
      </c>
      <c r="B4407" t="s">
        <v>18</v>
      </c>
      <c r="C4407" t="s">
        <v>30</v>
      </c>
      <c r="D4407">
        <v>8</v>
      </c>
      <c r="E4407">
        <v>5</v>
      </c>
      <c r="F4407">
        <v>3</v>
      </c>
      <c r="G4407">
        <v>1</v>
      </c>
      <c r="H4407" s="1">
        <v>6.1574074074074074E-3</v>
      </c>
      <c r="I4407" t="s">
        <v>55</v>
      </c>
      <c r="J4407" t="s">
        <v>20</v>
      </c>
      <c r="K4407" s="2" t="str">
        <f>HYPERLINK("https://www.nba.com/stats/events?CFID=&amp;CFPARAMS=&amp;GameEventID=28&amp;GameID=0041300311&amp;Season=2013-14&amp;flag=1&amp;title=Leonard%204'%20Running%20Jump%20Shot%20(4%20PTS)", "Leonard 4' Running Jump Shot (4 PTS)")</f>
        <v>Leonard 4' Running Jump Shot (4 PTS)</v>
      </c>
      <c r="L4407" s="2" t="str">
        <f>HYPERLINK("https://www.nba.com/game/...-vs-...-0041300311/play-by-play?watchFullGame=true", "SAS vs OKC - Q1 08:52.00")</f>
        <v>SAS vs OKC - Q1 08:52.00</v>
      </c>
      <c r="M4407">
        <v>4</v>
      </c>
      <c r="N4407">
        <v>-13</v>
      </c>
      <c r="O4407">
        <v>39</v>
      </c>
      <c r="P4407">
        <v>-13</v>
      </c>
      <c r="Q4407">
        <v>39</v>
      </c>
      <c r="R4407" t="s">
        <v>21</v>
      </c>
      <c r="S4407" t="s">
        <v>21</v>
      </c>
    </row>
    <row r="4408" spans="1:19" hidden="1" x14ac:dyDescent="0.25">
      <c r="A4408">
        <v>21600543</v>
      </c>
      <c r="B4408" t="s">
        <v>18</v>
      </c>
      <c r="C4408" t="s">
        <v>47</v>
      </c>
      <c r="D4408">
        <v>68</v>
      </c>
      <c r="E4408">
        <v>55</v>
      </c>
      <c r="F4408">
        <v>13</v>
      </c>
      <c r="G4408">
        <v>3</v>
      </c>
      <c r="H4408" s="1">
        <v>6.5277777777777782E-3</v>
      </c>
      <c r="I4408">
        <v>2016</v>
      </c>
      <c r="J4408" t="s">
        <v>20</v>
      </c>
      <c r="K4408" s="2" t="str">
        <f>HYPERLINK("https://www.nba.com/stats/events?CFID=&amp;CFPARAMS=&amp;GameEventID=249&amp;GameID=0021600543&amp;Season=2016-17&amp;flag=1&amp;title=Leonard%204'%20Hook%20Shot%20(13%20PTS)", "Leonard 4' Hook Shot (13 PTS)")</f>
        <v>Leonard 4' Hook Shot (13 PTS)</v>
      </c>
      <c r="L4408" s="2" t="str">
        <f>HYPERLINK("https://www.nba.com/game/...-vs-...-0021600543/play-by-play?watchFullGame=true", "SAS vs DEN - Q3 09:24.00")</f>
        <v>SAS vs DEN - Q3 09:24.00</v>
      </c>
      <c r="M4408">
        <v>4</v>
      </c>
      <c r="N4408">
        <v>35</v>
      </c>
      <c r="O4408">
        <v>11</v>
      </c>
      <c r="P4408">
        <v>35</v>
      </c>
      <c r="Q4408">
        <v>11</v>
      </c>
      <c r="R4408" t="s">
        <v>21</v>
      </c>
      <c r="S4408" t="s">
        <v>21</v>
      </c>
    </row>
    <row r="4409" spans="1:19" hidden="1" x14ac:dyDescent="0.25">
      <c r="A4409">
        <v>21300349</v>
      </c>
      <c r="B4409" t="s">
        <v>18</v>
      </c>
      <c r="C4409" t="s">
        <v>73</v>
      </c>
      <c r="D4409">
        <v>30</v>
      </c>
      <c r="E4409">
        <v>22</v>
      </c>
      <c r="F4409">
        <v>8</v>
      </c>
      <c r="G4409">
        <v>2</v>
      </c>
      <c r="H4409" s="1">
        <v>6.6550925925925927E-3</v>
      </c>
      <c r="I4409">
        <v>2013</v>
      </c>
      <c r="J4409" t="s">
        <v>20</v>
      </c>
      <c r="K4409" s="2" t="str">
        <f>HYPERLINK("https://www.nba.com/stats/events?CFID=&amp;CFPARAMS=&amp;GameEventID=140&amp;GameID=0021300349&amp;Season=2013-14&amp;flag=1&amp;title=Leonard%204'%20Running%20Bank%20Shot%20(2%20PTS)", "Leonard 4' Running Bank Shot (2 PTS)")</f>
        <v>Leonard 4' Running Bank Shot (2 PTS)</v>
      </c>
      <c r="L4409" s="2" t="str">
        <f>HYPERLINK("https://www.nba.com/game/...-vs-...-0021300349/play-by-play?watchFullGame=true", "SAS vs UTA - Q2 09:35.00")</f>
        <v>SAS vs UTA - Q2 09:35.00</v>
      </c>
      <c r="M4409">
        <v>4</v>
      </c>
      <c r="N4409">
        <v>37</v>
      </c>
      <c r="O4409">
        <v>9</v>
      </c>
      <c r="P4409">
        <v>37</v>
      </c>
      <c r="Q4409">
        <v>9</v>
      </c>
      <c r="R4409" t="s">
        <v>21</v>
      </c>
      <c r="S4409" t="s">
        <v>21</v>
      </c>
    </row>
    <row r="4410" spans="1:19" hidden="1" x14ac:dyDescent="0.25">
      <c r="A4410">
        <v>21500048</v>
      </c>
      <c r="B4410" t="s">
        <v>18</v>
      </c>
      <c r="C4410" t="s">
        <v>19</v>
      </c>
      <c r="D4410">
        <v>51</v>
      </c>
      <c r="E4410">
        <v>38</v>
      </c>
      <c r="F4410">
        <v>13</v>
      </c>
      <c r="G4410">
        <v>3</v>
      </c>
      <c r="H4410" s="1">
        <v>6.851851851851852E-3</v>
      </c>
      <c r="I4410">
        <v>2015</v>
      </c>
      <c r="J4410" t="s">
        <v>20</v>
      </c>
      <c r="K4410" s="2" t="str">
        <f>HYPERLINK("https://www.nba.com/stats/events?CFID=&amp;CFPARAMS=&amp;GameEventID=256&amp;GameID=0021500048&amp;Season=2015-16&amp;flag=1&amp;title=Leonard%204'%20Jump%20Shot%20(14%20PTS)", "Leonard 4' Jump Shot (14 PTS)")</f>
        <v>Leonard 4' Jump Shot (14 PTS)</v>
      </c>
      <c r="L4410" s="2" t="str">
        <f>HYPERLINK("https://www.nba.com/game/...-vs-...-0021500048/play-by-play?watchFullGame=true", "SAS vs NYK - Q3 09:52.00")</f>
        <v>SAS vs NYK - Q3 09:52.00</v>
      </c>
      <c r="M4410">
        <v>4</v>
      </c>
      <c r="N4410">
        <v>-35</v>
      </c>
      <c r="O4410">
        <v>23</v>
      </c>
      <c r="P4410">
        <v>-35</v>
      </c>
      <c r="Q4410">
        <v>23</v>
      </c>
      <c r="R4410" t="s">
        <v>21</v>
      </c>
      <c r="S4410" t="s">
        <v>21</v>
      </c>
    </row>
    <row r="4411" spans="1:19" hidden="1" x14ac:dyDescent="0.25">
      <c r="A4411">
        <v>21800724</v>
      </c>
      <c r="B4411" t="s">
        <v>18</v>
      </c>
      <c r="C4411" t="s">
        <v>40</v>
      </c>
      <c r="D4411">
        <v>68</v>
      </c>
      <c r="E4411">
        <v>74</v>
      </c>
      <c r="F4411">
        <v>6</v>
      </c>
      <c r="G4411">
        <v>3</v>
      </c>
      <c r="H4411" s="1">
        <v>6.8634259259259256E-3</v>
      </c>
      <c r="I4411">
        <v>2018</v>
      </c>
      <c r="J4411" t="s">
        <v>48</v>
      </c>
      <c r="K4411" s="2" t="str">
        <f>HYPERLINK("https://www.nba.com/stats/events?CFID=&amp;CFPARAMS=&amp;GameEventID=339&amp;GameID=0021800724&amp;Season=2018-19&amp;flag=1&amp;title=Leonard%204'%20Driving%20Finger%20Roll%20Layup%20(19%20PTS)", "Leonard 4' Driving Finger Roll Layup (19 PTS)")</f>
        <v>Leonard 4' Driving Finger Roll Layup (19 PTS)</v>
      </c>
      <c r="L4411" s="2" t="str">
        <f>HYPERLINK("https://www.nba.com/game/...-vs-...-0021800724/play-by-play?watchFullGame=true", "TOR vs HOU - Q3 09:53.00")</f>
        <v>TOR vs HOU - Q3 09:53.00</v>
      </c>
      <c r="M4411">
        <v>4</v>
      </c>
      <c r="N4411">
        <v>35</v>
      </c>
      <c r="O4411">
        <v>16</v>
      </c>
      <c r="P4411">
        <v>35</v>
      </c>
      <c r="Q4411">
        <v>16</v>
      </c>
      <c r="R4411" t="s">
        <v>21</v>
      </c>
      <c r="S4411" t="s">
        <v>21</v>
      </c>
    </row>
    <row r="4412" spans="1:19" hidden="1" x14ac:dyDescent="0.25">
      <c r="A4412">
        <v>41200234</v>
      </c>
      <c r="B4412" t="s">
        <v>18</v>
      </c>
      <c r="C4412" t="s">
        <v>81</v>
      </c>
      <c r="D4412">
        <v>68</v>
      </c>
      <c r="E4412">
        <v>60</v>
      </c>
      <c r="F4412">
        <v>8</v>
      </c>
      <c r="G4412">
        <v>4</v>
      </c>
      <c r="H4412" s="1">
        <v>7.2222222222222219E-3</v>
      </c>
      <c r="I4412" t="s">
        <v>53</v>
      </c>
      <c r="J4412" t="s">
        <v>20</v>
      </c>
      <c r="K4412" s="2" t="str">
        <f>HYPERLINK("https://www.nba.com/stats/events?CFID=&amp;CFPARAMS=&amp;GameEventID=446&amp;GameID=0041200234&amp;Season=2012-13&amp;flag=1&amp;title=Leonard%204'%20Fadeaway%20Bank%20Shot%20(8%20PTS)%20(Splitter%203%20AST)", "Leonard 4' Fadeaway Bank Shot (8 PTS) (Splitter 3 AST)")</f>
        <v>Leonard 4' Fadeaway Bank Shot (8 PTS) (Splitter 3 AST)</v>
      </c>
      <c r="L4412" s="2" t="str">
        <f>HYPERLINK("https://www.nba.com/game/...-vs-...-0041200234/play-by-play?watchFullGame=true", "SAS vs GSW - Q4 10:24.00")</f>
        <v>SAS vs GSW - Q4 10:24.00</v>
      </c>
      <c r="M4412">
        <v>4</v>
      </c>
      <c r="N4412">
        <v>28</v>
      </c>
      <c r="O4412">
        <v>25</v>
      </c>
      <c r="P4412">
        <v>28</v>
      </c>
      <c r="Q4412">
        <v>25</v>
      </c>
      <c r="R4412" t="s">
        <v>21</v>
      </c>
      <c r="S4412" t="s">
        <v>21</v>
      </c>
    </row>
    <row r="4413" spans="1:19" hidden="1" x14ac:dyDescent="0.25">
      <c r="A4413">
        <v>21300194</v>
      </c>
      <c r="B4413" t="s">
        <v>18</v>
      </c>
      <c r="C4413" t="s">
        <v>19</v>
      </c>
      <c r="D4413">
        <v>2</v>
      </c>
      <c r="E4413">
        <v>0</v>
      </c>
      <c r="F4413">
        <v>2</v>
      </c>
      <c r="G4413">
        <v>1</v>
      </c>
      <c r="H4413" s="1">
        <v>7.8356481481481489E-3</v>
      </c>
      <c r="I4413">
        <v>2013</v>
      </c>
      <c r="J4413" t="s">
        <v>20</v>
      </c>
      <c r="K4413" s="2" t="str">
        <f>HYPERLINK("https://www.nba.com/stats/events?CFID=&amp;CFPARAMS=&amp;GameEventID=5&amp;GameID=0021300194&amp;Season=2013-14&amp;flag=1&amp;title=Leonard%204'%20Jump%20Shot%20(2%20PTS)%20(Duncan%201%20AST)", "Leonard 4' Jump Shot (2 PTS) (Duncan 1 AST)")</f>
        <v>Leonard 4' Jump Shot (2 PTS) (Duncan 1 AST)</v>
      </c>
      <c r="L4413" s="2" t="str">
        <f>HYPERLINK("https://www.nba.com/game/...-vs-...-0021300194/play-by-play?watchFullGame=true", "SAS vs CLE - Q1 11:17.00")</f>
        <v>SAS vs CLE - Q1 11:17.00</v>
      </c>
      <c r="M4413">
        <v>4</v>
      </c>
      <c r="N4413">
        <v>-41</v>
      </c>
      <c r="O4413">
        <v>11</v>
      </c>
      <c r="P4413">
        <v>-41</v>
      </c>
      <c r="Q4413">
        <v>11</v>
      </c>
      <c r="R4413" t="s">
        <v>21</v>
      </c>
      <c r="S4413" t="s">
        <v>21</v>
      </c>
    </row>
    <row r="4414" spans="1:19" hidden="1" x14ac:dyDescent="0.25">
      <c r="A4414">
        <v>21401098</v>
      </c>
      <c r="B4414" t="s">
        <v>18</v>
      </c>
      <c r="C4414" t="s">
        <v>19</v>
      </c>
      <c r="D4414">
        <v>2</v>
      </c>
      <c r="E4414">
        <v>0</v>
      </c>
      <c r="F4414">
        <v>2</v>
      </c>
      <c r="G4414">
        <v>1</v>
      </c>
      <c r="H4414" s="1">
        <v>8.1365740740740738E-3</v>
      </c>
      <c r="I4414">
        <v>2014</v>
      </c>
      <c r="J4414" t="s">
        <v>20</v>
      </c>
      <c r="K4414" s="2" t="str">
        <f>HYPERLINK("https://www.nba.com/stats/events?CFID=&amp;CFPARAMS=&amp;GameEventID=3&amp;GameID=0021401098&amp;Season=2014-15&amp;flag=1&amp;title=Leonard%204'%20Jump%20Shot%20(2%20PTS)%20(Parker%201%20AST)", "Leonard 4' Jump Shot (2 PTS) (Parker 1 AST)")</f>
        <v>Leonard 4' Jump Shot (2 PTS) (Parker 1 AST)</v>
      </c>
      <c r="L4414" s="2" t="str">
        <f>HYPERLINK("https://www.nba.com/game/...-vs-...-0021401098/play-by-play?watchFullGame=true", "SAS vs MEM - Q1 11:43.00")</f>
        <v>SAS vs MEM - Q1 11:43.00</v>
      </c>
      <c r="M4414">
        <v>4</v>
      </c>
      <c r="N4414">
        <v>7</v>
      </c>
      <c r="O4414">
        <v>44</v>
      </c>
      <c r="P4414">
        <v>7</v>
      </c>
      <c r="Q4414">
        <v>44</v>
      </c>
      <c r="R4414" t="s">
        <v>21</v>
      </c>
      <c r="S4414" t="s">
        <v>21</v>
      </c>
    </row>
    <row r="4415" spans="1:19" hidden="1" x14ac:dyDescent="0.25">
      <c r="A4415">
        <v>41300404</v>
      </c>
      <c r="B4415" t="s">
        <v>18</v>
      </c>
      <c r="C4415" t="s">
        <v>72</v>
      </c>
      <c r="D4415">
        <v>55</v>
      </c>
      <c r="E4415">
        <v>33</v>
      </c>
      <c r="F4415">
        <v>22</v>
      </c>
      <c r="G4415">
        <v>2</v>
      </c>
      <c r="H4415" s="1">
        <v>7.8703703703703705E-4</v>
      </c>
      <c r="I4415" t="s">
        <v>55</v>
      </c>
      <c r="J4415" t="s">
        <v>20</v>
      </c>
      <c r="K4415" s="2" t="str">
        <f>HYPERLINK("https://www.nba.com/stats/events?CFID=&amp;CFPARAMS=&amp;GameEventID=230&amp;GameID=0041300404&amp;Season=2013-14&amp;flag=1&amp;title=Leonard%201'%20Putback%20Dunk%20(8%20PTS)", "Leonard 1' Putback Dunk (8 PTS)")</f>
        <v>Leonard 1' Putback Dunk (8 PTS)</v>
      </c>
      <c r="L4415" s="2" t="str">
        <f>HYPERLINK("https://www.nba.com/game/...-vs-...-0041300404/play-by-play?watchFullGame=true", "SAS vs MIA - Q2 01:08.00")</f>
        <v>SAS vs MIA - Q2 01:08.00</v>
      </c>
      <c r="M4415">
        <v>1</v>
      </c>
      <c r="N4415">
        <v>-13</v>
      </c>
      <c r="O4415">
        <v>7</v>
      </c>
      <c r="P4415">
        <v>-13</v>
      </c>
      <c r="Q4415">
        <v>7</v>
      </c>
      <c r="R4415" t="s">
        <v>21</v>
      </c>
      <c r="S4415" t="s">
        <v>21</v>
      </c>
    </row>
    <row r="4416" spans="1:19" hidden="1" x14ac:dyDescent="0.25">
      <c r="A4416">
        <v>41800303</v>
      </c>
      <c r="B4416" t="s">
        <v>18</v>
      </c>
      <c r="C4416" t="s">
        <v>50</v>
      </c>
      <c r="D4416">
        <v>20</v>
      </c>
      <c r="E4416">
        <v>13</v>
      </c>
      <c r="F4416">
        <v>7</v>
      </c>
      <c r="G4416">
        <v>1</v>
      </c>
      <c r="H4416" s="1">
        <v>3.2638888888888891E-3</v>
      </c>
      <c r="I4416" t="s">
        <v>60</v>
      </c>
      <c r="J4416" t="s">
        <v>48</v>
      </c>
      <c r="K4416" s="2" t="str">
        <f>HYPERLINK("https://www.nba.com/stats/events?CFID=&amp;CFPARAMS=&amp;GameEventID=101&amp;GameID=0041800303&amp;Season=2018-19&amp;flag=1&amp;title=Leonard%201'%20Running%20Dunk%20(4%20PTS)%20(Powell%201%20AST)", "Leonard 1' Running Dunk (4 PTS) (Powell 1 AST)")</f>
        <v>Leonard 1' Running Dunk (4 PTS) (Powell 1 AST)</v>
      </c>
      <c r="L4416" s="2" t="str">
        <f>HYPERLINK("https://www.nba.com/game/...-vs-...-0041800303/play-by-play?watchFullGame=true", "TOR vs MIL - Q1 04:42.00")</f>
        <v>TOR vs MIL - Q1 04:42.00</v>
      </c>
      <c r="M4416">
        <v>1</v>
      </c>
      <c r="N4416">
        <v>-13</v>
      </c>
      <c r="O4416">
        <v>5</v>
      </c>
      <c r="P4416">
        <v>-13</v>
      </c>
      <c r="Q4416">
        <v>5</v>
      </c>
      <c r="R4416" t="s">
        <v>21</v>
      </c>
      <c r="S4416" t="s">
        <v>21</v>
      </c>
    </row>
    <row r="4417" spans="1:19" hidden="1" x14ac:dyDescent="0.25">
      <c r="A4417">
        <v>21500439</v>
      </c>
      <c r="B4417" t="s">
        <v>18</v>
      </c>
      <c r="C4417" t="s">
        <v>50</v>
      </c>
      <c r="D4417">
        <v>67</v>
      </c>
      <c r="E4417">
        <v>70</v>
      </c>
      <c r="F4417">
        <v>3</v>
      </c>
      <c r="G4417">
        <v>4</v>
      </c>
      <c r="H4417" s="1">
        <v>5.2777777777777779E-3</v>
      </c>
      <c r="I4417">
        <v>2015</v>
      </c>
      <c r="J4417" t="s">
        <v>20</v>
      </c>
      <c r="K4417" s="2" t="str">
        <f>HYPERLINK("https://www.nba.com/stats/events?CFID=&amp;CFPARAMS=&amp;GameEventID=418&amp;GameID=0021500439&amp;Season=2015-16&amp;flag=1&amp;title=Leonard%201'%20Running%20Dunk%20(17%20PTS)%20(Mills%203%20AST)", "Leonard 1' Running Dunk (17 PTS) (Mills 3 AST)")</f>
        <v>Leonard 1' Running Dunk (17 PTS) (Mills 3 AST)</v>
      </c>
      <c r="L4417" s="2" t="str">
        <f>HYPERLINK("https://www.nba.com/game/...-vs-...-0021500439/play-by-play?watchFullGame=true", "SAS vs HOU - Q4 07:36.00")</f>
        <v>SAS vs HOU - Q4 07:36.00</v>
      </c>
      <c r="M4417">
        <v>1</v>
      </c>
      <c r="N4417">
        <v>-12</v>
      </c>
      <c r="O4417">
        <v>-1</v>
      </c>
      <c r="P4417">
        <v>-12</v>
      </c>
      <c r="Q4417">
        <v>-1</v>
      </c>
      <c r="R4417" t="s">
        <v>21</v>
      </c>
      <c r="S4417" t="s">
        <v>21</v>
      </c>
    </row>
    <row r="4418" spans="1:19" hidden="1" x14ac:dyDescent="0.25">
      <c r="A4418">
        <v>21400949</v>
      </c>
      <c r="B4418" t="s">
        <v>18</v>
      </c>
      <c r="C4418" t="s">
        <v>25</v>
      </c>
      <c r="D4418">
        <v>17</v>
      </c>
      <c r="E4418">
        <v>13</v>
      </c>
      <c r="F4418">
        <v>4</v>
      </c>
      <c r="G4418">
        <v>1</v>
      </c>
      <c r="H4418" s="1">
        <v>2.2222222222222222E-3</v>
      </c>
      <c r="I4418">
        <v>2014</v>
      </c>
      <c r="J4418" t="s">
        <v>20</v>
      </c>
      <c r="K4418" s="2" t="str">
        <f>HYPERLINK("https://www.nba.com/stats/events?CFID=&amp;CFPARAMS=&amp;GameEventID=87&amp;GameID=0021400949&amp;Season=2014-15&amp;flag=1&amp;title=Leonard%201'%20Driving%20Dunk%20(2%20PTS)%20(Parker%201%20AST)", "Leonard 1' Driving Dunk (2 PTS) (Parker 1 AST)")</f>
        <v>Leonard 1' Driving Dunk (2 PTS) (Parker 1 AST)</v>
      </c>
      <c r="L4418" s="2" t="str">
        <f>HYPERLINK("https://www.nba.com/game/...-vs-...-0021400949/play-by-play?watchFullGame=true", "SAS vs TOR - Q1 03:12.00")</f>
        <v>SAS vs TOR - Q1 03:12.00</v>
      </c>
      <c r="M4418">
        <v>1</v>
      </c>
      <c r="N4418">
        <v>-11</v>
      </c>
      <c r="O4418">
        <v>1</v>
      </c>
      <c r="P4418">
        <v>-11</v>
      </c>
      <c r="Q4418">
        <v>1</v>
      </c>
      <c r="R4418" t="s">
        <v>21</v>
      </c>
      <c r="S4418" t="s">
        <v>21</v>
      </c>
    </row>
    <row r="4419" spans="1:19" hidden="1" x14ac:dyDescent="0.25">
      <c r="A4419">
        <v>41800211</v>
      </c>
      <c r="B4419" t="s">
        <v>18</v>
      </c>
      <c r="C4419" t="s">
        <v>46</v>
      </c>
      <c r="D4419">
        <v>25</v>
      </c>
      <c r="E4419">
        <v>13</v>
      </c>
      <c r="F4419">
        <v>12</v>
      </c>
      <c r="G4419">
        <v>1</v>
      </c>
      <c r="H4419" s="1">
        <v>3.0439814814814813E-3</v>
      </c>
      <c r="I4419" t="s">
        <v>60</v>
      </c>
      <c r="J4419" t="s">
        <v>48</v>
      </c>
      <c r="K4419" s="2" t="str">
        <f>HYPERLINK("https://www.nba.com/stats/events?CFID=&amp;CFPARAMS=&amp;GameEventID=78&amp;GameID=0041800211&amp;Season=2018-19&amp;flag=1&amp;title=Leonard%201'%20Cutting%20Dunk%20Shot%20(13%20PTS)%20(Lowry%203%20AST)", "Leonard 1' Cutting Dunk Shot (13 PTS) (Lowry 3 AST)")</f>
        <v>Leonard 1' Cutting Dunk Shot (13 PTS) (Lowry 3 AST)</v>
      </c>
      <c r="L4419" s="2" t="str">
        <f>HYPERLINK("https://www.nba.com/game/...-vs-...-0041800211/play-by-play?watchFullGame=true", "TOR vs PHI - Q1 04:23.00")</f>
        <v>TOR vs PHI - Q1 04:23.00</v>
      </c>
      <c r="M4419">
        <v>1</v>
      </c>
      <c r="N4419">
        <v>-11</v>
      </c>
      <c r="O4419">
        <v>6</v>
      </c>
      <c r="P4419">
        <v>-11</v>
      </c>
      <c r="Q4419">
        <v>6</v>
      </c>
      <c r="R4419" t="s">
        <v>21</v>
      </c>
      <c r="S4419" t="s">
        <v>21</v>
      </c>
    </row>
    <row r="4420" spans="1:19" hidden="1" x14ac:dyDescent="0.25">
      <c r="A4420">
        <v>21801098</v>
      </c>
      <c r="B4420" t="s">
        <v>18</v>
      </c>
      <c r="C4420" t="s">
        <v>46</v>
      </c>
      <c r="D4420">
        <v>106</v>
      </c>
      <c r="E4420">
        <v>109</v>
      </c>
      <c r="F4420">
        <v>3</v>
      </c>
      <c r="G4420">
        <v>4</v>
      </c>
      <c r="H4420" s="1">
        <v>3.7615740740740739E-3</v>
      </c>
      <c r="I4420">
        <v>2018</v>
      </c>
      <c r="J4420" t="s">
        <v>48</v>
      </c>
      <c r="K4420" s="2" t="str">
        <f>HYPERLINK("https://www.nba.com/stats/events?CFID=&amp;CFPARAMS=&amp;GameEventID=561&amp;GameID=0021801098&amp;Season=2018-19&amp;flag=1&amp;title=Leonard%201'%20Cutting%20Dunk%20Shot%20(22%20PTS)%20(Green%202%20AST)", "Leonard 1' Cutting Dunk Shot (22 PTS) (Green 2 AST)")</f>
        <v>Leonard 1' Cutting Dunk Shot (22 PTS) (Green 2 AST)</v>
      </c>
      <c r="L4420" s="2" t="str">
        <f>HYPERLINK("https://www.nba.com/game/...-vs-...-0021801098/play-by-play?watchFullGame=true", "TOR vs CHA - Q4 05:25.00")</f>
        <v>TOR vs CHA - Q4 05:25.00</v>
      </c>
      <c r="M4420">
        <v>1</v>
      </c>
      <c r="N4420">
        <v>-11</v>
      </c>
      <c r="O4420">
        <v>1</v>
      </c>
      <c r="P4420">
        <v>-11</v>
      </c>
      <c r="Q4420">
        <v>1</v>
      </c>
      <c r="R4420" t="s">
        <v>21</v>
      </c>
      <c r="S4420" t="s">
        <v>21</v>
      </c>
    </row>
    <row r="4421" spans="1:19" hidden="1" x14ac:dyDescent="0.25">
      <c r="A4421">
        <v>21600917</v>
      </c>
      <c r="B4421" t="s">
        <v>18</v>
      </c>
      <c r="C4421" t="s">
        <v>24</v>
      </c>
      <c r="D4421">
        <v>27</v>
      </c>
      <c r="E4421">
        <v>30</v>
      </c>
      <c r="F4421">
        <v>3</v>
      </c>
      <c r="G4421">
        <v>1</v>
      </c>
      <c r="H4421" s="1">
        <v>1.898148148148148E-4</v>
      </c>
      <c r="I4421">
        <v>2016</v>
      </c>
      <c r="J4421" t="s">
        <v>20</v>
      </c>
      <c r="K4421" s="2" t="str">
        <f>HYPERLINK("https://www.nba.com/stats/events?CFID=&amp;CFPARAMS=&amp;GameEventID=110&amp;GameID=0021600917&amp;Season=2016-17&amp;flag=1&amp;title=Leonard%203'%20Layup%20(14%20PTS)", "Leonard 3' Layup (14 PTS)")</f>
        <v>Leonard 3' Layup (14 PTS)</v>
      </c>
      <c r="L4421" s="2" t="str">
        <f>HYPERLINK("https://www.nba.com/game/...-vs-...-0021600917/play-by-play?watchFullGame=true", "SAS vs NOP - Q1 00:16.40")</f>
        <v>SAS vs NOP - Q1 00:16.40</v>
      </c>
      <c r="M4421">
        <v>3</v>
      </c>
      <c r="N4421">
        <v>27</v>
      </c>
      <c r="O4421">
        <v>18</v>
      </c>
      <c r="P4421">
        <v>27</v>
      </c>
      <c r="Q4421">
        <v>18</v>
      </c>
      <c r="R4421" t="s">
        <v>21</v>
      </c>
      <c r="S4421" t="s">
        <v>21</v>
      </c>
    </row>
    <row r="4422" spans="1:19" hidden="1" x14ac:dyDescent="0.25">
      <c r="A4422">
        <v>41800214</v>
      </c>
      <c r="B4422" t="s">
        <v>18</v>
      </c>
      <c r="C4422" t="s">
        <v>24</v>
      </c>
      <c r="D4422">
        <v>47</v>
      </c>
      <c r="E4422">
        <v>42</v>
      </c>
      <c r="F4422">
        <v>5</v>
      </c>
      <c r="G4422">
        <v>2</v>
      </c>
      <c r="H4422" s="1">
        <v>2.2222222222222221E-4</v>
      </c>
      <c r="I4422" t="s">
        <v>60</v>
      </c>
      <c r="J4422" t="s">
        <v>48</v>
      </c>
      <c r="K4422" s="2" t="str">
        <f>HYPERLINK("https://www.nba.com/stats/events?CFID=&amp;CFPARAMS=&amp;GameEventID=326&amp;GameID=0041800214&amp;Season=2018-19&amp;flag=1&amp;title=Leonard%203'%20Layup%20(17%20PTS)", "Leonard 3' Layup (17 PTS)")</f>
        <v>Leonard 3' Layup (17 PTS)</v>
      </c>
      <c r="L4422" s="2" t="str">
        <f>HYPERLINK("https://www.nba.com/game/...-vs-...-0041800214/play-by-play?watchFullGame=true", "TOR vs PHI - Q2 00:19.20")</f>
        <v>TOR vs PHI - Q2 00:19.20</v>
      </c>
      <c r="M4422">
        <v>3</v>
      </c>
      <c r="N4422">
        <v>27</v>
      </c>
      <c r="O4422">
        <v>4</v>
      </c>
      <c r="P4422">
        <v>27</v>
      </c>
      <c r="Q4422">
        <v>4</v>
      </c>
      <c r="R4422" t="s">
        <v>21</v>
      </c>
      <c r="S4422" t="s">
        <v>21</v>
      </c>
    </row>
    <row r="4423" spans="1:19" hidden="1" x14ac:dyDescent="0.25">
      <c r="A4423">
        <v>21501001</v>
      </c>
      <c r="B4423" t="s">
        <v>18</v>
      </c>
      <c r="C4423" t="s">
        <v>40</v>
      </c>
      <c r="D4423">
        <v>48</v>
      </c>
      <c r="E4423">
        <v>41</v>
      </c>
      <c r="F4423">
        <v>7</v>
      </c>
      <c r="G4423">
        <v>2</v>
      </c>
      <c r="H4423" s="1">
        <v>2.8472222222222223E-4</v>
      </c>
      <c r="I4423">
        <v>2015</v>
      </c>
      <c r="J4423" t="s">
        <v>20</v>
      </c>
      <c r="K4423" s="2" t="str">
        <f>HYPERLINK("https://www.nba.com/stats/events?CFID=&amp;CFPARAMS=&amp;GameEventID=231&amp;GameID=0021501001&amp;Season=2015-16&amp;flag=1&amp;title=Leonard%203'%20Driving%20Finger%20Roll%20Layup%20(14%20PTS)%20(Mills%201%20AST)", "Leonard 3' Driving Finger Roll Layup (14 PTS) (Mills 1 AST)")</f>
        <v>Leonard 3' Driving Finger Roll Layup (14 PTS) (Mills 1 AST)</v>
      </c>
      <c r="L4423" s="2" t="str">
        <f>HYPERLINK("https://www.nba.com/game/...-vs-...-0021501001/play-by-play?watchFullGame=true", "SAS vs LAC - Q2 00:24.60")</f>
        <v>SAS vs LAC - Q2 00:24.60</v>
      </c>
      <c r="M4423">
        <v>3</v>
      </c>
      <c r="N4423">
        <v>4</v>
      </c>
      <c r="O4423">
        <v>26</v>
      </c>
      <c r="P4423">
        <v>4</v>
      </c>
      <c r="Q4423">
        <v>26</v>
      </c>
      <c r="R4423" t="s">
        <v>21</v>
      </c>
      <c r="S4423" t="s">
        <v>21</v>
      </c>
    </row>
    <row r="4424" spans="1:19" hidden="1" x14ac:dyDescent="0.25">
      <c r="A4424">
        <v>21400949</v>
      </c>
      <c r="B4424" t="s">
        <v>18</v>
      </c>
      <c r="C4424" t="s">
        <v>27</v>
      </c>
      <c r="D4424">
        <v>112</v>
      </c>
      <c r="E4424">
        <v>96</v>
      </c>
      <c r="F4424">
        <v>16</v>
      </c>
      <c r="G4424">
        <v>4</v>
      </c>
      <c r="H4424" s="1">
        <v>3.3217592592592592E-4</v>
      </c>
      <c r="I4424">
        <v>2014</v>
      </c>
      <c r="J4424" t="s">
        <v>20</v>
      </c>
      <c r="K4424" s="2" t="str">
        <f>HYPERLINK("https://www.nba.com/stats/events?CFID=&amp;CFPARAMS=&amp;GameEventID=518&amp;GameID=0021400949&amp;Season=2014-15&amp;flag=1&amp;title=Leonard%203'%20Finger%20Roll%20Layup%20(24%20PTS)", "Leonard 3' Finger Roll Layup (24 PTS)")</f>
        <v>Leonard 3' Finger Roll Layup (24 PTS)</v>
      </c>
      <c r="L4424" s="2" t="str">
        <f>HYPERLINK("https://www.nba.com/game/...-vs-...-0021400949/play-by-play?watchFullGame=true", "SAS vs TOR - Q4 00:28.70")</f>
        <v>SAS vs TOR - Q4 00:28.70</v>
      </c>
      <c r="M4424">
        <v>3</v>
      </c>
      <c r="N4424">
        <v>24</v>
      </c>
      <c r="O4424">
        <v>11</v>
      </c>
      <c r="P4424">
        <v>24</v>
      </c>
      <c r="Q4424">
        <v>11</v>
      </c>
      <c r="R4424" t="s">
        <v>21</v>
      </c>
      <c r="S4424" t="s">
        <v>21</v>
      </c>
    </row>
    <row r="4425" spans="1:19" hidden="1" x14ac:dyDescent="0.25">
      <c r="A4425">
        <v>21600962</v>
      </c>
      <c r="B4425" t="s">
        <v>18</v>
      </c>
      <c r="C4425" t="s">
        <v>31</v>
      </c>
      <c r="D4425">
        <v>47</v>
      </c>
      <c r="E4425">
        <v>54</v>
      </c>
      <c r="F4425">
        <v>7</v>
      </c>
      <c r="G4425">
        <v>2</v>
      </c>
      <c r="H4425" s="1">
        <v>4.814814814814815E-4</v>
      </c>
      <c r="I4425">
        <v>2016</v>
      </c>
      <c r="J4425" t="s">
        <v>20</v>
      </c>
      <c r="K4425" s="2" t="str">
        <f>HYPERLINK("https://www.nba.com/stats/events?CFID=&amp;CFPARAMS=&amp;GameEventID=239&amp;GameID=0021600962&amp;Season=2016-17&amp;flag=1&amp;title=Leonard%203'%20Driving%20Hook%20Shot%20(14%20PTS)", "Leonard 3' Driving Hook Shot (14 PTS)")</f>
        <v>Leonard 3' Driving Hook Shot (14 PTS)</v>
      </c>
      <c r="L4425" s="2" t="str">
        <f>HYPERLINK("https://www.nba.com/game/...-vs-...-0021600962/play-by-play?watchFullGame=true", "SAS vs OKC - Q2 00:41.60")</f>
        <v>SAS vs OKC - Q2 00:41.60</v>
      </c>
      <c r="M4425">
        <v>3</v>
      </c>
      <c r="N4425">
        <v>24</v>
      </c>
      <c r="O4425">
        <v>23</v>
      </c>
      <c r="P4425">
        <v>24</v>
      </c>
      <c r="Q4425">
        <v>23</v>
      </c>
      <c r="R4425" t="s">
        <v>21</v>
      </c>
      <c r="S4425" t="s">
        <v>21</v>
      </c>
    </row>
    <row r="4426" spans="1:19" hidden="1" x14ac:dyDescent="0.25">
      <c r="A4426">
        <v>21600727</v>
      </c>
      <c r="B4426" t="s">
        <v>18</v>
      </c>
      <c r="C4426" t="s">
        <v>19</v>
      </c>
      <c r="D4426">
        <v>50</v>
      </c>
      <c r="E4426">
        <v>40</v>
      </c>
      <c r="F4426">
        <v>10</v>
      </c>
      <c r="G4426">
        <v>2</v>
      </c>
      <c r="H4426" s="1">
        <v>6.3773148148148153E-4</v>
      </c>
      <c r="I4426">
        <v>2016</v>
      </c>
      <c r="J4426" t="s">
        <v>20</v>
      </c>
      <c r="K4426" s="2" t="str">
        <f>HYPERLINK("https://www.nba.com/stats/events?CFID=&amp;CFPARAMS=&amp;GameEventID=331&amp;GameID=0021600727&amp;Season=2016-17&amp;flag=1&amp;title=Leonard%203'%20Jump%20Shot%20(15%20PTS)%20(Simmons%201%20AST)", "Leonard 3' Jump Shot (15 PTS) (Simmons 1 AST)")</f>
        <v>Leonard 3' Jump Shot (15 PTS) (Simmons 1 AST)</v>
      </c>
      <c r="L4426" s="2" t="str">
        <f>HYPERLINK("https://www.nba.com/game/...-vs-...-0021600727/play-by-play?watchFullGame=true", "SAS vs OKC - Q2 00:55.10")</f>
        <v>SAS vs OKC - Q2 00:55.10</v>
      </c>
      <c r="M4426">
        <v>3</v>
      </c>
      <c r="N4426">
        <v>20</v>
      </c>
      <c r="O4426">
        <v>26</v>
      </c>
      <c r="P4426">
        <v>20</v>
      </c>
      <c r="Q4426">
        <v>26</v>
      </c>
      <c r="R4426" t="s">
        <v>21</v>
      </c>
      <c r="S4426" t="s">
        <v>21</v>
      </c>
    </row>
    <row r="4427" spans="1:19" hidden="1" x14ac:dyDescent="0.25">
      <c r="A4427">
        <v>41800212</v>
      </c>
      <c r="B4427" t="s">
        <v>18</v>
      </c>
      <c r="C4427" t="s">
        <v>52</v>
      </c>
      <c r="D4427">
        <v>35</v>
      </c>
      <c r="E4427">
        <v>51</v>
      </c>
      <c r="F4427">
        <v>16</v>
      </c>
      <c r="G4427">
        <v>2</v>
      </c>
      <c r="H4427" s="1">
        <v>6.5393518518518513E-4</v>
      </c>
      <c r="I4427" t="s">
        <v>60</v>
      </c>
      <c r="J4427" t="s">
        <v>48</v>
      </c>
      <c r="K4427" s="2" t="str">
        <f>HYPERLINK("https://www.nba.com/stats/events?CFID=&amp;CFPARAMS=&amp;GameEventID=316&amp;GameID=0041800212&amp;Season=2018-19&amp;flag=1&amp;title=Leonard%203'%20Cutting%20Layup%20Shot%20(15%20PTS)%20(Lowry%203%20AST)", "Leonard 3' Cutting Layup Shot (15 PTS) (Lowry 3 AST)")</f>
        <v>Leonard 3' Cutting Layup Shot (15 PTS) (Lowry 3 AST)</v>
      </c>
      <c r="L4427" s="2" t="str">
        <f>HYPERLINK("https://www.nba.com/game/...-vs-...-0041800212/play-by-play?watchFullGame=true", "TOR vs PHI - Q2 00:56.50")</f>
        <v>TOR vs PHI - Q2 00:56.50</v>
      </c>
      <c r="M4427">
        <v>3</v>
      </c>
      <c r="N4427">
        <v>22</v>
      </c>
      <c r="O4427">
        <v>15</v>
      </c>
      <c r="P4427">
        <v>22</v>
      </c>
      <c r="Q4427">
        <v>15</v>
      </c>
      <c r="R4427" t="s">
        <v>21</v>
      </c>
      <c r="S4427" t="s">
        <v>21</v>
      </c>
    </row>
    <row r="4428" spans="1:19" hidden="1" x14ac:dyDescent="0.25">
      <c r="A4428">
        <v>21600917</v>
      </c>
      <c r="B4428" t="s">
        <v>18</v>
      </c>
      <c r="C4428" t="s">
        <v>22</v>
      </c>
      <c r="D4428">
        <v>49</v>
      </c>
      <c r="E4428">
        <v>46</v>
      </c>
      <c r="F4428">
        <v>3</v>
      </c>
      <c r="G4428">
        <v>2</v>
      </c>
      <c r="H4428" s="1">
        <v>7.407407407407407E-4</v>
      </c>
      <c r="I4428">
        <v>2016</v>
      </c>
      <c r="J4428" t="s">
        <v>20</v>
      </c>
      <c r="K4428" s="2" t="str">
        <f>HYPERLINK("https://www.nba.com/stats/events?CFID=&amp;CFPARAMS=&amp;GameEventID=231&amp;GameID=0021600917&amp;Season=2016-17&amp;flag=1&amp;title=Leonard%203'%20Driving%20Layup%20(20%20PTS)", "Leonard 3' Driving Layup (20 PTS)")</f>
        <v>Leonard 3' Driving Layup (20 PTS)</v>
      </c>
      <c r="L4428" s="2" t="str">
        <f>HYPERLINK("https://www.nba.com/game/...-vs-...-0021600917/play-by-play?watchFullGame=true", "SAS vs NOP - Q2 01:04.00")</f>
        <v>SAS vs NOP - Q2 01:04.00</v>
      </c>
      <c r="M4428">
        <v>3</v>
      </c>
      <c r="N4428">
        <v>30</v>
      </c>
      <c r="O4428">
        <v>18</v>
      </c>
      <c r="P4428">
        <v>30</v>
      </c>
      <c r="Q4428">
        <v>18</v>
      </c>
      <c r="R4428" t="s">
        <v>21</v>
      </c>
      <c r="S4428" t="s">
        <v>21</v>
      </c>
    </row>
    <row r="4429" spans="1:19" hidden="1" x14ac:dyDescent="0.25">
      <c r="A4429">
        <v>41200402</v>
      </c>
      <c r="B4429" t="s">
        <v>18</v>
      </c>
      <c r="C4429" t="s">
        <v>19</v>
      </c>
      <c r="D4429">
        <v>19</v>
      </c>
      <c r="E4429">
        <v>20</v>
      </c>
      <c r="F4429">
        <v>1</v>
      </c>
      <c r="G4429">
        <v>1</v>
      </c>
      <c r="H4429" s="1">
        <v>7.6388888888888893E-4</v>
      </c>
      <c r="I4429" t="s">
        <v>53</v>
      </c>
      <c r="J4429" t="s">
        <v>20</v>
      </c>
      <c r="K4429" s="2" t="str">
        <f>HYPERLINK("https://www.nba.com/stats/events?CFID=&amp;CFPARAMS=&amp;GameEventID=104&amp;GameID=0041200402&amp;Season=2012-13&amp;flag=1&amp;title=Leonard%203'%20Jump%20Shot%20(2%20PTS)", "Leonard 3' Jump Shot (2 PTS)")</f>
        <v>Leonard 3' Jump Shot (2 PTS)</v>
      </c>
      <c r="L4429" s="2" t="str">
        <f>HYPERLINK("https://www.nba.com/game/...-vs-...-0041200402/play-by-play?watchFullGame=true", "SAS vs MIA - Q1 01:06.00")</f>
        <v>SAS vs MIA - Q1 01:06.00</v>
      </c>
      <c r="M4429">
        <v>3</v>
      </c>
      <c r="N4429">
        <v>-32</v>
      </c>
      <c r="O4429">
        <v>14</v>
      </c>
      <c r="P4429">
        <v>-32</v>
      </c>
      <c r="Q4429">
        <v>14</v>
      </c>
      <c r="R4429" t="s">
        <v>21</v>
      </c>
      <c r="S4429" t="s">
        <v>21</v>
      </c>
    </row>
    <row r="4430" spans="1:19" hidden="1" x14ac:dyDescent="0.25">
      <c r="A4430">
        <v>21300094</v>
      </c>
      <c r="B4430" t="s">
        <v>18</v>
      </c>
      <c r="C4430" t="s">
        <v>22</v>
      </c>
      <c r="D4430">
        <v>33</v>
      </c>
      <c r="E4430">
        <v>17</v>
      </c>
      <c r="F4430">
        <v>16</v>
      </c>
      <c r="G4430">
        <v>1</v>
      </c>
      <c r="H4430" s="1">
        <v>9.7222222222222219E-4</v>
      </c>
      <c r="I4430">
        <v>2013</v>
      </c>
      <c r="J4430" t="s">
        <v>20</v>
      </c>
      <c r="K4430" s="2" t="str">
        <f>HYPERLINK("https://www.nba.com/stats/events?CFID=&amp;CFPARAMS=&amp;GameEventID=96&amp;GameID=0021300094&amp;Season=2013-14&amp;flag=1&amp;title=Leonard%203'%20Driving%20Layup%20(3%20PTS)", "Leonard 3' Driving Layup (3 PTS)")</f>
        <v>Leonard 3' Driving Layup (3 PTS)</v>
      </c>
      <c r="L4430" s="2" t="str">
        <f>HYPERLINK("https://www.nba.com/game/...-vs-...-0021300094/play-by-play?watchFullGame=true", "SAS vs NYK - Q1 01:24.00")</f>
        <v>SAS vs NYK - Q1 01:24.00</v>
      </c>
      <c r="M4430">
        <v>3</v>
      </c>
      <c r="N4430">
        <v>-24</v>
      </c>
      <c r="O4430">
        <v>14</v>
      </c>
      <c r="P4430">
        <v>-24</v>
      </c>
      <c r="Q4430">
        <v>14</v>
      </c>
      <c r="R4430" t="s">
        <v>21</v>
      </c>
      <c r="S4430" t="s">
        <v>21</v>
      </c>
    </row>
    <row r="4431" spans="1:19" hidden="1" x14ac:dyDescent="0.25">
      <c r="A4431">
        <v>21800639</v>
      </c>
      <c r="B4431" t="s">
        <v>18</v>
      </c>
      <c r="C4431" t="s">
        <v>22</v>
      </c>
      <c r="D4431">
        <v>133</v>
      </c>
      <c r="E4431">
        <v>134</v>
      </c>
      <c r="F4431">
        <v>1</v>
      </c>
      <c r="G4431">
        <v>6</v>
      </c>
      <c r="H4431" s="1">
        <v>1.0648148148148149E-3</v>
      </c>
      <c r="I4431">
        <v>2018</v>
      </c>
      <c r="J4431" t="s">
        <v>48</v>
      </c>
      <c r="K4431" s="2" t="str">
        <f>HYPERLINK("https://www.nba.com/stats/events?CFID=&amp;CFPARAMS=&amp;GameEventID=807&amp;GameID=0021800639&amp;Season=2018-19&amp;flag=1&amp;title=Leonard%203'%20Driving%20Layup%20(40%20PTS)", "Leonard 3' Driving Layup (40 PTS)")</f>
        <v>Leonard 3' Driving Layup (40 PTS)</v>
      </c>
      <c r="L4431" s="2" t="str">
        <f>HYPERLINK("https://www.nba.com/game/...-vs-...-0021800639/play-by-play?watchFullGame=true", "TOR vs WAS - Q6 01:32.00")</f>
        <v>TOR vs WAS - Q6 01:32.00</v>
      </c>
      <c r="M4431">
        <v>3</v>
      </c>
      <c r="N4431">
        <v>-6</v>
      </c>
      <c r="O4431">
        <v>26</v>
      </c>
      <c r="P4431">
        <v>-6</v>
      </c>
      <c r="Q4431">
        <v>26</v>
      </c>
      <c r="R4431" t="s">
        <v>21</v>
      </c>
      <c r="S4431" t="s">
        <v>21</v>
      </c>
    </row>
    <row r="4432" spans="1:19" hidden="1" x14ac:dyDescent="0.25">
      <c r="A4432">
        <v>21500257</v>
      </c>
      <c r="B4432" t="s">
        <v>18</v>
      </c>
      <c r="C4432" t="s">
        <v>22</v>
      </c>
      <c r="D4432">
        <v>69</v>
      </c>
      <c r="E4432">
        <v>64</v>
      </c>
      <c r="F4432">
        <v>5</v>
      </c>
      <c r="G4432">
        <v>3</v>
      </c>
      <c r="H4432" s="1">
        <v>1.1574074074074073E-3</v>
      </c>
      <c r="I4432">
        <v>2015</v>
      </c>
      <c r="J4432" t="s">
        <v>20</v>
      </c>
      <c r="K4432" s="2" t="str">
        <f>HYPERLINK("https://www.nba.com/stats/events?CFID=&amp;CFPARAMS=&amp;GameEventID=353&amp;GameID=0021500257&amp;Season=2015-16&amp;flag=1&amp;title=Leonard%203'%20Driving%20Layup%20(19%20PTS)", "Leonard 3' Driving Layup (19 PTS)")</f>
        <v>Leonard 3' Driving Layup (19 PTS)</v>
      </c>
      <c r="L4432" s="2" t="str">
        <f>HYPERLINK("https://www.nba.com/game/...-vs-...-0021500257/play-by-play?watchFullGame=true", "SAS vs CHI - Q3 01:40.00")</f>
        <v>SAS vs CHI - Q3 01:40.00</v>
      </c>
      <c r="M4432">
        <v>3</v>
      </c>
      <c r="N4432">
        <v>25</v>
      </c>
      <c r="O4432">
        <v>11</v>
      </c>
      <c r="P4432">
        <v>25</v>
      </c>
      <c r="Q4432">
        <v>11</v>
      </c>
      <c r="R4432" t="s">
        <v>21</v>
      </c>
      <c r="S4432" t="s">
        <v>21</v>
      </c>
    </row>
    <row r="4433" spans="1:19" hidden="1" x14ac:dyDescent="0.25">
      <c r="A4433">
        <v>21301017</v>
      </c>
      <c r="B4433" t="s">
        <v>18</v>
      </c>
      <c r="C4433" t="s">
        <v>24</v>
      </c>
      <c r="D4433">
        <v>121</v>
      </c>
      <c r="E4433">
        <v>104</v>
      </c>
      <c r="F4433">
        <v>17</v>
      </c>
      <c r="G4433">
        <v>4</v>
      </c>
      <c r="H4433" s="1">
        <v>1.1805555555555556E-3</v>
      </c>
      <c r="I4433">
        <v>2013</v>
      </c>
      <c r="J4433" t="s">
        <v>20</v>
      </c>
      <c r="K4433" s="2" t="str">
        <f>HYPERLINK("https://www.nba.com/stats/events?CFID=&amp;CFPARAMS=&amp;GameEventID=509&amp;GameID=0021301017&amp;Season=2013-14&amp;flag=1&amp;title=Leonard%203'%20Layup%20(22%20PTS)", "Leonard 3' Layup (22 PTS)")</f>
        <v>Leonard 3' Layup (22 PTS)</v>
      </c>
      <c r="L4433" s="2" t="str">
        <f>HYPERLINK("https://www.nba.com/game/...-vs-...-0021301017/play-by-play?watchFullGame=true", "SAS vs LAL - Q4 01:42.00")</f>
        <v>SAS vs LAL - Q4 01:42.00</v>
      </c>
      <c r="M4433">
        <v>3</v>
      </c>
      <c r="N4433">
        <v>-7</v>
      </c>
      <c r="O4433">
        <v>31</v>
      </c>
      <c r="P4433">
        <v>-7</v>
      </c>
      <c r="Q4433">
        <v>31</v>
      </c>
      <c r="R4433" t="s">
        <v>21</v>
      </c>
      <c r="S4433" t="s">
        <v>21</v>
      </c>
    </row>
    <row r="4434" spans="1:19" hidden="1" x14ac:dyDescent="0.25">
      <c r="A4434">
        <v>41500233</v>
      </c>
      <c r="B4434" t="s">
        <v>18</v>
      </c>
      <c r="C4434" t="s">
        <v>51</v>
      </c>
      <c r="D4434">
        <v>94</v>
      </c>
      <c r="E4434">
        <v>89</v>
      </c>
      <c r="F4434">
        <v>5</v>
      </c>
      <c r="G4434">
        <v>4</v>
      </c>
      <c r="H4434" s="1">
        <v>1.2847222222222223E-3</v>
      </c>
      <c r="I4434" t="s">
        <v>57</v>
      </c>
      <c r="J4434" t="s">
        <v>20</v>
      </c>
      <c r="K4434" s="2" t="str">
        <f>HYPERLINK("https://www.nba.com/stats/events?CFID=&amp;CFPARAMS=&amp;GameEventID=494&amp;GameID=0041500233&amp;Season=2015-16&amp;flag=1&amp;title=Leonard%203'%20Running%20Layup%20(29%20PTS)", "Leonard 3' Running Layup (29 PTS)")</f>
        <v>Leonard 3' Running Layup (29 PTS)</v>
      </c>
      <c r="L4434" s="2" t="str">
        <f>HYPERLINK("https://www.nba.com/game/...-vs-...-0041500233/play-by-play?watchFullGame=true", "SAS vs OKC - Q4 01:51.00")</f>
        <v>SAS vs OKC - Q4 01:51.00</v>
      </c>
      <c r="M4434">
        <v>3</v>
      </c>
      <c r="N4434">
        <v>19</v>
      </c>
      <c r="O4434">
        <v>18</v>
      </c>
      <c r="P4434">
        <v>19</v>
      </c>
      <c r="Q4434">
        <v>18</v>
      </c>
      <c r="R4434" t="s">
        <v>21</v>
      </c>
      <c r="S4434" t="s">
        <v>21</v>
      </c>
    </row>
    <row r="4435" spans="1:19" hidden="1" x14ac:dyDescent="0.25">
      <c r="A4435">
        <v>21800123</v>
      </c>
      <c r="B4435" t="s">
        <v>18</v>
      </c>
      <c r="C4435" t="s">
        <v>22</v>
      </c>
      <c r="D4435">
        <v>45</v>
      </c>
      <c r="E4435">
        <v>45</v>
      </c>
      <c r="F4435">
        <v>0</v>
      </c>
      <c r="G4435">
        <v>2</v>
      </c>
      <c r="H4435" s="1">
        <v>1.3078703703703703E-3</v>
      </c>
      <c r="I4435">
        <v>2018</v>
      </c>
      <c r="J4435" t="s">
        <v>48</v>
      </c>
      <c r="K4435" s="2" t="str">
        <f>HYPERLINK("https://www.nba.com/stats/events?CFID=&amp;CFPARAMS=&amp;GameEventID=305&amp;GameID=0021800123&amp;Season=2018-19&amp;flag=1&amp;title=Leonard%203'%20Driving%20Layup%20(11%20PTS)", "Leonard 3' Driving Layup (11 PTS)")</f>
        <v>Leonard 3' Driving Layup (11 PTS)</v>
      </c>
      <c r="L4435" s="2" t="str">
        <f>HYPERLINK("https://www.nba.com/game/...-vs-...-0021800123/play-by-play?watchFullGame=true", "TOR vs PHX - Q2 01:53.00")</f>
        <v>TOR vs PHX - Q2 01:53.00</v>
      </c>
      <c r="M4435">
        <v>3</v>
      </c>
      <c r="N4435">
        <v>-25</v>
      </c>
      <c r="O4435">
        <v>-1</v>
      </c>
      <c r="P4435">
        <v>-25</v>
      </c>
      <c r="Q4435">
        <v>-1</v>
      </c>
      <c r="R4435" t="s">
        <v>21</v>
      </c>
      <c r="S4435" t="s">
        <v>21</v>
      </c>
    </row>
    <row r="4436" spans="1:19" hidden="1" x14ac:dyDescent="0.25">
      <c r="A4436">
        <v>41200234</v>
      </c>
      <c r="B4436" t="s">
        <v>18</v>
      </c>
      <c r="C4436" t="s">
        <v>22</v>
      </c>
      <c r="D4436">
        <v>44</v>
      </c>
      <c r="E4436">
        <v>36</v>
      </c>
      <c r="F4436">
        <v>8</v>
      </c>
      <c r="G4436">
        <v>2</v>
      </c>
      <c r="H4436" s="1">
        <v>1.3078703703703703E-3</v>
      </c>
      <c r="I4436" t="s">
        <v>53</v>
      </c>
      <c r="J4436" t="s">
        <v>20</v>
      </c>
      <c r="K4436" s="2" t="str">
        <f>HYPERLINK("https://www.nba.com/stats/events?CFID=&amp;CFPARAMS=&amp;GameEventID=268&amp;GameID=0041200234&amp;Season=2012-13&amp;flag=1&amp;title=Leonard%203'%20Driving%20Layup%20(4%20PTS)", "Leonard 3' Driving Layup (4 PTS)")</f>
        <v>Leonard 3' Driving Layup (4 PTS)</v>
      </c>
      <c r="L4436" s="2" t="str">
        <f>HYPERLINK("https://www.nba.com/game/...-vs-...-0041200234/play-by-play?watchFullGame=true", "SAS vs GSW - Q2 01:53.00")</f>
        <v>SAS vs GSW - Q2 01:53.00</v>
      </c>
      <c r="M4436">
        <v>3</v>
      </c>
      <c r="N4436">
        <v>18</v>
      </c>
      <c r="O4436">
        <v>22</v>
      </c>
      <c r="P4436">
        <v>18</v>
      </c>
      <c r="Q4436">
        <v>22</v>
      </c>
      <c r="R4436" t="s">
        <v>21</v>
      </c>
      <c r="S4436" t="s">
        <v>21</v>
      </c>
    </row>
    <row r="4437" spans="1:19" hidden="1" x14ac:dyDescent="0.25">
      <c r="A4437">
        <v>21801083</v>
      </c>
      <c r="B4437" t="s">
        <v>18</v>
      </c>
      <c r="C4437" t="s">
        <v>77</v>
      </c>
      <c r="D4437">
        <v>51</v>
      </c>
      <c r="E4437">
        <v>48</v>
      </c>
      <c r="F4437">
        <v>3</v>
      </c>
      <c r="G4437">
        <v>2</v>
      </c>
      <c r="H4437" s="1">
        <v>1.3657407407407407E-3</v>
      </c>
      <c r="I4437">
        <v>2018</v>
      </c>
      <c r="J4437" t="s">
        <v>48</v>
      </c>
      <c r="K4437" s="2" t="str">
        <f>HYPERLINK("https://www.nba.com/stats/events?CFID=&amp;CFPARAMS=&amp;GameEventID=270&amp;GameID=0021801083&amp;Season=2018-19&amp;flag=1&amp;title=Leonard%203'%20Turnaround%20Fadeaway%20Bank%20Jump%20Shot%20(9%20PTS)%20(VanVleet%202%20AST)", "Leonard 3' Turnaround Fadeaway Bank Jump Shot (9 PTS) (VanVleet 2 AST)")</f>
        <v>Leonard 3' Turnaround Fadeaway Bank Jump Shot (9 PTS) (VanVleet 2 AST)</v>
      </c>
      <c r="L4437" s="2" t="str">
        <f>HYPERLINK("https://www.nba.com/game/...-vs-...-0021801083/play-by-play?watchFullGame=true", "TOR vs OKC - Q2 01:58.00")</f>
        <v>TOR vs OKC - Q2 01:58.00</v>
      </c>
      <c r="M4437">
        <v>3</v>
      </c>
      <c r="N4437">
        <v>-24</v>
      </c>
      <c r="O4437">
        <v>20</v>
      </c>
      <c r="P4437">
        <v>-24</v>
      </c>
      <c r="Q4437">
        <v>20</v>
      </c>
      <c r="R4437" t="s">
        <v>21</v>
      </c>
      <c r="S4437" t="s">
        <v>21</v>
      </c>
    </row>
    <row r="4438" spans="1:19" hidden="1" x14ac:dyDescent="0.25">
      <c r="A4438">
        <v>21800549</v>
      </c>
      <c r="B4438" t="s">
        <v>18</v>
      </c>
      <c r="C4438" t="s">
        <v>51</v>
      </c>
      <c r="D4438">
        <v>87</v>
      </c>
      <c r="E4438">
        <v>78</v>
      </c>
      <c r="F4438">
        <v>9</v>
      </c>
      <c r="G4438">
        <v>3</v>
      </c>
      <c r="H4438" s="1">
        <v>1.4930555555555556E-3</v>
      </c>
      <c r="I4438">
        <v>2018</v>
      </c>
      <c r="J4438" t="s">
        <v>48</v>
      </c>
      <c r="K4438" s="2" t="str">
        <f>HYPERLINK("https://www.nba.com/stats/events?CFID=&amp;CFPARAMS=&amp;GameEventID=435&amp;GameID=0021800549&amp;Season=2018-19&amp;flag=1&amp;title=Leonard%203'%20Running%20Layup%20(31%20PTS)", "Leonard 3' Running Layup (31 PTS)")</f>
        <v>Leonard 3' Running Layup (31 PTS)</v>
      </c>
      <c r="L4438" s="2" t="str">
        <f>HYPERLINK("https://www.nba.com/game/...-vs-...-0021800549/play-by-play?watchFullGame=true", "TOR vs UTA - Q3 02:09.00")</f>
        <v>TOR vs UTA - Q3 02:09.00</v>
      </c>
      <c r="M4438">
        <v>3</v>
      </c>
      <c r="N4438">
        <v>-9</v>
      </c>
      <c r="O4438">
        <v>26</v>
      </c>
      <c r="P4438">
        <v>-9</v>
      </c>
      <c r="Q4438">
        <v>26</v>
      </c>
      <c r="R4438" t="s">
        <v>21</v>
      </c>
      <c r="S4438" t="s">
        <v>21</v>
      </c>
    </row>
    <row r="4439" spans="1:19" hidden="1" x14ac:dyDescent="0.25">
      <c r="A4439">
        <v>21500481</v>
      </c>
      <c r="B4439" t="s">
        <v>18</v>
      </c>
      <c r="C4439" t="s">
        <v>71</v>
      </c>
      <c r="D4439">
        <v>55</v>
      </c>
      <c r="E4439">
        <v>24</v>
      </c>
      <c r="F4439">
        <v>31</v>
      </c>
      <c r="G4439">
        <v>2</v>
      </c>
      <c r="H4439" s="1">
        <v>1.5509259259259259E-3</v>
      </c>
      <c r="I4439">
        <v>2015</v>
      </c>
      <c r="J4439" t="s">
        <v>20</v>
      </c>
      <c r="K4439" s="2" t="str">
        <f>HYPERLINK("https://www.nba.com/stats/events?CFID=&amp;CFPARAMS=&amp;GameEventID=221&amp;GameID=0021500481&amp;Season=2015-16&amp;flag=1&amp;title=Leonard%203'%20Running%20Finger%20Roll%20Layup%20(12%20PTS)", "Leonard 3' Running Finger Roll Layup (12 PTS)")</f>
        <v>Leonard 3' Running Finger Roll Layup (12 PTS)</v>
      </c>
      <c r="L4439" s="2" t="str">
        <f>HYPERLINK("https://www.nba.com/game/...-vs-...-0021500481/play-by-play?watchFullGame=true", "SAS vs PHX - Q2 02:14.00")</f>
        <v>SAS vs PHX - Q2 02:14.00</v>
      </c>
      <c r="M4439">
        <v>3</v>
      </c>
      <c r="N4439">
        <v>-6</v>
      </c>
      <c r="O4439">
        <v>28</v>
      </c>
      <c r="P4439">
        <v>-6</v>
      </c>
      <c r="Q4439">
        <v>28</v>
      </c>
      <c r="R4439" t="s">
        <v>21</v>
      </c>
      <c r="S4439" t="s">
        <v>21</v>
      </c>
    </row>
    <row r="4440" spans="1:19" hidden="1" x14ac:dyDescent="0.25">
      <c r="A4440">
        <v>21800930</v>
      </c>
      <c r="B4440" t="s">
        <v>18</v>
      </c>
      <c r="C4440" t="s">
        <v>40</v>
      </c>
      <c r="D4440">
        <v>107</v>
      </c>
      <c r="E4440">
        <v>107</v>
      </c>
      <c r="F4440">
        <v>0</v>
      </c>
      <c r="G4440">
        <v>4</v>
      </c>
      <c r="H4440" s="1">
        <v>1.5625000000000001E-3</v>
      </c>
      <c r="I4440">
        <v>2018</v>
      </c>
      <c r="J4440" t="s">
        <v>48</v>
      </c>
      <c r="K4440" s="2" t="str">
        <f>HYPERLINK("https://www.nba.com/stats/events?CFID=&amp;CFPARAMS=&amp;GameEventID=594&amp;GameID=0021800930&amp;Season=2018-19&amp;flag=1&amp;title=Leonard%203'%20Driving%20Finger%20Roll%20Layup%20(33%20PTS)", "Leonard 3' Driving Finger Roll Layup (33 PTS)")</f>
        <v>Leonard 3' Driving Finger Roll Layup (33 PTS)</v>
      </c>
      <c r="L4440" s="2" t="str">
        <f>HYPERLINK("https://www.nba.com/game/...-vs-...-0021800930/play-by-play?watchFullGame=true", "TOR vs POR - Q4 02:15.00")</f>
        <v>TOR vs POR - Q4 02:15.00</v>
      </c>
      <c r="M4440">
        <v>3</v>
      </c>
      <c r="N4440">
        <v>-17</v>
      </c>
      <c r="O4440">
        <v>23</v>
      </c>
      <c r="P4440">
        <v>-17</v>
      </c>
      <c r="Q4440">
        <v>23</v>
      </c>
      <c r="R4440" t="s">
        <v>21</v>
      </c>
      <c r="S4440" t="s">
        <v>21</v>
      </c>
    </row>
    <row r="4441" spans="1:19" hidden="1" x14ac:dyDescent="0.25">
      <c r="A4441">
        <v>21401223</v>
      </c>
      <c r="B4441" t="s">
        <v>18</v>
      </c>
      <c r="C4441" t="s">
        <v>24</v>
      </c>
      <c r="D4441">
        <v>63</v>
      </c>
      <c r="E4441">
        <v>79</v>
      </c>
      <c r="F4441">
        <v>16</v>
      </c>
      <c r="G4441">
        <v>3</v>
      </c>
      <c r="H4441" s="1">
        <v>1.5972222222222223E-3</v>
      </c>
      <c r="I4441">
        <v>2014</v>
      </c>
      <c r="J4441" t="s">
        <v>20</v>
      </c>
      <c r="K4441" s="2" t="str">
        <f>HYPERLINK("https://www.nba.com/stats/events?CFID=&amp;CFPARAMS=&amp;GameEventID=297&amp;GameID=0021401223&amp;Season=2014-15&amp;flag=1&amp;title=Leonard%203'%20Layup%20(14%20PTS)%20(Diaw%204%20AST)", "Leonard 3' Layup (14 PTS) (Diaw 4 AST)")</f>
        <v>Leonard 3' Layup (14 PTS) (Diaw 4 AST)</v>
      </c>
      <c r="L4441" s="2" t="str">
        <f>HYPERLINK("https://www.nba.com/game/...-vs-...-0021401223/play-by-play?watchFullGame=true", "SAS vs NOP - Q3 02:18.00")</f>
        <v>SAS vs NOP - Q3 02:18.00</v>
      </c>
      <c r="M4441">
        <v>3</v>
      </c>
      <c r="N4441">
        <v>18</v>
      </c>
      <c r="O4441">
        <v>20</v>
      </c>
      <c r="P4441">
        <v>18</v>
      </c>
      <c r="Q4441">
        <v>20</v>
      </c>
      <c r="R4441" t="s">
        <v>21</v>
      </c>
      <c r="S4441" t="s">
        <v>21</v>
      </c>
    </row>
    <row r="4442" spans="1:19" hidden="1" x14ac:dyDescent="0.25">
      <c r="A4442">
        <v>21600917</v>
      </c>
      <c r="B4442" t="s">
        <v>18</v>
      </c>
      <c r="C4442" t="s">
        <v>51</v>
      </c>
      <c r="D4442">
        <v>45</v>
      </c>
      <c r="E4442">
        <v>44</v>
      </c>
      <c r="F4442">
        <v>1</v>
      </c>
      <c r="G4442">
        <v>2</v>
      </c>
      <c r="H4442" s="1">
        <v>1.7476851851851852E-3</v>
      </c>
      <c r="I4442">
        <v>2016</v>
      </c>
      <c r="J4442" t="s">
        <v>20</v>
      </c>
      <c r="K4442" s="2" t="str">
        <f>HYPERLINK("https://www.nba.com/stats/events?CFID=&amp;CFPARAMS=&amp;GameEventID=219&amp;GameID=0021600917&amp;Season=2016-17&amp;flag=1&amp;title=Leonard%203'%20Running%20Layup%20(18%20PTS)", "Leonard 3' Running Layup (18 PTS)")</f>
        <v>Leonard 3' Running Layup (18 PTS)</v>
      </c>
      <c r="L4442" s="2" t="str">
        <f>HYPERLINK("https://www.nba.com/game/...-vs-...-0021600917/play-by-play?watchFullGame=true", "SAS vs NOP - Q2 02:31.00")</f>
        <v>SAS vs NOP - Q2 02:31.00</v>
      </c>
      <c r="M4442">
        <v>3</v>
      </c>
      <c r="N4442">
        <v>25</v>
      </c>
      <c r="O4442">
        <v>-1</v>
      </c>
      <c r="P4442">
        <v>25</v>
      </c>
      <c r="Q4442">
        <v>-1</v>
      </c>
      <c r="R4442" t="s">
        <v>21</v>
      </c>
      <c r="S4442" t="s">
        <v>21</v>
      </c>
    </row>
    <row r="4443" spans="1:19" hidden="1" x14ac:dyDescent="0.25">
      <c r="A4443">
        <v>21500905</v>
      </c>
      <c r="B4443" t="s">
        <v>18</v>
      </c>
      <c r="C4443" t="s">
        <v>51</v>
      </c>
      <c r="D4443">
        <v>44</v>
      </c>
      <c r="E4443">
        <v>46</v>
      </c>
      <c r="F4443">
        <v>2</v>
      </c>
      <c r="G4443">
        <v>2</v>
      </c>
      <c r="H4443" s="1">
        <v>1.8634259259259259E-3</v>
      </c>
      <c r="I4443">
        <v>2015</v>
      </c>
      <c r="J4443" t="s">
        <v>20</v>
      </c>
      <c r="K4443" s="2" t="str">
        <f>HYPERLINK("https://www.nba.com/stats/events?CFID=&amp;CFPARAMS=&amp;GameEventID=189&amp;GameID=0021500905&amp;Season=2015-16&amp;flag=1&amp;title=Leonard%203'%20Running%20Layup%20(13%20PTS)", "Leonard 3' Running Layup (13 PTS)")</f>
        <v>Leonard 3' Running Layup (13 PTS)</v>
      </c>
      <c r="L4443" s="2" t="str">
        <f>HYPERLINK("https://www.nba.com/game/...-vs-...-0021500905/play-by-play?watchFullGame=true", "SAS vs DET - Q2 02:41.00")</f>
        <v>SAS vs DET - Q2 02:41.00</v>
      </c>
      <c r="M4443">
        <v>3</v>
      </c>
      <c r="N4443">
        <v>-27</v>
      </c>
      <c r="O4443">
        <v>0</v>
      </c>
      <c r="P4443">
        <v>-27</v>
      </c>
      <c r="Q4443">
        <v>0</v>
      </c>
      <c r="R4443" t="s">
        <v>21</v>
      </c>
      <c r="S4443" t="s">
        <v>21</v>
      </c>
    </row>
    <row r="4444" spans="1:19" hidden="1" x14ac:dyDescent="0.25">
      <c r="A4444">
        <v>21400089</v>
      </c>
      <c r="B4444" t="s">
        <v>18</v>
      </c>
      <c r="C4444" t="s">
        <v>28</v>
      </c>
      <c r="D4444">
        <v>92</v>
      </c>
      <c r="E4444">
        <v>96</v>
      </c>
      <c r="F4444">
        <v>4</v>
      </c>
      <c r="G4444">
        <v>4</v>
      </c>
      <c r="H4444" s="1">
        <v>2.0138888888888888E-3</v>
      </c>
      <c r="I4444">
        <v>2014</v>
      </c>
      <c r="J4444" t="s">
        <v>20</v>
      </c>
      <c r="K4444" s="2" t="str">
        <f>HYPERLINK("https://www.nba.com/stats/events?CFID=&amp;CFPARAMS=&amp;GameEventID=484&amp;GameID=0021400089&amp;Season=2014-15&amp;flag=1&amp;title=Leonard%203'%20Tip%20Shot%20(12%20PTS)", "Leonard 3' Tip Shot (12 PTS)")</f>
        <v>Leonard 3' Tip Shot (12 PTS)</v>
      </c>
      <c r="L4444" s="2" t="str">
        <f>HYPERLINK("https://www.nba.com/game/...-vs-...-0021400089/play-by-play?watchFullGame=true", "SAS vs NOP - Q4 02:54.00")</f>
        <v>SAS vs NOP - Q4 02:54.00</v>
      </c>
      <c r="M4444">
        <v>3</v>
      </c>
      <c r="N4444">
        <v>32</v>
      </c>
      <c r="O4444">
        <v>0</v>
      </c>
      <c r="P4444">
        <v>32</v>
      </c>
      <c r="Q4444">
        <v>0</v>
      </c>
      <c r="R4444" t="s">
        <v>21</v>
      </c>
      <c r="S4444" t="s">
        <v>21</v>
      </c>
    </row>
    <row r="4445" spans="1:19" hidden="1" x14ac:dyDescent="0.25">
      <c r="A4445">
        <v>41300404</v>
      </c>
      <c r="B4445" t="s">
        <v>18</v>
      </c>
      <c r="C4445" t="s">
        <v>40</v>
      </c>
      <c r="D4445">
        <v>75</v>
      </c>
      <c r="E4445">
        <v>51</v>
      </c>
      <c r="F4445">
        <v>24</v>
      </c>
      <c r="G4445">
        <v>3</v>
      </c>
      <c r="H4445" s="1">
        <v>2.1296296296296298E-3</v>
      </c>
      <c r="I4445" t="s">
        <v>55</v>
      </c>
      <c r="J4445" t="s">
        <v>20</v>
      </c>
      <c r="K4445" s="2" t="str">
        <f>HYPERLINK("https://www.nba.com/stats/events?CFID=&amp;CFPARAMS=&amp;GameEventID=327&amp;GameID=0041300404&amp;Season=2013-14&amp;flag=1&amp;title=Leonard%203'%20Driving%20Finger%20Roll%20Layup%20(15%20PTS)%20(Diaw%207%20AST)", "Leonard 3' Driving Finger Roll Layup (15 PTS) (Diaw 7 AST)")</f>
        <v>Leonard 3' Driving Finger Roll Layup (15 PTS) (Diaw 7 AST)</v>
      </c>
      <c r="L4445" s="2" t="str">
        <f>HYPERLINK("https://www.nba.com/game/...-vs-...-0041300404/play-by-play?watchFullGame=true", "SAS vs MIA - Q3 03:04.00")</f>
        <v>SAS vs MIA - Q3 03:04.00</v>
      </c>
      <c r="M4445">
        <v>3</v>
      </c>
      <c r="N4445">
        <v>20</v>
      </c>
      <c r="O4445">
        <v>17</v>
      </c>
      <c r="P4445">
        <v>20</v>
      </c>
      <c r="Q4445">
        <v>17</v>
      </c>
      <c r="R4445" t="s">
        <v>21</v>
      </c>
      <c r="S4445" t="s">
        <v>21</v>
      </c>
    </row>
    <row r="4446" spans="1:19" hidden="1" x14ac:dyDescent="0.25">
      <c r="A4446">
        <v>21600605</v>
      </c>
      <c r="B4446" t="s">
        <v>18</v>
      </c>
      <c r="C4446" t="s">
        <v>24</v>
      </c>
      <c r="D4446">
        <v>52</v>
      </c>
      <c r="E4446">
        <v>43</v>
      </c>
      <c r="F4446">
        <v>9</v>
      </c>
      <c r="G4446">
        <v>2</v>
      </c>
      <c r="H4446" s="1">
        <v>2.1990740740740742E-3</v>
      </c>
      <c r="I4446">
        <v>2016</v>
      </c>
      <c r="J4446" t="s">
        <v>20</v>
      </c>
      <c r="K4446" s="2" t="str">
        <f>HYPERLINK("https://www.nba.com/stats/events?CFID=&amp;CFPARAMS=&amp;GameEventID=229&amp;GameID=0021600605&amp;Season=2016-17&amp;flag=1&amp;title=Leonard%203'%20Layup%20(11%20PTS)%20(Anderson%201%20AST)", "Leonard 3' Layup (11 PTS) (Anderson 1 AST)")</f>
        <v>Leonard 3' Layup (11 PTS) (Anderson 1 AST)</v>
      </c>
      <c r="L4446" s="2" t="str">
        <f>HYPERLINK("https://www.nba.com/game/...-vs-...-0021600605/play-by-play?watchFullGame=true", "SAS vs PHX - Q2 03:10.00")</f>
        <v>SAS vs PHX - Q2 03:10.00</v>
      </c>
      <c r="M4446">
        <v>3</v>
      </c>
      <c r="N4446">
        <v>-24</v>
      </c>
      <c r="O4446">
        <v>11</v>
      </c>
      <c r="P4446">
        <v>-24</v>
      </c>
      <c r="Q4446">
        <v>11</v>
      </c>
      <c r="R4446" t="s">
        <v>21</v>
      </c>
      <c r="S4446" t="s">
        <v>21</v>
      </c>
    </row>
    <row r="4447" spans="1:19" hidden="1" x14ac:dyDescent="0.25">
      <c r="A4447">
        <v>21600182</v>
      </c>
      <c r="B4447" t="s">
        <v>18</v>
      </c>
      <c r="C4447" t="s">
        <v>24</v>
      </c>
      <c r="D4447">
        <v>84</v>
      </c>
      <c r="E4447">
        <v>70</v>
      </c>
      <c r="F4447">
        <v>14</v>
      </c>
      <c r="G4447">
        <v>3</v>
      </c>
      <c r="H4447" s="1">
        <v>2.1990740740740742E-3</v>
      </c>
      <c r="I4447">
        <v>2016</v>
      </c>
      <c r="J4447" t="s">
        <v>20</v>
      </c>
      <c r="K4447" s="2" t="str">
        <f>HYPERLINK("https://www.nba.com/stats/events?CFID=&amp;CFPARAMS=&amp;GameEventID=339&amp;GameID=0021600182&amp;Season=2016-17&amp;flag=1&amp;title=Leonard%203'%20Layup%20(14%20PTS)", "Leonard 3' Layup (14 PTS)")</f>
        <v>Leonard 3' Layup (14 PTS)</v>
      </c>
      <c r="L4447" s="2" t="str">
        <f>HYPERLINK("https://www.nba.com/game/...-vs-...-0021600182/play-by-play?watchFullGame=true", "SAS vs LAL - Q3 03:10.00")</f>
        <v>SAS vs LAL - Q3 03:10.00</v>
      </c>
      <c r="M4447">
        <v>3</v>
      </c>
      <c r="N4447">
        <v>21</v>
      </c>
      <c r="O4447">
        <v>21</v>
      </c>
      <c r="P4447">
        <v>21</v>
      </c>
      <c r="Q4447">
        <v>21</v>
      </c>
      <c r="R4447" t="s">
        <v>21</v>
      </c>
      <c r="S4447" t="s">
        <v>21</v>
      </c>
    </row>
    <row r="4448" spans="1:19" hidden="1" x14ac:dyDescent="0.25">
      <c r="A4448">
        <v>41200407</v>
      </c>
      <c r="B4448" t="s">
        <v>18</v>
      </c>
      <c r="C4448" t="s">
        <v>22</v>
      </c>
      <c r="D4448">
        <v>59</v>
      </c>
      <c r="E4448">
        <v>62</v>
      </c>
      <c r="F4448">
        <v>3</v>
      </c>
      <c r="G4448">
        <v>3</v>
      </c>
      <c r="H4448" s="1">
        <v>2.3032407407407407E-3</v>
      </c>
      <c r="I4448" t="s">
        <v>53</v>
      </c>
      <c r="J4448" t="s">
        <v>20</v>
      </c>
      <c r="K4448" s="2" t="str">
        <f>HYPERLINK("https://www.nba.com/stats/events?CFID=&amp;CFPARAMS=&amp;GameEventID=344&amp;GameID=0041200407&amp;Season=2012-13&amp;flag=1&amp;title=Leonard%203'%20Driving%20Layup%20(13%20PTS)", "Leonard 3' Driving Layup (13 PTS)")</f>
        <v>Leonard 3' Driving Layup (13 PTS)</v>
      </c>
      <c r="L4448" s="2" t="str">
        <f>HYPERLINK("https://www.nba.com/game/...-vs-...-0041200407/play-by-play?watchFullGame=true", "SAS vs MIA - Q3 03:19.00")</f>
        <v>SAS vs MIA - Q3 03:19.00</v>
      </c>
      <c r="M4448">
        <v>3</v>
      </c>
      <c r="N4448">
        <v>-29</v>
      </c>
      <c r="O4448">
        <v>12</v>
      </c>
      <c r="P4448">
        <v>-29</v>
      </c>
      <c r="Q4448">
        <v>12</v>
      </c>
      <c r="R4448" t="s">
        <v>21</v>
      </c>
      <c r="S4448" t="s">
        <v>21</v>
      </c>
    </row>
    <row r="4449" spans="1:19" hidden="1" x14ac:dyDescent="0.25">
      <c r="A4449">
        <v>21800876</v>
      </c>
      <c r="B4449" t="s">
        <v>18</v>
      </c>
      <c r="C4449" t="s">
        <v>22</v>
      </c>
      <c r="D4449">
        <v>111</v>
      </c>
      <c r="E4449">
        <v>108</v>
      </c>
      <c r="F4449">
        <v>3</v>
      </c>
      <c r="G4449">
        <v>4</v>
      </c>
      <c r="H4449" s="1">
        <v>2.4074074074074076E-3</v>
      </c>
      <c r="I4449">
        <v>2018</v>
      </c>
      <c r="J4449" t="s">
        <v>48</v>
      </c>
      <c r="K4449" s="2" t="str">
        <f>HYPERLINK("https://www.nba.com/stats/events?CFID=&amp;CFPARAMS=&amp;GameEventID=620&amp;GameID=0021800876&amp;Season=2018-19&amp;flag=1&amp;title=Leonard%203'%20Driving%20Layup%20(19%20PTS)%20(Siakam%206%20AST)", "Leonard 3' Driving Layup (19 PTS) (Siakam 6 AST)")</f>
        <v>Leonard 3' Driving Layup (19 PTS) (Siakam 6 AST)</v>
      </c>
      <c r="L4449" s="2" t="str">
        <f>HYPERLINK("https://www.nba.com/game/...-vs-...-0021800876/play-by-play?watchFullGame=true", "TOR vs SAS - Q4 03:28.00")</f>
        <v>TOR vs SAS - Q4 03:28.00</v>
      </c>
      <c r="M4449">
        <v>3</v>
      </c>
      <c r="N4449">
        <v>-23</v>
      </c>
      <c r="O4449">
        <v>17</v>
      </c>
      <c r="P4449">
        <v>-23</v>
      </c>
      <c r="Q4449">
        <v>17</v>
      </c>
      <c r="R4449" t="s">
        <v>21</v>
      </c>
      <c r="S4449" t="s">
        <v>21</v>
      </c>
    </row>
    <row r="4450" spans="1:19" hidden="1" x14ac:dyDescent="0.25">
      <c r="A4450">
        <v>41500153</v>
      </c>
      <c r="B4450" t="s">
        <v>18</v>
      </c>
      <c r="C4450" t="s">
        <v>32</v>
      </c>
      <c r="D4450">
        <v>62</v>
      </c>
      <c r="E4450">
        <v>61</v>
      </c>
      <c r="F4450">
        <v>1</v>
      </c>
      <c r="G4450">
        <v>3</v>
      </c>
      <c r="H4450" s="1">
        <v>2.4189814814814816E-3</v>
      </c>
      <c r="I4450" t="s">
        <v>57</v>
      </c>
      <c r="J4450" t="s">
        <v>20</v>
      </c>
      <c r="K4450" s="2" t="str">
        <f>HYPERLINK("https://www.nba.com/stats/events?CFID=&amp;CFPARAMS=&amp;GameEventID=333&amp;GameID=0041500153&amp;Season=2015-16&amp;flag=1&amp;title=Leonard%203'%20Alley%20Oop%20Layup%20(19%20PTS)%20(Ginobili%203%20AST)", "Leonard 3' Alley Oop Layup (19 PTS) (Ginobili 3 AST)")</f>
        <v>Leonard 3' Alley Oop Layup (19 PTS) (Ginobili 3 AST)</v>
      </c>
      <c r="L4450" s="2" t="str">
        <f>HYPERLINK("https://www.nba.com/game/...-vs-...-0041500153/play-by-play?watchFullGame=true", "SAS vs MEM - Q3 03:29.00")</f>
        <v>SAS vs MEM - Q3 03:29.00</v>
      </c>
      <c r="M4450">
        <v>3</v>
      </c>
      <c r="N4450">
        <v>-27</v>
      </c>
      <c r="O4450">
        <v>8</v>
      </c>
      <c r="P4450">
        <v>-27</v>
      </c>
      <c r="Q4450">
        <v>8</v>
      </c>
      <c r="R4450" t="s">
        <v>21</v>
      </c>
      <c r="S4450" t="s">
        <v>21</v>
      </c>
    </row>
    <row r="4451" spans="1:19" hidden="1" x14ac:dyDescent="0.25">
      <c r="A4451">
        <v>21600917</v>
      </c>
      <c r="B4451" t="s">
        <v>18</v>
      </c>
      <c r="C4451" t="s">
        <v>22</v>
      </c>
      <c r="D4451">
        <v>63</v>
      </c>
      <c r="E4451">
        <v>59</v>
      </c>
      <c r="F4451">
        <v>4</v>
      </c>
      <c r="G4451">
        <v>3</v>
      </c>
      <c r="H4451" s="1">
        <v>2.5578703703703705E-3</v>
      </c>
      <c r="I4451">
        <v>2016</v>
      </c>
      <c r="J4451" t="s">
        <v>20</v>
      </c>
      <c r="K4451" s="2" t="str">
        <f>HYPERLINK("https://www.nba.com/stats/events?CFID=&amp;CFPARAMS=&amp;GameEventID=325&amp;GameID=0021600917&amp;Season=2016-17&amp;flag=1&amp;title=Leonard%203'%20Driving%20Layup%20(24%20PTS)", "Leonard 3' Driving Layup (24 PTS)")</f>
        <v>Leonard 3' Driving Layup (24 PTS)</v>
      </c>
      <c r="L4451" s="2" t="str">
        <f>HYPERLINK("https://www.nba.com/game/...-vs-...-0021600917/play-by-play?watchFullGame=true", "SAS vs NOP - Q3 03:41.00")</f>
        <v>SAS vs NOP - Q3 03:41.00</v>
      </c>
      <c r="M4451">
        <v>3</v>
      </c>
      <c r="N4451">
        <v>28</v>
      </c>
      <c r="O4451">
        <v>18</v>
      </c>
      <c r="P4451">
        <v>28</v>
      </c>
      <c r="Q4451">
        <v>18</v>
      </c>
      <c r="R4451" t="s">
        <v>21</v>
      </c>
      <c r="S4451" t="s">
        <v>21</v>
      </c>
    </row>
    <row r="4452" spans="1:19" hidden="1" x14ac:dyDescent="0.25">
      <c r="A4452">
        <v>21301017</v>
      </c>
      <c r="B4452" t="s">
        <v>18</v>
      </c>
      <c r="C4452" t="s">
        <v>24</v>
      </c>
      <c r="D4452">
        <v>48</v>
      </c>
      <c r="E4452">
        <v>46</v>
      </c>
      <c r="F4452">
        <v>2</v>
      </c>
      <c r="G4452">
        <v>2</v>
      </c>
      <c r="H4452" s="1">
        <v>2.627314814814815E-3</v>
      </c>
      <c r="I4452">
        <v>2013</v>
      </c>
      <c r="J4452" t="s">
        <v>20</v>
      </c>
      <c r="K4452" s="2" t="str">
        <f>HYPERLINK("https://www.nba.com/stats/events?CFID=&amp;CFPARAMS=&amp;GameEventID=203&amp;GameID=0021301017&amp;Season=2013-14&amp;flag=1&amp;title=Leonard%203'%20Layup%20(8%20PTS)%20(Ginobili%204%20AST)", "Leonard 3' Layup (8 PTS) (Ginobili 4 AST)")</f>
        <v>Leonard 3' Layup (8 PTS) (Ginobili 4 AST)</v>
      </c>
      <c r="L4452" s="2" t="str">
        <f>HYPERLINK("https://www.nba.com/game/...-vs-...-0021301017/play-by-play?watchFullGame=true", "SAS vs LAL - Q2 03:47.00")</f>
        <v>SAS vs LAL - Q2 03:47.00</v>
      </c>
      <c r="M4452">
        <v>3</v>
      </c>
      <c r="N4452">
        <v>21</v>
      </c>
      <c r="O4452">
        <v>17</v>
      </c>
      <c r="P4452">
        <v>21</v>
      </c>
      <c r="Q4452">
        <v>17</v>
      </c>
      <c r="R4452" t="s">
        <v>21</v>
      </c>
      <c r="S4452" t="s">
        <v>21</v>
      </c>
    </row>
    <row r="4453" spans="1:19" hidden="1" x14ac:dyDescent="0.25">
      <c r="A4453">
        <v>21300573</v>
      </c>
      <c r="B4453" t="s">
        <v>18</v>
      </c>
      <c r="C4453" t="s">
        <v>24</v>
      </c>
      <c r="D4453">
        <v>40</v>
      </c>
      <c r="E4453">
        <v>40</v>
      </c>
      <c r="F4453">
        <v>0</v>
      </c>
      <c r="G4453">
        <v>2</v>
      </c>
      <c r="H4453" s="1">
        <v>2.673611111111111E-3</v>
      </c>
      <c r="I4453">
        <v>2013</v>
      </c>
      <c r="J4453" t="s">
        <v>20</v>
      </c>
      <c r="K4453" s="2" t="str">
        <f>HYPERLINK("https://www.nba.com/stats/events?CFID=&amp;CFPARAMS=&amp;GameEventID=198&amp;GameID=0021300573&amp;Season=2013-14&amp;flag=1&amp;title=Leonard%203'%20Layup%20(9%20PTS)%20(Duncan%203%20AST)", "Leonard 3' Layup (9 PTS) (Duncan 3 AST)")</f>
        <v>Leonard 3' Layup (9 PTS) (Duncan 3 AST)</v>
      </c>
      <c r="L4453" s="2" t="str">
        <f>HYPERLINK("https://www.nba.com/game/...-vs-...-0021300573/play-by-play?watchFullGame=true", "SAS vs UTA - Q2 03:51.00")</f>
        <v>SAS vs UTA - Q2 03:51.00</v>
      </c>
      <c r="M4453">
        <v>3</v>
      </c>
      <c r="N4453">
        <v>7</v>
      </c>
      <c r="O4453">
        <v>25</v>
      </c>
      <c r="P4453">
        <v>7</v>
      </c>
      <c r="Q4453">
        <v>25</v>
      </c>
      <c r="R4453" t="s">
        <v>21</v>
      </c>
      <c r="S4453" t="s">
        <v>21</v>
      </c>
    </row>
    <row r="4454" spans="1:19" hidden="1" x14ac:dyDescent="0.25">
      <c r="A4454">
        <v>41200404</v>
      </c>
      <c r="B4454" t="s">
        <v>18</v>
      </c>
      <c r="C4454" t="s">
        <v>22</v>
      </c>
      <c r="D4454">
        <v>65</v>
      </c>
      <c r="E4454">
        <v>69</v>
      </c>
      <c r="F4454">
        <v>4</v>
      </c>
      <c r="G4454">
        <v>3</v>
      </c>
      <c r="H4454" s="1">
        <v>2.7314814814814814E-3</v>
      </c>
      <c r="I4454" t="s">
        <v>53</v>
      </c>
      <c r="J4454" t="s">
        <v>20</v>
      </c>
      <c r="K4454" s="2" t="str">
        <f>HYPERLINK("https://www.nba.com/stats/events?CFID=&amp;CFPARAMS=&amp;GameEventID=330&amp;GameID=0041200404&amp;Season=2012-13&amp;flag=1&amp;title=Leonard%203'%20Driving%20Layup%20(11%20PTS)%20(Joseph%201%20AST)", "Leonard 3' Driving Layup (11 PTS) (Joseph 1 AST)")</f>
        <v>Leonard 3' Driving Layup (11 PTS) (Joseph 1 AST)</v>
      </c>
      <c r="L4454" s="2" t="str">
        <f>HYPERLINK("https://www.nba.com/game/...-vs-...-0041200404/play-by-play?watchFullGame=true", "SAS vs MIA - Q3 03:56.00")</f>
        <v>SAS vs MIA - Q3 03:56.00</v>
      </c>
      <c r="M4454">
        <v>3</v>
      </c>
      <c r="N4454">
        <v>31</v>
      </c>
      <c r="O4454">
        <v>7</v>
      </c>
      <c r="P4454">
        <v>31</v>
      </c>
      <c r="Q4454">
        <v>7</v>
      </c>
      <c r="R4454" t="s">
        <v>21</v>
      </c>
      <c r="S4454" t="s">
        <v>21</v>
      </c>
    </row>
    <row r="4455" spans="1:19" hidden="1" x14ac:dyDescent="0.25">
      <c r="A4455">
        <v>21600134</v>
      </c>
      <c r="B4455" t="s">
        <v>18</v>
      </c>
      <c r="C4455" t="s">
        <v>22</v>
      </c>
      <c r="D4455">
        <v>16</v>
      </c>
      <c r="E4455">
        <v>11</v>
      </c>
      <c r="F4455">
        <v>5</v>
      </c>
      <c r="G4455">
        <v>1</v>
      </c>
      <c r="H4455" s="1">
        <v>2.8356481481481483E-3</v>
      </c>
      <c r="I4455">
        <v>2016</v>
      </c>
      <c r="J4455" t="s">
        <v>20</v>
      </c>
      <c r="K4455" s="2" t="str">
        <f>HYPERLINK("https://www.nba.com/stats/events?CFID=&amp;CFPARAMS=&amp;GameEventID=82&amp;GameID=0021600134&amp;Season=2016-17&amp;flag=1&amp;title=Leonard%203'%20Driving%20Layup%20(6%20PTS)%20(Aldridge%201%20AST)", "Leonard 3' Driving Layup (6 PTS) (Aldridge 1 AST)")</f>
        <v>Leonard 3' Driving Layup (6 PTS) (Aldridge 1 AST)</v>
      </c>
      <c r="L4455" s="2" t="str">
        <f>HYPERLINK("https://www.nba.com/game/...-vs-...-0021600134/play-by-play?watchFullGame=true", "SAS vs HOU - Q1 04:05.00")</f>
        <v>SAS vs HOU - Q1 04:05.00</v>
      </c>
      <c r="M4455">
        <v>3</v>
      </c>
      <c r="N4455">
        <v>12</v>
      </c>
      <c r="O4455">
        <v>23</v>
      </c>
      <c r="P4455">
        <v>12</v>
      </c>
      <c r="Q4455">
        <v>23</v>
      </c>
      <c r="R4455" t="s">
        <v>21</v>
      </c>
      <c r="S4455" t="s">
        <v>21</v>
      </c>
    </row>
    <row r="4456" spans="1:19" hidden="1" x14ac:dyDescent="0.25">
      <c r="A4456">
        <v>21500235</v>
      </c>
      <c r="B4456" t="s">
        <v>18</v>
      </c>
      <c r="C4456" t="s">
        <v>22</v>
      </c>
      <c r="D4456">
        <v>33</v>
      </c>
      <c r="E4456">
        <v>36</v>
      </c>
      <c r="F4456">
        <v>3</v>
      </c>
      <c r="G4456">
        <v>2</v>
      </c>
      <c r="H4456" s="1">
        <v>3.0324074074074073E-3</v>
      </c>
      <c r="I4456">
        <v>2015</v>
      </c>
      <c r="J4456" t="s">
        <v>20</v>
      </c>
      <c r="K4456" s="2" t="str">
        <f>HYPERLINK("https://www.nba.com/stats/events?CFID=&amp;CFPARAMS=&amp;GameEventID=195&amp;GameID=0021500235&amp;Season=2015-16&amp;flag=1&amp;title=Leonard%203'%20Driving%20Layup%20(8%20PTS)", "Leonard 3' Driving Layup (8 PTS)")</f>
        <v>Leonard 3' Driving Layup (8 PTS)</v>
      </c>
      <c r="L4456" s="2" t="str">
        <f>HYPERLINK("https://www.nba.com/game/...-vs-...-0021500235/play-by-play?watchFullGame=true", "SAS vs DEN - Q2 04:22.00")</f>
        <v>SAS vs DEN - Q2 04:22.00</v>
      </c>
      <c r="M4456">
        <v>3</v>
      </c>
      <c r="N4456">
        <v>22</v>
      </c>
      <c r="O4456">
        <v>16</v>
      </c>
      <c r="P4456">
        <v>22</v>
      </c>
      <c r="Q4456">
        <v>16</v>
      </c>
      <c r="R4456" t="s">
        <v>21</v>
      </c>
      <c r="S4456" t="s">
        <v>21</v>
      </c>
    </row>
    <row r="4457" spans="1:19" hidden="1" x14ac:dyDescent="0.25">
      <c r="A4457">
        <v>41800113</v>
      </c>
      <c r="B4457" t="s">
        <v>18</v>
      </c>
      <c r="C4457" t="s">
        <v>22</v>
      </c>
      <c r="D4457">
        <v>39</v>
      </c>
      <c r="E4457">
        <v>36</v>
      </c>
      <c r="F4457">
        <v>3</v>
      </c>
      <c r="G4457">
        <v>2</v>
      </c>
      <c r="H4457" s="1">
        <v>3.1250000000000002E-3</v>
      </c>
      <c r="I4457" t="s">
        <v>60</v>
      </c>
      <c r="J4457" t="s">
        <v>48</v>
      </c>
      <c r="K4457" s="2" t="str">
        <f>HYPERLINK("https://www.nba.com/stats/events?CFID=&amp;CFPARAMS=&amp;GameEventID=267&amp;GameID=0041800113&amp;Season=2018-19&amp;flag=1&amp;title=Leonard%203'%20Driving%20Layup%20(8%20PTS)%20(Siakam%202%20AST)", "Leonard 3' Driving Layup (8 PTS) (Siakam 2 AST)")</f>
        <v>Leonard 3' Driving Layup (8 PTS) (Siakam 2 AST)</v>
      </c>
      <c r="L4457" s="2" t="str">
        <f>HYPERLINK("https://www.nba.com/game/...-vs-...-0041800113/play-by-play?watchFullGame=true", "TOR vs ORL - Q2 04:30.00")</f>
        <v>TOR vs ORL - Q2 04:30.00</v>
      </c>
      <c r="M4457">
        <v>3</v>
      </c>
      <c r="N4457">
        <v>26</v>
      </c>
      <c r="O4457">
        <v>23</v>
      </c>
      <c r="P4457">
        <v>26</v>
      </c>
      <c r="Q4457">
        <v>23</v>
      </c>
      <c r="R4457" t="s">
        <v>21</v>
      </c>
      <c r="S4457" t="s">
        <v>21</v>
      </c>
    </row>
    <row r="4458" spans="1:19" hidden="1" x14ac:dyDescent="0.25">
      <c r="A4458">
        <v>21500767</v>
      </c>
      <c r="B4458" t="s">
        <v>18</v>
      </c>
      <c r="C4458" t="s">
        <v>24</v>
      </c>
      <c r="D4458">
        <v>72</v>
      </c>
      <c r="E4458">
        <v>66</v>
      </c>
      <c r="F4458">
        <v>6</v>
      </c>
      <c r="G4458">
        <v>3</v>
      </c>
      <c r="H4458" s="1">
        <v>3.3449074074074076E-3</v>
      </c>
      <c r="I4458">
        <v>2015</v>
      </c>
      <c r="J4458" t="s">
        <v>20</v>
      </c>
      <c r="K4458" s="2" t="str">
        <f>HYPERLINK("https://www.nba.com/stats/events?CFID=&amp;CFPARAMS=&amp;GameEventID=351&amp;GameID=0021500767&amp;Season=2015-16&amp;flag=1&amp;title=Leonard%203'%20Layup%20(19%20PTS)%20(Parker%204%20AST)", "Leonard 3' Layup (19 PTS) (Parker 4 AST)")</f>
        <v>Leonard 3' Layup (19 PTS) (Parker 4 AST)</v>
      </c>
      <c r="L4458" s="2" t="str">
        <f>HYPERLINK("https://www.nba.com/game/...-vs-...-0021500767/play-by-play?watchFullGame=true", "SAS vs LAL - Q3 04:49.00")</f>
        <v>SAS vs LAL - Q3 04:49.00</v>
      </c>
      <c r="M4458">
        <v>3</v>
      </c>
      <c r="N4458">
        <v>-27</v>
      </c>
      <c r="O4458">
        <v>2</v>
      </c>
      <c r="P4458">
        <v>-27</v>
      </c>
      <c r="Q4458">
        <v>2</v>
      </c>
      <c r="R4458" t="s">
        <v>21</v>
      </c>
      <c r="S4458" t="s">
        <v>21</v>
      </c>
    </row>
    <row r="4459" spans="1:19" hidden="1" x14ac:dyDescent="0.25">
      <c r="A4459">
        <v>21300378</v>
      </c>
      <c r="B4459" t="s">
        <v>18</v>
      </c>
      <c r="C4459" t="s">
        <v>24</v>
      </c>
      <c r="D4459">
        <v>43</v>
      </c>
      <c r="E4459">
        <v>43</v>
      </c>
      <c r="F4459">
        <v>0</v>
      </c>
      <c r="G4459">
        <v>2</v>
      </c>
      <c r="H4459" s="1">
        <v>3.414351851851852E-3</v>
      </c>
      <c r="I4459">
        <v>2013</v>
      </c>
      <c r="J4459" t="s">
        <v>20</v>
      </c>
      <c r="K4459" s="2" t="str">
        <f>HYPERLINK("https://www.nba.com/stats/events?CFID=&amp;CFPARAMS=&amp;GameEventID=197&amp;GameID=0021300378&amp;Season=2013-14&amp;flag=1&amp;title=Leonard%203'%20Layup%20(4%20PTS)", "Leonard 3' Layup (4 PTS)")</f>
        <v>Leonard 3' Layup (4 PTS)</v>
      </c>
      <c r="L4459" s="2" t="str">
        <f>HYPERLINK("https://www.nba.com/game/...-vs-...-0021300378/play-by-play?watchFullGame=true", "SAS vs PHX - Q2 04:55.00")</f>
        <v>SAS vs PHX - Q2 04:55.00</v>
      </c>
      <c r="M4459">
        <v>3</v>
      </c>
      <c r="N4459">
        <v>-26</v>
      </c>
      <c r="O4459">
        <v>7</v>
      </c>
      <c r="P4459">
        <v>-26</v>
      </c>
      <c r="Q4459">
        <v>7</v>
      </c>
      <c r="R4459" t="s">
        <v>21</v>
      </c>
      <c r="S4459" t="s">
        <v>21</v>
      </c>
    </row>
    <row r="4460" spans="1:19" hidden="1" x14ac:dyDescent="0.25">
      <c r="A4460">
        <v>21800248</v>
      </c>
      <c r="B4460" t="s">
        <v>18</v>
      </c>
      <c r="C4460" t="s">
        <v>24</v>
      </c>
      <c r="D4460">
        <v>82</v>
      </c>
      <c r="E4460">
        <v>79</v>
      </c>
      <c r="F4460">
        <v>3</v>
      </c>
      <c r="G4460">
        <v>4</v>
      </c>
      <c r="H4460" s="1">
        <v>3.414351851851852E-3</v>
      </c>
      <c r="I4460">
        <v>2018</v>
      </c>
      <c r="J4460" t="s">
        <v>48</v>
      </c>
      <c r="K4460" s="2" t="str">
        <f>HYPERLINK("https://www.nba.com/stats/events?CFID=&amp;CFPARAMS=&amp;GameEventID=525&amp;GameID=0021800248&amp;Season=2018-19&amp;flag=1&amp;title=Leonard%203'%20Layup%20(16%20PTS)", "Leonard 3' Layup (16 PTS)")</f>
        <v>Leonard 3' Layup (16 PTS)</v>
      </c>
      <c r="L4460" s="2" t="str">
        <f>HYPERLINK("https://www.nba.com/game/...-vs-...-0021800248/play-by-play?watchFullGame=true", "TOR vs ORL - Q4 04:55.00")</f>
        <v>TOR vs ORL - Q4 04:55.00</v>
      </c>
      <c r="M4460">
        <v>3</v>
      </c>
      <c r="N4460">
        <v>24</v>
      </c>
      <c r="O4460">
        <v>13</v>
      </c>
      <c r="P4460">
        <v>24</v>
      </c>
      <c r="Q4460">
        <v>13</v>
      </c>
      <c r="R4460" t="s">
        <v>21</v>
      </c>
      <c r="S4460" t="s">
        <v>21</v>
      </c>
    </row>
    <row r="4461" spans="1:19" hidden="1" x14ac:dyDescent="0.25">
      <c r="A4461">
        <v>21300032</v>
      </c>
      <c r="B4461" t="s">
        <v>18</v>
      </c>
      <c r="C4461" t="s">
        <v>24</v>
      </c>
      <c r="D4461">
        <v>10</v>
      </c>
      <c r="E4461">
        <v>15</v>
      </c>
      <c r="F4461">
        <v>5</v>
      </c>
      <c r="G4461">
        <v>1</v>
      </c>
      <c r="H4461" s="1">
        <v>3.5300925925925925E-3</v>
      </c>
      <c r="I4461">
        <v>2013</v>
      </c>
      <c r="J4461" t="s">
        <v>20</v>
      </c>
      <c r="K4461" s="2" t="str">
        <f>HYPERLINK("https://www.nba.com/stats/events?CFID=&amp;CFPARAMS=&amp;GameEventID=79&amp;GameID=0021300032&amp;Season=2013-14&amp;flag=1&amp;title=Leonard%203'%20Layup%20(4%20PTS)%20(Ginobili%201%20AST)", "Leonard 3' Layup (4 PTS) (Ginobili 1 AST)")</f>
        <v>Leonard 3' Layup (4 PTS) (Ginobili 1 AST)</v>
      </c>
      <c r="L4461" s="2" t="str">
        <f>HYPERLINK("https://www.nba.com/game/...-vs-...-0021300032/play-by-play?watchFullGame=true", "SAS vs LAL - Q1 05:05.00")</f>
        <v>SAS vs LAL - Q1 05:05.00</v>
      </c>
      <c r="M4461">
        <v>3</v>
      </c>
      <c r="N4461">
        <v>-23</v>
      </c>
      <c r="O4461">
        <v>23</v>
      </c>
      <c r="P4461">
        <v>-23</v>
      </c>
      <c r="Q4461">
        <v>23</v>
      </c>
      <c r="R4461" t="s">
        <v>21</v>
      </c>
      <c r="S4461" t="s">
        <v>21</v>
      </c>
    </row>
    <row r="4462" spans="1:19" hidden="1" x14ac:dyDescent="0.25">
      <c r="A4462">
        <v>41300146</v>
      </c>
      <c r="B4462" t="s">
        <v>18</v>
      </c>
      <c r="C4462" t="s">
        <v>44</v>
      </c>
      <c r="D4462">
        <v>73</v>
      </c>
      <c r="E4462">
        <v>71</v>
      </c>
      <c r="F4462">
        <v>2</v>
      </c>
      <c r="G4462">
        <v>3</v>
      </c>
      <c r="H4462" s="1">
        <v>3.5648148148148149E-3</v>
      </c>
      <c r="I4462" t="s">
        <v>55</v>
      </c>
      <c r="J4462" t="s">
        <v>20</v>
      </c>
      <c r="K4462" s="2" t="str">
        <f>HYPERLINK("https://www.nba.com/stats/events?CFID=&amp;CFPARAMS=&amp;GameEventID=349&amp;GameID=0041300146&amp;Season=2013-14&amp;flag=1&amp;title=Leonard%203'%20Driving%20Reverse%20Layup%20(12%20PTS)", "Leonard 3' Driving Reverse Layup (12 PTS)")</f>
        <v>Leonard 3' Driving Reverse Layup (12 PTS)</v>
      </c>
      <c r="L4462" s="2" t="str">
        <f>HYPERLINK("https://www.nba.com/game/...-vs-...-0041300146/play-by-play?watchFullGame=true", "SAS vs DAL - Q3 05:08.00")</f>
        <v>SAS vs DAL - Q3 05:08.00</v>
      </c>
      <c r="M4462">
        <v>3</v>
      </c>
      <c r="N4462">
        <v>26</v>
      </c>
      <c r="O4462">
        <v>1</v>
      </c>
      <c r="P4462">
        <v>26</v>
      </c>
      <c r="Q4462">
        <v>1</v>
      </c>
      <c r="R4462" t="s">
        <v>21</v>
      </c>
      <c r="S4462" t="s">
        <v>21</v>
      </c>
    </row>
    <row r="4463" spans="1:19" hidden="1" x14ac:dyDescent="0.25">
      <c r="A4463">
        <v>21300229</v>
      </c>
      <c r="B4463" t="s">
        <v>18</v>
      </c>
      <c r="C4463" t="s">
        <v>24</v>
      </c>
      <c r="D4463">
        <v>46</v>
      </c>
      <c r="E4463">
        <v>40</v>
      </c>
      <c r="F4463">
        <v>6</v>
      </c>
      <c r="G4463">
        <v>2</v>
      </c>
      <c r="H4463" s="1">
        <v>3.6342592592592594E-3</v>
      </c>
      <c r="I4463">
        <v>2013</v>
      </c>
      <c r="J4463" t="s">
        <v>20</v>
      </c>
      <c r="K4463" s="2" t="str">
        <f>HYPERLINK("https://www.nba.com/stats/events?CFID=&amp;CFPARAMS=&amp;GameEventID=173&amp;GameID=0021300229&amp;Season=2013-14&amp;flag=1&amp;title=Leonard%203'%20Layup%20(8%20PTS)", "Leonard 3' Layup (8 PTS)")</f>
        <v>Leonard 3' Layup (8 PTS)</v>
      </c>
      <c r="L4463" s="2" t="str">
        <f>HYPERLINK("https://www.nba.com/game/...-vs-...-0021300229/play-by-play?watchFullGame=true", "SAS vs ORL - Q2 05:14.00")</f>
        <v>SAS vs ORL - Q2 05:14.00</v>
      </c>
      <c r="M4463">
        <v>3</v>
      </c>
      <c r="N4463">
        <v>10</v>
      </c>
      <c r="O4463">
        <v>33</v>
      </c>
      <c r="P4463">
        <v>10</v>
      </c>
      <c r="Q4463">
        <v>33</v>
      </c>
      <c r="R4463" t="s">
        <v>21</v>
      </c>
      <c r="S4463" t="s">
        <v>21</v>
      </c>
    </row>
    <row r="4464" spans="1:19" hidden="1" x14ac:dyDescent="0.25">
      <c r="A4464">
        <v>41500236</v>
      </c>
      <c r="B4464" t="s">
        <v>18</v>
      </c>
      <c r="C4464" t="s">
        <v>59</v>
      </c>
      <c r="D4464">
        <v>53</v>
      </c>
      <c r="E4464">
        <v>76</v>
      </c>
      <c r="F4464">
        <v>23</v>
      </c>
      <c r="G4464">
        <v>3</v>
      </c>
      <c r="H4464" s="1">
        <v>3.6921296296296298E-3</v>
      </c>
      <c r="I4464" t="s">
        <v>57</v>
      </c>
      <c r="J4464" t="s">
        <v>20</v>
      </c>
      <c r="K4464" s="2" t="str">
        <f>HYPERLINK("https://www.nba.com/stats/events?CFID=&amp;CFPARAMS=&amp;GameEventID=324&amp;GameID=0041500236&amp;Season=2015-16&amp;flag=1&amp;title=Leonard%203'%20Floating%20Jump%20Shot%20(14%20PTS)", "Leonard 3' Floating Jump Shot (14 PTS)")</f>
        <v>Leonard 3' Floating Jump Shot (14 PTS)</v>
      </c>
      <c r="L4464" s="2" t="str">
        <f>HYPERLINK("https://www.nba.com/game/...-vs-...-0041500236/play-by-play?watchFullGame=true", "SAS vs OKC - Q3 05:19.00")</f>
        <v>SAS vs OKC - Q3 05:19.00</v>
      </c>
      <c r="M4464">
        <v>3</v>
      </c>
      <c r="N4464">
        <v>-19</v>
      </c>
      <c r="O4464">
        <v>28</v>
      </c>
      <c r="P4464">
        <v>-19</v>
      </c>
      <c r="Q4464">
        <v>28</v>
      </c>
      <c r="R4464" t="s">
        <v>21</v>
      </c>
      <c r="S4464" t="s">
        <v>21</v>
      </c>
    </row>
    <row r="4465" spans="1:19" hidden="1" x14ac:dyDescent="0.25">
      <c r="A4465">
        <v>21800724</v>
      </c>
      <c r="B4465" t="s">
        <v>18</v>
      </c>
      <c r="C4465" t="s">
        <v>71</v>
      </c>
      <c r="D4465">
        <v>10</v>
      </c>
      <c r="E4465">
        <v>21</v>
      </c>
      <c r="F4465">
        <v>11</v>
      </c>
      <c r="G4465">
        <v>1</v>
      </c>
      <c r="H4465" s="1">
        <v>3.6921296296296298E-3</v>
      </c>
      <c r="I4465">
        <v>2018</v>
      </c>
      <c r="J4465" t="s">
        <v>48</v>
      </c>
      <c r="K4465" s="2" t="str">
        <f>HYPERLINK("https://www.nba.com/stats/events?CFID=&amp;CFPARAMS=&amp;GameEventID=84&amp;GameID=0021800724&amp;Season=2018-19&amp;flag=1&amp;title=Leonard%203'%20Running%20Finger%20Roll%20Layup%20(4%20PTS)", "Leonard 3' Running Finger Roll Layup (4 PTS)")</f>
        <v>Leonard 3' Running Finger Roll Layup (4 PTS)</v>
      </c>
      <c r="L4465" s="2" t="str">
        <f>HYPERLINK("https://www.nba.com/game/...-vs-...-0021800724/play-by-play?watchFullGame=true", "TOR vs HOU - Q1 05:19.00")</f>
        <v>TOR vs HOU - Q1 05:19.00</v>
      </c>
      <c r="M4465">
        <v>3</v>
      </c>
      <c r="N4465">
        <v>20</v>
      </c>
      <c r="O4465">
        <v>21</v>
      </c>
      <c r="P4465">
        <v>20</v>
      </c>
      <c r="Q4465">
        <v>21</v>
      </c>
      <c r="R4465" t="s">
        <v>21</v>
      </c>
      <c r="S4465" t="s">
        <v>21</v>
      </c>
    </row>
    <row r="4466" spans="1:19" hidden="1" x14ac:dyDescent="0.25">
      <c r="A4466">
        <v>21600588</v>
      </c>
      <c r="B4466" t="s">
        <v>18</v>
      </c>
      <c r="C4466" t="s">
        <v>43</v>
      </c>
      <c r="D4466">
        <v>88</v>
      </c>
      <c r="E4466">
        <v>64</v>
      </c>
      <c r="F4466">
        <v>24</v>
      </c>
      <c r="G4466">
        <v>3</v>
      </c>
      <c r="H4466" s="1">
        <v>3.7731481481481483E-3</v>
      </c>
      <c r="I4466">
        <v>2016</v>
      </c>
      <c r="J4466" t="s">
        <v>20</v>
      </c>
      <c r="K4466" s="2" t="str">
        <f>HYPERLINK("https://www.nba.com/stats/events?CFID=&amp;CFPARAMS=&amp;GameEventID=368&amp;GameID=0021600588&amp;Season=2016-17&amp;flag=1&amp;title=Leonard%203'%20Driving%20Bank%20Shot%20(31%20PTS)", "Leonard 3' Driving Bank Shot (31 PTS)")</f>
        <v>Leonard 3' Driving Bank Shot (31 PTS)</v>
      </c>
      <c r="L4466" s="2" t="str">
        <f>HYPERLINK("https://www.nba.com/game/...-vs-...-0021600588/play-by-play?watchFullGame=true", "SAS vs LAL - Q3 05:26.00")</f>
        <v>SAS vs LAL - Q3 05:26.00</v>
      </c>
      <c r="M4466">
        <v>3</v>
      </c>
      <c r="N4466">
        <v>-29</v>
      </c>
      <c r="O4466">
        <v>-1</v>
      </c>
      <c r="P4466">
        <v>-29</v>
      </c>
      <c r="Q4466">
        <v>-1</v>
      </c>
      <c r="R4466" t="s">
        <v>21</v>
      </c>
      <c r="S4466" t="s">
        <v>21</v>
      </c>
    </row>
    <row r="4467" spans="1:19" hidden="1" x14ac:dyDescent="0.25">
      <c r="A4467">
        <v>21800789</v>
      </c>
      <c r="B4467" t="s">
        <v>18</v>
      </c>
      <c r="C4467" t="s">
        <v>22</v>
      </c>
      <c r="D4467">
        <v>51</v>
      </c>
      <c r="E4467">
        <v>39</v>
      </c>
      <c r="F4467">
        <v>12</v>
      </c>
      <c r="G4467">
        <v>2</v>
      </c>
      <c r="H4467" s="1">
        <v>3.7847222222222223E-3</v>
      </c>
      <c r="I4467">
        <v>2018</v>
      </c>
      <c r="J4467" t="s">
        <v>48</v>
      </c>
      <c r="K4467" s="2" t="str">
        <f>HYPERLINK("https://www.nba.com/stats/events?CFID=&amp;CFPARAMS=&amp;GameEventID=263&amp;GameID=0021800789&amp;Season=2018-19&amp;flag=1&amp;title=Leonard%203'%20Driving%20Layup%20(13%20PTS)", "Leonard 3' Driving Layup (13 PTS)")</f>
        <v>Leonard 3' Driving Layup (13 PTS)</v>
      </c>
      <c r="L4467" s="2" t="str">
        <f>HYPERLINK("https://www.nba.com/game/...-vs-...-0021800789/play-by-play?watchFullGame=true", "TOR vs LAC - Q2 05:27.00")</f>
        <v>TOR vs LAC - Q2 05:27.00</v>
      </c>
      <c r="M4467">
        <v>3</v>
      </c>
      <c r="N4467">
        <v>16</v>
      </c>
      <c r="O4467">
        <v>20</v>
      </c>
      <c r="P4467">
        <v>16</v>
      </c>
      <c r="Q4467">
        <v>20</v>
      </c>
      <c r="R4467" t="s">
        <v>21</v>
      </c>
      <c r="S4467" t="s">
        <v>21</v>
      </c>
    </row>
    <row r="4468" spans="1:19" hidden="1" x14ac:dyDescent="0.25">
      <c r="A4468">
        <v>21600825</v>
      </c>
      <c r="B4468" t="s">
        <v>18</v>
      </c>
      <c r="C4468" t="s">
        <v>22</v>
      </c>
      <c r="D4468">
        <v>63</v>
      </c>
      <c r="E4468">
        <v>63</v>
      </c>
      <c r="F4468">
        <v>0</v>
      </c>
      <c r="G4468">
        <v>3</v>
      </c>
      <c r="H4468" s="1">
        <v>3.9004629629629628E-3</v>
      </c>
      <c r="I4468">
        <v>2016</v>
      </c>
      <c r="J4468" t="s">
        <v>20</v>
      </c>
      <c r="K4468" s="2" t="str">
        <f>HYPERLINK("https://www.nba.com/stats/events?CFID=&amp;CFPARAMS=&amp;GameEventID=300&amp;GameID=0021600825&amp;Season=2016-17&amp;flag=1&amp;title=Leonard%203'%20Driving%20Layup%20(19%20PTS)%20(Parker%203%20AST)", "Leonard 3' Driving Layup (19 PTS) (Parker 3 AST)")</f>
        <v>Leonard 3' Driving Layup (19 PTS) (Parker 3 AST)</v>
      </c>
      <c r="L4468" s="2" t="str">
        <f>HYPERLINK("https://www.nba.com/game/...-vs-...-0021600825/play-by-play?watchFullGame=true", "SAS vs IND - Q3 05:37.00")</f>
        <v>SAS vs IND - Q3 05:37.00</v>
      </c>
      <c r="M4468">
        <v>3</v>
      </c>
      <c r="N4468">
        <v>20</v>
      </c>
      <c r="O4468">
        <v>18</v>
      </c>
      <c r="P4468">
        <v>20</v>
      </c>
      <c r="Q4468">
        <v>18</v>
      </c>
      <c r="R4468" t="s">
        <v>21</v>
      </c>
      <c r="S4468" t="s">
        <v>21</v>
      </c>
    </row>
    <row r="4469" spans="1:19" hidden="1" x14ac:dyDescent="0.25">
      <c r="A4469">
        <v>21500860</v>
      </c>
      <c r="B4469" t="s">
        <v>18</v>
      </c>
      <c r="C4469" t="s">
        <v>59</v>
      </c>
      <c r="D4469">
        <v>12</v>
      </c>
      <c r="E4469">
        <v>14</v>
      </c>
      <c r="F4469">
        <v>2</v>
      </c>
      <c r="G4469">
        <v>1</v>
      </c>
      <c r="H4469" s="1">
        <v>3.9236111111111112E-3</v>
      </c>
      <c r="I4469">
        <v>2015</v>
      </c>
      <c r="J4469" t="s">
        <v>20</v>
      </c>
      <c r="K4469" s="2" t="str">
        <f>HYPERLINK("https://www.nba.com/stats/events?CFID=&amp;CFPARAMS=&amp;GameEventID=53&amp;GameID=0021500860&amp;Season=2015-16&amp;flag=1&amp;title=Leonard%203'%20Floating%20Jump%20Shot%20(6%20PTS)", "Leonard 3' Floating Jump Shot (6 PTS)")</f>
        <v>Leonard 3' Floating Jump Shot (6 PTS)</v>
      </c>
      <c r="L4469" s="2" t="str">
        <f>HYPERLINK("https://www.nba.com/game/...-vs-...-0021500860/play-by-play?watchFullGame=true", "SAS vs UTA - Q1 05:39.00")</f>
        <v>SAS vs UTA - Q1 05:39.00</v>
      </c>
      <c r="M4469">
        <v>3</v>
      </c>
      <c r="N4469">
        <v>6</v>
      </c>
      <c r="O4469">
        <v>31</v>
      </c>
      <c r="P4469">
        <v>6</v>
      </c>
      <c r="Q4469">
        <v>31</v>
      </c>
      <c r="R4469" t="s">
        <v>21</v>
      </c>
      <c r="S4469" t="s">
        <v>21</v>
      </c>
    </row>
    <row r="4470" spans="1:19" hidden="1" x14ac:dyDescent="0.25">
      <c r="A4470">
        <v>41800403</v>
      </c>
      <c r="B4470" t="s">
        <v>18</v>
      </c>
      <c r="C4470" t="s">
        <v>22</v>
      </c>
      <c r="D4470">
        <v>111</v>
      </c>
      <c r="E4470">
        <v>94</v>
      </c>
      <c r="F4470">
        <v>17</v>
      </c>
      <c r="G4470">
        <v>4</v>
      </c>
      <c r="H4470" s="1">
        <v>3.9583333333333337E-3</v>
      </c>
      <c r="I4470" t="s">
        <v>60</v>
      </c>
      <c r="J4470" t="s">
        <v>48</v>
      </c>
      <c r="K4470" s="2" t="str">
        <f>HYPERLINK("https://www.nba.com/stats/events?CFID=&amp;CFPARAMS=&amp;GameEventID=594&amp;GameID=0041800403&amp;Season=2018-19&amp;flag=1&amp;title=Leonard%203'%20Driving%20Layup%20(28%20PTS)", "Leonard 3' Driving Layup (28 PTS)")</f>
        <v>Leonard 3' Driving Layup (28 PTS)</v>
      </c>
      <c r="L4470" s="2" t="str">
        <f>HYPERLINK("https://www.nba.com/game/...-vs-...-0041800403/play-by-play?watchFullGame=true", "TOR vs GSW - Q4 05:42.00")</f>
        <v>TOR vs GSW - Q4 05:42.00</v>
      </c>
      <c r="M4470">
        <v>3</v>
      </c>
      <c r="N4470">
        <v>-20</v>
      </c>
      <c r="O4470">
        <v>16</v>
      </c>
      <c r="P4470">
        <v>-20</v>
      </c>
      <c r="Q4470">
        <v>16</v>
      </c>
      <c r="R4470" t="s">
        <v>21</v>
      </c>
      <c r="S4470" t="s">
        <v>21</v>
      </c>
    </row>
    <row r="4471" spans="1:19" hidden="1" x14ac:dyDescent="0.25">
      <c r="A4471">
        <v>21800100</v>
      </c>
      <c r="B4471" t="s">
        <v>18</v>
      </c>
      <c r="C4471" t="s">
        <v>44</v>
      </c>
      <c r="D4471">
        <v>88</v>
      </c>
      <c r="E4471">
        <v>68</v>
      </c>
      <c r="F4471">
        <v>20</v>
      </c>
      <c r="G4471">
        <v>3</v>
      </c>
      <c r="H4471" s="1">
        <v>3.9814814814814817E-3</v>
      </c>
      <c r="I4471">
        <v>2018</v>
      </c>
      <c r="J4471" t="s">
        <v>48</v>
      </c>
      <c r="K4471" s="2" t="str">
        <f>HYPERLINK("https://www.nba.com/stats/events?CFID=&amp;CFPARAMS=&amp;GameEventID=483&amp;GameID=0021800100&amp;Season=2018-19&amp;flag=1&amp;title=Leonard%203'%20Driving%20Reverse%20Layup%20(18%20PTS)", "Leonard 3' Driving Reverse Layup (18 PTS)")</f>
        <v>Leonard 3' Driving Reverse Layup (18 PTS)</v>
      </c>
      <c r="L4471" s="2" t="str">
        <f>HYPERLINK("https://www.nba.com/game/...-vs-...-0021800100/play-by-play?watchFullGame=true", "TOR vs PHI - Q3 05:44.00")</f>
        <v>TOR vs PHI - Q3 05:44.00</v>
      </c>
      <c r="M4471">
        <v>3</v>
      </c>
      <c r="N4471">
        <v>24</v>
      </c>
      <c r="O4471">
        <v>8</v>
      </c>
      <c r="P4471">
        <v>24</v>
      </c>
      <c r="Q4471">
        <v>8</v>
      </c>
      <c r="R4471" t="s">
        <v>21</v>
      </c>
      <c r="S4471" t="s">
        <v>21</v>
      </c>
    </row>
    <row r="4472" spans="1:19" hidden="1" x14ac:dyDescent="0.25">
      <c r="A4472">
        <v>21500979</v>
      </c>
      <c r="B4472" t="s">
        <v>18</v>
      </c>
      <c r="C4472" t="s">
        <v>22</v>
      </c>
      <c r="D4472">
        <v>16</v>
      </c>
      <c r="E4472">
        <v>12</v>
      </c>
      <c r="F4472">
        <v>4</v>
      </c>
      <c r="G4472">
        <v>1</v>
      </c>
      <c r="H4472" s="1">
        <v>3.9814814814814817E-3</v>
      </c>
      <c r="I4472">
        <v>2015</v>
      </c>
      <c r="J4472" t="s">
        <v>20</v>
      </c>
      <c r="K4472" s="2" t="str">
        <f>HYPERLINK("https://www.nba.com/stats/events?CFID=&amp;CFPARAMS=&amp;GameEventID=50&amp;GameID=0021500979&amp;Season=2015-16&amp;flag=1&amp;title=Leonard%203'%20Driving%20Layup%20(4%20PTS)", "Leonard 3' Driving Layup (4 PTS)")</f>
        <v>Leonard 3' Driving Layup (4 PTS)</v>
      </c>
      <c r="L4472" s="2" t="str">
        <f>HYPERLINK("https://www.nba.com/game/...-vs-...-0021500979/play-by-play?watchFullGame=true", "SAS vs OKC - Q1 05:44.00")</f>
        <v>SAS vs OKC - Q1 05:44.00</v>
      </c>
      <c r="M4472">
        <v>3</v>
      </c>
      <c r="N4472">
        <v>27</v>
      </c>
      <c r="O4472">
        <v>21</v>
      </c>
      <c r="P4472">
        <v>27</v>
      </c>
      <c r="Q4472">
        <v>21</v>
      </c>
      <c r="R4472" t="s">
        <v>21</v>
      </c>
      <c r="S4472" t="s">
        <v>21</v>
      </c>
    </row>
    <row r="4473" spans="1:19" hidden="1" x14ac:dyDescent="0.25">
      <c r="A4473">
        <v>21600032</v>
      </c>
      <c r="B4473" t="s">
        <v>18</v>
      </c>
      <c r="C4473" t="s">
        <v>22</v>
      </c>
      <c r="D4473">
        <v>71</v>
      </c>
      <c r="E4473">
        <v>56</v>
      </c>
      <c r="F4473">
        <v>15</v>
      </c>
      <c r="G4473">
        <v>3</v>
      </c>
      <c r="H4473" s="1">
        <v>4.0162037037037041E-3</v>
      </c>
      <c r="I4473">
        <v>2016</v>
      </c>
      <c r="J4473" t="s">
        <v>20</v>
      </c>
      <c r="K4473" s="2" t="str">
        <f>HYPERLINK("https://www.nba.com/stats/events?CFID=&amp;CFPARAMS=&amp;GameEventID=320&amp;GameID=0021600032&amp;Season=2016-17&amp;flag=1&amp;title=Leonard%203'%20Driving%20Layup%20(13%20PTS)", "Leonard 3' Driving Layup (13 PTS)")</f>
        <v>Leonard 3' Driving Layup (13 PTS)</v>
      </c>
      <c r="L4473" s="2" t="str">
        <f>HYPERLINK("https://www.nba.com/game/...-vs-...-0021600032/play-by-play?watchFullGame=true", "SAS vs NOP - Q3 05:47.00")</f>
        <v>SAS vs NOP - Q3 05:47.00</v>
      </c>
      <c r="M4473">
        <v>3</v>
      </c>
      <c r="N4473">
        <v>25</v>
      </c>
      <c r="O4473">
        <v>11</v>
      </c>
      <c r="P4473">
        <v>25</v>
      </c>
      <c r="Q4473">
        <v>11</v>
      </c>
      <c r="R4473" t="s">
        <v>21</v>
      </c>
      <c r="S4473" t="s">
        <v>21</v>
      </c>
    </row>
    <row r="4474" spans="1:19" hidden="1" x14ac:dyDescent="0.25">
      <c r="A4474">
        <v>21500742</v>
      </c>
      <c r="B4474" t="s">
        <v>18</v>
      </c>
      <c r="C4474" t="s">
        <v>40</v>
      </c>
      <c r="D4474">
        <v>94</v>
      </c>
      <c r="E4474">
        <v>88</v>
      </c>
      <c r="F4474">
        <v>6</v>
      </c>
      <c r="G4474">
        <v>4</v>
      </c>
      <c r="H4474" s="1">
        <v>4.0509259259259257E-3</v>
      </c>
      <c r="I4474">
        <v>2015</v>
      </c>
      <c r="J4474" t="s">
        <v>20</v>
      </c>
      <c r="K4474" s="2" t="str">
        <f>HYPERLINK("https://www.nba.com/stats/events?CFID=&amp;CFPARAMS=&amp;GameEventID=412&amp;GameID=0021500742&amp;Season=2015-16&amp;flag=1&amp;title=Leonard%203'%20Driving%20Finger%20Roll%20Layup%20(22%20PTS)%20(Parker%207%20AST)", "Leonard 3' Driving Finger Roll Layup (22 PTS) (Parker 7 AST)")</f>
        <v>Leonard 3' Driving Finger Roll Layup (22 PTS) (Parker 7 AST)</v>
      </c>
      <c r="L4474" s="2" t="str">
        <f>HYPERLINK("https://www.nba.com/game/...-vs-...-0021500742/play-by-play?watchFullGame=true", "SAS vs NOP - Q4 05:50.00")</f>
        <v>SAS vs NOP - Q4 05:50.00</v>
      </c>
      <c r="M4474">
        <v>3</v>
      </c>
      <c r="N4474">
        <v>27</v>
      </c>
      <c r="O4474">
        <v>16</v>
      </c>
      <c r="P4474">
        <v>27</v>
      </c>
      <c r="Q4474">
        <v>16</v>
      </c>
      <c r="R4474" t="s">
        <v>21</v>
      </c>
      <c r="S4474" t="s">
        <v>21</v>
      </c>
    </row>
    <row r="4475" spans="1:19" hidden="1" x14ac:dyDescent="0.25">
      <c r="A4475">
        <v>21700470</v>
      </c>
      <c r="B4475" t="s">
        <v>18</v>
      </c>
      <c r="C4475" t="s">
        <v>22</v>
      </c>
      <c r="D4475">
        <v>14</v>
      </c>
      <c r="E4475">
        <v>13</v>
      </c>
      <c r="F4475">
        <v>1</v>
      </c>
      <c r="G4475">
        <v>1</v>
      </c>
      <c r="H4475" s="1">
        <v>4.0972222222222226E-3</v>
      </c>
      <c r="I4475">
        <v>2017</v>
      </c>
      <c r="J4475" t="s">
        <v>20</v>
      </c>
      <c r="K4475" s="2" t="str">
        <f>HYPERLINK("https://www.nba.com/stats/events?CFID=&amp;CFPARAMS=&amp;GameEventID=64&amp;GameID=0021700470&amp;Season=2017-18&amp;flag=1&amp;title=Leonard%203'%20Driving%20Layup%20(2%20PTS)", "Leonard 3' Driving Layup (2 PTS)")</f>
        <v>Leonard 3' Driving Layup (2 PTS)</v>
      </c>
      <c r="L4475" s="2" t="str">
        <f>HYPERLINK("https://www.nba.com/game/...-vs-...-0021700470/play-by-play?watchFullGame=true", "SAS vs UTA - Q1 05:54.00")</f>
        <v>SAS vs UTA - Q1 05:54.00</v>
      </c>
      <c r="M4475">
        <v>3</v>
      </c>
      <c r="N4475">
        <v>24</v>
      </c>
      <c r="O4475">
        <v>17</v>
      </c>
      <c r="P4475">
        <v>24</v>
      </c>
      <c r="Q4475">
        <v>17</v>
      </c>
      <c r="R4475" t="s">
        <v>21</v>
      </c>
      <c r="S4475" t="s">
        <v>21</v>
      </c>
    </row>
    <row r="4476" spans="1:19" hidden="1" x14ac:dyDescent="0.25">
      <c r="A4476">
        <v>21401223</v>
      </c>
      <c r="B4476" t="s">
        <v>18</v>
      </c>
      <c r="C4476" t="s">
        <v>24</v>
      </c>
      <c r="D4476">
        <v>31</v>
      </c>
      <c r="E4476">
        <v>47</v>
      </c>
      <c r="F4476">
        <v>16</v>
      </c>
      <c r="G4476">
        <v>2</v>
      </c>
      <c r="H4476" s="1">
        <v>4.1087962962962962E-3</v>
      </c>
      <c r="I4476">
        <v>2014</v>
      </c>
      <c r="J4476" t="s">
        <v>20</v>
      </c>
      <c r="K4476" s="2" t="str">
        <f>HYPERLINK("https://www.nba.com/stats/events?CFID=&amp;CFPARAMS=&amp;GameEventID=152&amp;GameID=0021401223&amp;Season=2014-15&amp;flag=1&amp;title=Leonard%203'%20Layup%20(8%20PTS)%20(Duncan%202%20AST)", "Leonard 3' Layup (8 PTS) (Duncan 2 AST)")</f>
        <v>Leonard 3' Layup (8 PTS) (Duncan 2 AST)</v>
      </c>
      <c r="L4476" s="2" t="str">
        <f>HYPERLINK("https://www.nba.com/game/...-vs-...-0021401223/play-by-play?watchFullGame=true", "SAS vs NOP - Q2 05:55.00")</f>
        <v>SAS vs NOP - Q2 05:55.00</v>
      </c>
      <c r="M4476">
        <v>3</v>
      </c>
      <c r="N4476">
        <v>15</v>
      </c>
      <c r="O4476">
        <v>22</v>
      </c>
      <c r="P4476">
        <v>15</v>
      </c>
      <c r="Q4476">
        <v>22</v>
      </c>
      <c r="R4476" t="s">
        <v>21</v>
      </c>
      <c r="S4476" t="s">
        <v>21</v>
      </c>
    </row>
    <row r="4477" spans="1:19" hidden="1" x14ac:dyDescent="0.25">
      <c r="A4477">
        <v>21800519</v>
      </c>
      <c r="B4477" t="s">
        <v>18</v>
      </c>
      <c r="C4477" t="s">
        <v>22</v>
      </c>
      <c r="D4477">
        <v>21</v>
      </c>
      <c r="E4477">
        <v>12</v>
      </c>
      <c r="F4477">
        <v>9</v>
      </c>
      <c r="G4477">
        <v>1</v>
      </c>
      <c r="H4477" s="1">
        <v>4.1435185185185186E-3</v>
      </c>
      <c r="I4477">
        <v>2018</v>
      </c>
      <c r="J4477" t="s">
        <v>48</v>
      </c>
      <c r="K4477" s="2" t="str">
        <f>HYPERLINK("https://www.nba.com/stats/events?CFID=&amp;CFPARAMS=&amp;GameEventID=67&amp;GameID=0021800519&amp;Season=2018-19&amp;flag=1&amp;title=Leonard%203'%20Driving%20Layup%20(7%20PTS)", "Leonard 3' Driving Layup (7 PTS)")</f>
        <v>Leonard 3' Driving Layup (7 PTS)</v>
      </c>
      <c r="L4477" s="2" t="str">
        <f>HYPERLINK("https://www.nba.com/game/...-vs-...-0021800519/play-by-play?watchFullGame=true", "TOR vs ORL - Q1 05:58.00")</f>
        <v>TOR vs ORL - Q1 05:58.00</v>
      </c>
      <c r="M4477">
        <v>3</v>
      </c>
      <c r="N4477">
        <v>10</v>
      </c>
      <c r="O4477">
        <v>25</v>
      </c>
      <c r="P4477">
        <v>10</v>
      </c>
      <c r="Q4477">
        <v>25</v>
      </c>
      <c r="R4477" t="s">
        <v>21</v>
      </c>
      <c r="S4477" t="s">
        <v>21</v>
      </c>
    </row>
    <row r="4478" spans="1:19" hidden="1" x14ac:dyDescent="0.25">
      <c r="A4478">
        <v>21401071</v>
      </c>
      <c r="B4478" t="s">
        <v>18</v>
      </c>
      <c r="C4478" t="s">
        <v>24</v>
      </c>
      <c r="D4478">
        <v>16</v>
      </c>
      <c r="E4478">
        <v>12</v>
      </c>
      <c r="F4478">
        <v>4</v>
      </c>
      <c r="G4478">
        <v>1</v>
      </c>
      <c r="H4478" s="1">
        <v>4.3981481481481484E-3</v>
      </c>
      <c r="I4478">
        <v>2014</v>
      </c>
      <c r="J4478" t="s">
        <v>20</v>
      </c>
      <c r="K4478" s="2" t="str">
        <f>HYPERLINK("https://www.nba.com/stats/events?CFID=&amp;CFPARAMS=&amp;GameEventID=46&amp;GameID=0021401071&amp;Season=2014-15&amp;flag=1&amp;title=Leonard%203'%20Layup%20(4%20PTS)", "Leonard 3' Layup (4 PTS)")</f>
        <v>Leonard 3' Layup (4 PTS)</v>
      </c>
      <c r="L4478" s="2" t="str">
        <f>HYPERLINK("https://www.nba.com/game/...-vs-...-0021401071/play-by-play?watchFullGame=true", "SAS vs OKC - Q1 06:20.00")</f>
        <v>SAS vs OKC - Q1 06:20.00</v>
      </c>
      <c r="M4478">
        <v>3</v>
      </c>
      <c r="N4478">
        <v>6</v>
      </c>
      <c r="O4478">
        <v>26</v>
      </c>
      <c r="P4478">
        <v>6</v>
      </c>
      <c r="Q4478">
        <v>26</v>
      </c>
      <c r="R4478" t="s">
        <v>21</v>
      </c>
      <c r="S4478" t="s">
        <v>21</v>
      </c>
    </row>
    <row r="4479" spans="1:19" hidden="1" x14ac:dyDescent="0.25">
      <c r="A4479">
        <v>41200154</v>
      </c>
      <c r="B4479" t="s">
        <v>18</v>
      </c>
      <c r="C4479" t="s">
        <v>24</v>
      </c>
      <c r="D4479">
        <v>93</v>
      </c>
      <c r="E4479">
        <v>74</v>
      </c>
      <c r="F4479">
        <v>19</v>
      </c>
      <c r="G4479">
        <v>4</v>
      </c>
      <c r="H4479" s="1">
        <v>4.43287037037037E-3</v>
      </c>
      <c r="I4479" t="s">
        <v>53</v>
      </c>
      <c r="J4479" t="s">
        <v>20</v>
      </c>
      <c r="K4479" s="2" t="str">
        <f>HYPERLINK("https://www.nba.com/stats/events?CFID=&amp;CFPARAMS=&amp;GameEventID=431&amp;GameID=0041200154&amp;Season=2012-13&amp;flag=1&amp;title=Leonard%203'%20Layup%20(11%20PTS)", "Leonard 3' Layup (11 PTS)")</f>
        <v>Leonard 3' Layup (11 PTS)</v>
      </c>
      <c r="L4479" s="2" t="str">
        <f>HYPERLINK("https://www.nba.com/game/...-vs-...-0041200154/play-by-play?watchFullGame=true", "SAS vs LAL - Q4 06:23.00")</f>
        <v>SAS vs LAL - Q4 06:23.00</v>
      </c>
      <c r="M4479">
        <v>3</v>
      </c>
      <c r="N4479">
        <v>-4</v>
      </c>
      <c r="O4479">
        <v>31</v>
      </c>
      <c r="P4479">
        <v>-4</v>
      </c>
      <c r="Q4479">
        <v>31</v>
      </c>
      <c r="R4479" t="s">
        <v>21</v>
      </c>
      <c r="S4479" t="s">
        <v>21</v>
      </c>
    </row>
    <row r="4480" spans="1:19" hidden="1" x14ac:dyDescent="0.25">
      <c r="A4480">
        <v>21400220</v>
      </c>
      <c r="B4480" t="s">
        <v>18</v>
      </c>
      <c r="C4480" t="s">
        <v>19</v>
      </c>
      <c r="D4480">
        <v>88</v>
      </c>
      <c r="E4480">
        <v>91</v>
      </c>
      <c r="F4480">
        <v>3</v>
      </c>
      <c r="G4480">
        <v>4</v>
      </c>
      <c r="H4480" s="1">
        <v>4.5601851851851853E-3</v>
      </c>
      <c r="I4480">
        <v>2014</v>
      </c>
      <c r="J4480" t="s">
        <v>20</v>
      </c>
      <c r="K4480" s="2" t="str">
        <f>HYPERLINK("https://www.nba.com/stats/events?CFID=&amp;CFPARAMS=&amp;GameEventID=427&amp;GameID=0021400220&amp;Season=2014-15&amp;flag=1&amp;title=Leonard%203'%20Jump%20Shot%20(15%20PTS)", "Leonard 3' Jump Shot (15 PTS)")</f>
        <v>Leonard 3' Jump Shot (15 PTS)</v>
      </c>
      <c r="L4480" s="2" t="str">
        <f>HYPERLINK("https://www.nba.com/game/...-vs-...-0021400220/play-by-play?watchFullGame=true", "SAS vs IND - Q4 06:34.00")</f>
        <v>SAS vs IND - Q4 06:34.00</v>
      </c>
      <c r="M4480">
        <v>3</v>
      </c>
      <c r="N4480">
        <v>31</v>
      </c>
      <c r="O4480">
        <v>6</v>
      </c>
      <c r="P4480">
        <v>31</v>
      </c>
      <c r="Q4480">
        <v>6</v>
      </c>
      <c r="R4480" t="s">
        <v>21</v>
      </c>
      <c r="S4480" t="s">
        <v>21</v>
      </c>
    </row>
    <row r="4481" spans="1:19" hidden="1" x14ac:dyDescent="0.25">
      <c r="A4481">
        <v>21601070</v>
      </c>
      <c r="B4481" t="s">
        <v>18</v>
      </c>
      <c r="C4481" t="s">
        <v>67</v>
      </c>
      <c r="D4481">
        <v>63</v>
      </c>
      <c r="E4481">
        <v>50</v>
      </c>
      <c r="F4481">
        <v>13</v>
      </c>
      <c r="G4481">
        <v>3</v>
      </c>
      <c r="H4481" s="1">
        <v>4.6527777777777774E-3</v>
      </c>
      <c r="I4481">
        <v>2016</v>
      </c>
      <c r="J4481" t="s">
        <v>20</v>
      </c>
      <c r="K4481" s="2" t="str">
        <f>HYPERLINK("https://www.nba.com/stats/events?CFID=&amp;CFPARAMS=&amp;GameEventID=301&amp;GameID=0021601070&amp;Season=2016-17&amp;flag=1&amp;title=Leonard%203'%20Turnaround%20Hook%20Shot%20(12%20PTS)%20(Green%202%20AST)", "Leonard 3' Turnaround Hook Shot (12 PTS) (Green 2 AST)")</f>
        <v>Leonard 3' Turnaround Hook Shot (12 PTS) (Green 2 AST)</v>
      </c>
      <c r="L4481" s="2" t="str">
        <f>HYPERLINK("https://www.nba.com/game/...-vs-...-0021601070/play-by-play?watchFullGame=true", "SAS vs MEM - Q3 06:42.00")</f>
        <v>SAS vs MEM - Q3 06:42.00</v>
      </c>
      <c r="M4481">
        <v>3</v>
      </c>
      <c r="N4481">
        <v>-30</v>
      </c>
      <c r="O4481">
        <v>2</v>
      </c>
      <c r="P4481">
        <v>-30</v>
      </c>
      <c r="Q4481">
        <v>2</v>
      </c>
      <c r="R4481" t="s">
        <v>21</v>
      </c>
      <c r="S4481" t="s">
        <v>21</v>
      </c>
    </row>
    <row r="4482" spans="1:19" hidden="1" x14ac:dyDescent="0.25">
      <c r="A4482">
        <v>21800470</v>
      </c>
      <c r="B4482" t="s">
        <v>18</v>
      </c>
      <c r="C4482" t="s">
        <v>22</v>
      </c>
      <c r="D4482">
        <v>77</v>
      </c>
      <c r="E4482">
        <v>69</v>
      </c>
      <c r="F4482">
        <v>8</v>
      </c>
      <c r="G4482">
        <v>3</v>
      </c>
      <c r="H4482" s="1">
        <v>4.6527777777777774E-3</v>
      </c>
      <c r="I4482">
        <v>2018</v>
      </c>
      <c r="J4482" t="s">
        <v>48</v>
      </c>
      <c r="K4482" s="2" t="str">
        <f>HYPERLINK("https://www.nba.com/stats/events?CFID=&amp;CFPARAMS=&amp;GameEventID=383&amp;GameID=0021800470&amp;Season=2018-19&amp;flag=1&amp;title=Leonard%203'%20Driving%20Layup%20(29%20PTS)%20(VanVleet%207%20AST)", "Leonard 3' Driving Layup (29 PTS) (VanVleet 7 AST)")</f>
        <v>Leonard 3' Driving Layup (29 PTS) (VanVleet 7 AST)</v>
      </c>
      <c r="L4482" s="2" t="str">
        <f>HYPERLINK("https://www.nba.com/game/...-vs-...-0021800470/play-by-play?watchFullGame=true", "TOR vs CLE - Q3 06:42.00")</f>
        <v>TOR vs CLE - Q3 06:42.00</v>
      </c>
      <c r="M4482">
        <v>3</v>
      </c>
      <c r="N4482">
        <v>18</v>
      </c>
      <c r="O4482">
        <v>29</v>
      </c>
      <c r="P4482">
        <v>18</v>
      </c>
      <c r="Q4482">
        <v>29</v>
      </c>
      <c r="R4482" t="s">
        <v>21</v>
      </c>
      <c r="S4482" t="s">
        <v>21</v>
      </c>
    </row>
    <row r="4483" spans="1:19" hidden="1" x14ac:dyDescent="0.25">
      <c r="A4483">
        <v>21700633</v>
      </c>
      <c r="B4483" t="s">
        <v>18</v>
      </c>
      <c r="C4483" t="s">
        <v>71</v>
      </c>
      <c r="D4483">
        <v>68</v>
      </c>
      <c r="E4483">
        <v>52</v>
      </c>
      <c r="F4483">
        <v>16</v>
      </c>
      <c r="G4483">
        <v>3</v>
      </c>
      <c r="H4483" s="1">
        <v>4.7569444444444447E-3</v>
      </c>
      <c r="I4483">
        <v>2017</v>
      </c>
      <c r="J4483" t="s">
        <v>20</v>
      </c>
      <c r="K4483" s="2" t="str">
        <f>HYPERLINK("https://www.nba.com/stats/events?CFID=&amp;CFPARAMS=&amp;GameEventID=367&amp;GameID=0021700633&amp;Season=2017-18&amp;flag=1&amp;title=Leonard%203'%20Running%20Finger%20Roll%20Layup%20(14%20PTS)", "Leonard 3' Running Finger Roll Layup (14 PTS)")</f>
        <v>Leonard 3' Running Finger Roll Layup (14 PTS)</v>
      </c>
      <c r="L4483" s="2" t="str">
        <f>HYPERLINK("https://www.nba.com/game/...-vs-...-0021700633/play-by-play?watchFullGame=true", "SAS vs DEN - Q3 06:51.00")</f>
        <v>SAS vs DEN - Q3 06:51.00</v>
      </c>
      <c r="M4483">
        <v>3</v>
      </c>
      <c r="N4483">
        <v>-10</v>
      </c>
      <c r="O4483">
        <v>25</v>
      </c>
      <c r="P4483">
        <v>-10</v>
      </c>
      <c r="Q4483">
        <v>25</v>
      </c>
      <c r="R4483" t="s">
        <v>21</v>
      </c>
      <c r="S4483" t="s">
        <v>21</v>
      </c>
    </row>
    <row r="4484" spans="1:19" hidden="1" x14ac:dyDescent="0.25">
      <c r="A4484">
        <v>41800405</v>
      </c>
      <c r="B4484" t="s">
        <v>18</v>
      </c>
      <c r="C4484" t="s">
        <v>33</v>
      </c>
      <c r="D4484">
        <v>91</v>
      </c>
      <c r="E4484">
        <v>92</v>
      </c>
      <c r="F4484">
        <v>1</v>
      </c>
      <c r="G4484">
        <v>4</v>
      </c>
      <c r="H4484" s="1">
        <v>4.7916666666666663E-3</v>
      </c>
      <c r="I4484" t="s">
        <v>60</v>
      </c>
      <c r="J4484" t="s">
        <v>48</v>
      </c>
      <c r="K4484" s="2" t="str">
        <f>HYPERLINK("https://www.nba.com/stats/events?CFID=&amp;CFPARAMS=&amp;GameEventID=567&amp;GameID=0041800405&amp;Season=2018-19&amp;flag=1&amp;title=Leonard%203'%20Putback%20Layup%20(16%20PTS)", "Leonard 3' Putback Layup (16 PTS)")</f>
        <v>Leonard 3' Putback Layup (16 PTS)</v>
      </c>
      <c r="L4484" s="2" t="str">
        <f>HYPERLINK("https://www.nba.com/game/...-vs-...-0041800405/play-by-play?watchFullGame=true", "TOR vs GSW - Q4 06:54.00")</f>
        <v>TOR vs GSW - Q4 06:54.00</v>
      </c>
      <c r="M4484">
        <v>3</v>
      </c>
      <c r="N4484">
        <v>6</v>
      </c>
      <c r="O4484">
        <v>26</v>
      </c>
      <c r="P4484">
        <v>6</v>
      </c>
      <c r="Q4484">
        <v>26</v>
      </c>
      <c r="R4484" t="s">
        <v>21</v>
      </c>
      <c r="S4484" t="s">
        <v>21</v>
      </c>
    </row>
    <row r="4485" spans="1:19" hidden="1" x14ac:dyDescent="0.25">
      <c r="A4485">
        <v>21501018</v>
      </c>
      <c r="B4485" t="s">
        <v>18</v>
      </c>
      <c r="C4485" t="s">
        <v>31</v>
      </c>
      <c r="D4485">
        <v>11</v>
      </c>
      <c r="E4485">
        <v>10</v>
      </c>
      <c r="F4485">
        <v>1</v>
      </c>
      <c r="G4485">
        <v>1</v>
      </c>
      <c r="H4485" s="1">
        <v>4.8495370370370368E-3</v>
      </c>
      <c r="I4485">
        <v>2015</v>
      </c>
      <c r="J4485" t="s">
        <v>20</v>
      </c>
      <c r="K4485" s="2" t="str">
        <f>HYPERLINK("https://www.nba.com/stats/events?CFID=&amp;CFPARAMS=&amp;GameEventID=36&amp;GameID=0021501018&amp;Season=2015-16&amp;flag=1&amp;title=Leonard%203'%20Driving%20Hook%20Shot%20(2%20PTS)%20(Parker%202%20AST)", "Leonard 3' Driving Hook Shot (2 PTS) (Parker 2 AST)")</f>
        <v>Leonard 3' Driving Hook Shot (2 PTS) (Parker 2 AST)</v>
      </c>
      <c r="L4485" s="2" t="str">
        <f>HYPERLINK("https://www.nba.com/game/...-vs-...-0021501018/play-by-play?watchFullGame=true", "SAS vs POR - Q1 06:59.00")</f>
        <v>SAS vs POR - Q1 06:59.00</v>
      </c>
      <c r="M4485">
        <v>3</v>
      </c>
      <c r="N4485">
        <v>-9</v>
      </c>
      <c r="O4485">
        <v>26</v>
      </c>
      <c r="P4485">
        <v>-9</v>
      </c>
      <c r="Q4485">
        <v>26</v>
      </c>
      <c r="R4485" t="s">
        <v>21</v>
      </c>
      <c r="S4485" t="s">
        <v>21</v>
      </c>
    </row>
    <row r="4486" spans="1:19" hidden="1" x14ac:dyDescent="0.25">
      <c r="A4486">
        <v>21301017</v>
      </c>
      <c r="B4486" t="s">
        <v>18</v>
      </c>
      <c r="C4486" t="s">
        <v>22</v>
      </c>
      <c r="D4486">
        <v>15</v>
      </c>
      <c r="E4486">
        <v>13</v>
      </c>
      <c r="F4486">
        <v>2</v>
      </c>
      <c r="G4486">
        <v>1</v>
      </c>
      <c r="H4486" s="1">
        <v>4.9074074074074072E-3</v>
      </c>
      <c r="I4486">
        <v>2013</v>
      </c>
      <c r="J4486" t="s">
        <v>20</v>
      </c>
      <c r="K4486" s="2" t="str">
        <f>HYPERLINK("https://www.nba.com/stats/events?CFID=&amp;CFPARAMS=&amp;GameEventID=43&amp;GameID=0021301017&amp;Season=2013-14&amp;flag=1&amp;title=Leonard%203'%20Driving%20Layup%20(4%20PTS)", "Leonard 3' Driving Layup (4 PTS)")</f>
        <v>Leonard 3' Driving Layup (4 PTS)</v>
      </c>
      <c r="L4486" s="2" t="str">
        <f>HYPERLINK("https://www.nba.com/game/...-vs-...-0021301017/play-by-play?watchFullGame=true", "SAS vs LAL - Q1 07:04.00")</f>
        <v>SAS vs LAL - Q1 07:04.00</v>
      </c>
      <c r="M4486">
        <v>3</v>
      </c>
      <c r="N4486">
        <v>10</v>
      </c>
      <c r="O4486">
        <v>31</v>
      </c>
      <c r="P4486">
        <v>10</v>
      </c>
      <c r="Q4486">
        <v>31</v>
      </c>
      <c r="R4486" t="s">
        <v>21</v>
      </c>
      <c r="S4486" t="s">
        <v>21</v>
      </c>
    </row>
    <row r="4487" spans="1:19" hidden="1" x14ac:dyDescent="0.25">
      <c r="A4487">
        <v>41400165</v>
      </c>
      <c r="B4487" t="s">
        <v>18</v>
      </c>
      <c r="C4487" t="s">
        <v>32</v>
      </c>
      <c r="D4487">
        <v>34</v>
      </c>
      <c r="E4487">
        <v>36</v>
      </c>
      <c r="F4487">
        <v>2</v>
      </c>
      <c r="G4487">
        <v>2</v>
      </c>
      <c r="H4487" s="1">
        <v>4.9305555555555552E-3</v>
      </c>
      <c r="I4487" t="s">
        <v>56</v>
      </c>
      <c r="J4487" t="s">
        <v>20</v>
      </c>
      <c r="K4487" s="2" t="str">
        <f>HYPERLINK("https://www.nba.com/stats/events?CFID=&amp;CFPARAMS=&amp;GameEventID=185&amp;GameID=0041400165&amp;Season=2014-15&amp;flag=1&amp;title=Leonard%203'%20Alley%20Oop%20Layup%20(8%20PTS)%20(Duncan%201%20AST)", "Leonard 3' Alley Oop Layup (8 PTS) (Duncan 1 AST)")</f>
        <v>Leonard 3' Alley Oop Layup (8 PTS) (Duncan 1 AST)</v>
      </c>
      <c r="L4487" s="2" t="str">
        <f>HYPERLINK("https://www.nba.com/game/...-vs-...-0041400165/play-by-play?watchFullGame=true", "SAS vs LAC - Q2 07:06.00")</f>
        <v>SAS vs LAC - Q2 07:06.00</v>
      </c>
      <c r="M4487">
        <v>3</v>
      </c>
      <c r="N4487">
        <v>-21</v>
      </c>
      <c r="O4487">
        <v>25</v>
      </c>
      <c r="P4487">
        <v>-21</v>
      </c>
      <c r="Q4487">
        <v>25</v>
      </c>
      <c r="R4487" t="s">
        <v>21</v>
      </c>
      <c r="S4487" t="s">
        <v>21</v>
      </c>
    </row>
    <row r="4488" spans="1:19" hidden="1" x14ac:dyDescent="0.25">
      <c r="A4488">
        <v>21501001</v>
      </c>
      <c r="B4488" t="s">
        <v>18</v>
      </c>
      <c r="C4488" t="s">
        <v>35</v>
      </c>
      <c r="D4488">
        <v>33</v>
      </c>
      <c r="E4488">
        <v>24</v>
      </c>
      <c r="F4488">
        <v>9</v>
      </c>
      <c r="G4488">
        <v>2</v>
      </c>
      <c r="H4488" s="1">
        <v>5.092592592592593E-3</v>
      </c>
      <c r="I4488">
        <v>2015</v>
      </c>
      <c r="J4488" t="s">
        <v>20</v>
      </c>
      <c r="K4488" s="2" t="str">
        <f>HYPERLINK("https://www.nba.com/stats/events?CFID=&amp;CFPARAMS=&amp;GameEventID=168&amp;GameID=0021501001&amp;Season=2015-16&amp;flag=1&amp;title=Leonard%203'%20Reverse%20Layup%20(6%20PTS)", "Leonard 3' Reverse Layup (6 PTS)")</f>
        <v>Leonard 3' Reverse Layup (6 PTS)</v>
      </c>
      <c r="L4488" s="2" t="str">
        <f>HYPERLINK("https://www.nba.com/game/...-vs-...-0021501001/play-by-play?watchFullGame=true", "SAS vs LAC - Q2 07:20.00")</f>
        <v>SAS vs LAC - Q2 07:20.00</v>
      </c>
      <c r="M4488">
        <v>3</v>
      </c>
      <c r="N4488">
        <v>-32</v>
      </c>
      <c r="O4488">
        <v>-5</v>
      </c>
      <c r="P4488">
        <v>-32</v>
      </c>
      <c r="Q4488">
        <v>-5</v>
      </c>
      <c r="R4488" t="s">
        <v>21</v>
      </c>
      <c r="S4488" t="s">
        <v>21</v>
      </c>
    </row>
    <row r="4489" spans="1:19" hidden="1" x14ac:dyDescent="0.25">
      <c r="A4489">
        <v>21600925</v>
      </c>
      <c r="B4489" t="s">
        <v>18</v>
      </c>
      <c r="C4489" t="s">
        <v>22</v>
      </c>
      <c r="D4489">
        <v>75</v>
      </c>
      <c r="E4489">
        <v>76</v>
      </c>
      <c r="F4489">
        <v>1</v>
      </c>
      <c r="G4489">
        <v>4</v>
      </c>
      <c r="H4489" s="1">
        <v>5.162037037037037E-3</v>
      </c>
      <c r="I4489">
        <v>2016</v>
      </c>
      <c r="J4489" t="s">
        <v>20</v>
      </c>
      <c r="K4489" s="2" t="str">
        <f>HYPERLINK("https://www.nba.com/stats/events?CFID=&amp;CFPARAMS=&amp;GameEventID=437&amp;GameID=0021600925&amp;Season=2016-17&amp;flag=1&amp;title=Leonard%203'%20Driving%20Layup%20(23%20PTS)", "Leonard 3' Driving Layup (23 PTS)")</f>
        <v>Leonard 3' Driving Layup (23 PTS)</v>
      </c>
      <c r="L4489" s="2" t="str">
        <f>HYPERLINK("https://www.nba.com/game/...-vs-...-0021600925/play-by-play?watchFullGame=true", "SAS vs MIN - Q4 07:26.00")</f>
        <v>SAS vs MIN - Q4 07:26.00</v>
      </c>
      <c r="M4489">
        <v>3</v>
      </c>
      <c r="N4489">
        <v>-25</v>
      </c>
      <c r="O4489">
        <v>11</v>
      </c>
      <c r="P4489">
        <v>-25</v>
      </c>
      <c r="Q4489">
        <v>11</v>
      </c>
      <c r="R4489" t="s">
        <v>21</v>
      </c>
      <c r="S4489" t="s">
        <v>21</v>
      </c>
    </row>
    <row r="4490" spans="1:19" hidden="1" x14ac:dyDescent="0.25">
      <c r="A4490">
        <v>21600727</v>
      </c>
      <c r="B4490" t="s">
        <v>18</v>
      </c>
      <c r="C4490" t="s">
        <v>44</v>
      </c>
      <c r="D4490">
        <v>90</v>
      </c>
      <c r="E4490">
        <v>79</v>
      </c>
      <c r="F4490">
        <v>11</v>
      </c>
      <c r="G4490">
        <v>4</v>
      </c>
      <c r="H4490" s="1">
        <v>5.1736111111111115E-3</v>
      </c>
      <c r="I4490">
        <v>2016</v>
      </c>
      <c r="J4490" t="s">
        <v>20</v>
      </c>
      <c r="K4490" s="2" t="str">
        <f>HYPERLINK("https://www.nba.com/stats/events?CFID=&amp;CFPARAMS=&amp;GameEventID=549&amp;GameID=0021600727&amp;Season=2016-17&amp;flag=1&amp;title=Leonard%203'%20Driving%20Reverse%20Layup%20(28%20PTS)", "Leonard 3' Driving Reverse Layup (28 PTS)")</f>
        <v>Leonard 3' Driving Reverse Layup (28 PTS)</v>
      </c>
      <c r="L4490" s="2" t="str">
        <f>HYPERLINK("https://www.nba.com/game/...-vs-...-0021600727/play-by-play?watchFullGame=true", "SAS vs OKC - Q4 07:27.00")</f>
        <v>SAS vs OKC - Q4 07:27.00</v>
      </c>
      <c r="M4490">
        <v>3</v>
      </c>
      <c r="N4490">
        <v>-29</v>
      </c>
      <c r="O4490">
        <v>2</v>
      </c>
      <c r="P4490">
        <v>-29</v>
      </c>
      <c r="Q4490">
        <v>2</v>
      </c>
      <c r="R4490" t="s">
        <v>21</v>
      </c>
      <c r="S4490" t="s">
        <v>21</v>
      </c>
    </row>
    <row r="4491" spans="1:19" hidden="1" x14ac:dyDescent="0.25">
      <c r="A4491">
        <v>21800961</v>
      </c>
      <c r="B4491" t="s">
        <v>18</v>
      </c>
      <c r="C4491" t="s">
        <v>40</v>
      </c>
      <c r="D4491">
        <v>6</v>
      </c>
      <c r="E4491">
        <v>8</v>
      </c>
      <c r="F4491">
        <v>2</v>
      </c>
      <c r="G4491">
        <v>1</v>
      </c>
      <c r="H4491" s="1">
        <v>5.185185185185185E-3</v>
      </c>
      <c r="I4491">
        <v>2018</v>
      </c>
      <c r="J4491" t="s">
        <v>48</v>
      </c>
      <c r="K4491" s="2" t="str">
        <f>HYPERLINK("https://www.nba.com/stats/events?CFID=&amp;CFPARAMS=&amp;GameEventID=53&amp;GameID=0021800961&amp;Season=2018-19&amp;flag=1&amp;title=Leonard%203'%20Driving%20Finger%20Roll%20Layup%20(6%20PTS)", "Leonard 3' Driving Finger Roll Layup (6 PTS)")</f>
        <v>Leonard 3' Driving Finger Roll Layup (6 PTS)</v>
      </c>
      <c r="L4491" s="2" t="str">
        <f>HYPERLINK("https://www.nba.com/game/...-vs-...-0021800961/play-by-play?watchFullGame=true", "TOR vs HOU - Q1 07:28.00")</f>
        <v>TOR vs HOU - Q1 07:28.00</v>
      </c>
      <c r="M4491">
        <v>3</v>
      </c>
      <c r="N4491">
        <v>-1</v>
      </c>
      <c r="O4491">
        <v>33</v>
      </c>
      <c r="P4491">
        <v>-1</v>
      </c>
      <c r="Q4491">
        <v>33</v>
      </c>
      <c r="R4491" t="s">
        <v>21</v>
      </c>
      <c r="S4491" t="s">
        <v>21</v>
      </c>
    </row>
    <row r="4492" spans="1:19" hidden="1" x14ac:dyDescent="0.25">
      <c r="A4492">
        <v>21600605</v>
      </c>
      <c r="B4492" t="s">
        <v>18</v>
      </c>
      <c r="C4492" t="s">
        <v>24</v>
      </c>
      <c r="D4492">
        <v>67</v>
      </c>
      <c r="E4492">
        <v>62</v>
      </c>
      <c r="F4492">
        <v>5</v>
      </c>
      <c r="G4492">
        <v>3</v>
      </c>
      <c r="H4492" s="1">
        <v>5.2199074074074075E-3</v>
      </c>
      <c r="I4492">
        <v>2016</v>
      </c>
      <c r="J4492" t="s">
        <v>20</v>
      </c>
      <c r="K4492" s="2" t="str">
        <f>HYPERLINK("https://www.nba.com/stats/events?CFID=&amp;CFPARAMS=&amp;GameEventID=328&amp;GameID=0021600605&amp;Season=2016-17&amp;flag=1&amp;title=Leonard%203'%20Layup%20(21%20PTS)", "Leonard 3' Layup (21 PTS)")</f>
        <v>Leonard 3' Layup (21 PTS)</v>
      </c>
      <c r="L4492" s="2" t="str">
        <f>HYPERLINK("https://www.nba.com/game/...-vs-...-0021600605/play-by-play?watchFullGame=true", "SAS vs PHX - Q3 07:31.00")</f>
        <v>SAS vs PHX - Q3 07:31.00</v>
      </c>
      <c r="M4492">
        <v>3</v>
      </c>
      <c r="N4492">
        <v>27</v>
      </c>
      <c r="O4492">
        <v>8</v>
      </c>
      <c r="P4492">
        <v>27</v>
      </c>
      <c r="Q4492">
        <v>8</v>
      </c>
      <c r="R4492" t="s">
        <v>21</v>
      </c>
      <c r="S4492" t="s">
        <v>21</v>
      </c>
    </row>
    <row r="4493" spans="1:19" hidden="1" x14ac:dyDescent="0.25">
      <c r="A4493">
        <v>41800302</v>
      </c>
      <c r="B4493" t="s">
        <v>18</v>
      </c>
      <c r="C4493" t="s">
        <v>22</v>
      </c>
      <c r="D4493">
        <v>51</v>
      </c>
      <c r="E4493">
        <v>70</v>
      </c>
      <c r="F4493">
        <v>19</v>
      </c>
      <c r="G4493">
        <v>3</v>
      </c>
      <c r="H4493" s="1">
        <v>5.3356481481481484E-3</v>
      </c>
      <c r="I4493" t="s">
        <v>60</v>
      </c>
      <c r="J4493" t="s">
        <v>48</v>
      </c>
      <c r="K4493" s="2" t="str">
        <f>HYPERLINK("https://www.nba.com/stats/events?CFID=&amp;CFPARAMS=&amp;GameEventID=404&amp;GameID=0041800302&amp;Season=2018-19&amp;flag=1&amp;title=Leonard%203'%20Driving%20Layup%20(18%20PTS)", "Leonard 3' Driving Layup (18 PTS)")</f>
        <v>Leonard 3' Driving Layup (18 PTS)</v>
      </c>
      <c r="L4493" s="2" t="str">
        <f>HYPERLINK("https://www.nba.com/game/...-vs-...-0041800302/play-by-play?watchFullGame=true", "TOR vs MIL - Q3 07:41.00")</f>
        <v>TOR vs MIL - Q3 07:41.00</v>
      </c>
      <c r="M4493">
        <v>3</v>
      </c>
      <c r="N4493">
        <v>27</v>
      </c>
      <c r="O4493">
        <v>22</v>
      </c>
      <c r="P4493">
        <v>27</v>
      </c>
      <c r="Q4493">
        <v>22</v>
      </c>
      <c r="R4493" t="s">
        <v>21</v>
      </c>
      <c r="S4493" t="s">
        <v>21</v>
      </c>
    </row>
    <row r="4494" spans="1:19" hidden="1" x14ac:dyDescent="0.25">
      <c r="A4494">
        <v>21300275</v>
      </c>
      <c r="B4494" t="s">
        <v>18</v>
      </c>
      <c r="C4494" t="s">
        <v>24</v>
      </c>
      <c r="D4494">
        <v>74</v>
      </c>
      <c r="E4494">
        <v>91</v>
      </c>
      <c r="F4494">
        <v>17</v>
      </c>
      <c r="G4494">
        <v>4</v>
      </c>
      <c r="H4494" s="1">
        <v>5.347222222222222E-3</v>
      </c>
      <c r="I4494">
        <v>2013</v>
      </c>
      <c r="J4494" t="s">
        <v>20</v>
      </c>
      <c r="K4494" s="2" t="str">
        <f>HYPERLINK("https://www.nba.com/stats/events?CFID=&amp;CFPARAMS=&amp;GameEventID=451&amp;GameID=0021300275&amp;Season=2013-14&amp;flag=1&amp;title=Leonard%203'%20Layup%20(10%20PTS)", "Leonard 3' Layup (10 PTS)")</f>
        <v>Leonard 3' Layup (10 PTS)</v>
      </c>
      <c r="L4494" s="2" t="str">
        <f>HYPERLINK("https://www.nba.com/game/...-vs-...-0021300275/play-by-play?watchFullGame=true", "SAS vs MIN - Q4 07:42.00")</f>
        <v>SAS vs MIN - Q4 07:42.00</v>
      </c>
      <c r="M4494">
        <v>3</v>
      </c>
      <c r="N4494">
        <v>-18</v>
      </c>
      <c r="O4494">
        <v>20</v>
      </c>
      <c r="P4494">
        <v>-18</v>
      </c>
      <c r="Q4494">
        <v>20</v>
      </c>
      <c r="R4494" t="s">
        <v>21</v>
      </c>
      <c r="S4494" t="s">
        <v>21</v>
      </c>
    </row>
    <row r="4495" spans="1:19" hidden="1" x14ac:dyDescent="0.25">
      <c r="A4495">
        <v>21800549</v>
      </c>
      <c r="B4495" t="s">
        <v>18</v>
      </c>
      <c r="C4495" t="s">
        <v>69</v>
      </c>
      <c r="D4495">
        <v>69</v>
      </c>
      <c r="E4495">
        <v>59</v>
      </c>
      <c r="F4495">
        <v>10</v>
      </c>
      <c r="G4495">
        <v>3</v>
      </c>
      <c r="H4495" s="1">
        <v>5.347222222222222E-3</v>
      </c>
      <c r="I4495">
        <v>2018</v>
      </c>
      <c r="J4495" t="s">
        <v>48</v>
      </c>
      <c r="K4495" s="2" t="str">
        <f>HYPERLINK("https://www.nba.com/stats/events?CFID=&amp;CFPARAMS=&amp;GameEventID=355&amp;GameID=0021800549&amp;Season=2018-19&amp;flag=1&amp;title=Leonard%203'%20Driving%20Bank%20Hook%20Shot%20(21%20PTS)", "Leonard 3' Driving Bank Hook Shot (21 PTS)")</f>
        <v>Leonard 3' Driving Bank Hook Shot (21 PTS)</v>
      </c>
      <c r="L4495" s="2" t="str">
        <f>HYPERLINK("https://www.nba.com/game/...-vs-...-0021800549/play-by-play?watchFullGame=true", "TOR vs UTA - Q3 07:42.00")</f>
        <v>TOR vs UTA - Q3 07:42.00</v>
      </c>
      <c r="M4495">
        <v>3</v>
      </c>
      <c r="N4495">
        <v>25</v>
      </c>
      <c r="O4495">
        <v>2</v>
      </c>
      <c r="P4495">
        <v>25</v>
      </c>
      <c r="Q4495">
        <v>2</v>
      </c>
      <c r="R4495" t="s">
        <v>21</v>
      </c>
      <c r="S4495" t="s">
        <v>21</v>
      </c>
    </row>
    <row r="4496" spans="1:19" hidden="1" x14ac:dyDescent="0.25">
      <c r="A4496">
        <v>21300181</v>
      </c>
      <c r="B4496" t="s">
        <v>18</v>
      </c>
      <c r="C4496" t="s">
        <v>35</v>
      </c>
      <c r="D4496">
        <v>6</v>
      </c>
      <c r="E4496">
        <v>7</v>
      </c>
      <c r="F4496">
        <v>1</v>
      </c>
      <c r="G4496">
        <v>1</v>
      </c>
      <c r="H4496" s="1">
        <v>5.3587962962962964E-3</v>
      </c>
      <c r="I4496">
        <v>2013</v>
      </c>
      <c r="J4496" t="s">
        <v>20</v>
      </c>
      <c r="K4496" s="2" t="str">
        <f>HYPERLINK("https://www.nba.com/stats/events?CFID=&amp;CFPARAMS=&amp;GameEventID=35&amp;GameID=0021300181&amp;Season=2013-14&amp;flag=1&amp;title=Leonard%203'%20Reverse%20Layup%20(2%20PTS)%20(Parker%201%20AST)", "Leonard 3' Reverse Layup (2 PTS) (Parker 1 AST)")</f>
        <v>Leonard 3' Reverse Layup (2 PTS) (Parker 1 AST)</v>
      </c>
      <c r="L4496" s="2" t="str">
        <f>HYPERLINK("https://www.nba.com/game/...-vs-...-0021300181/play-by-play?watchFullGame=true", "SAS vs MEM - Q1 07:43.00")</f>
        <v>SAS vs MEM - Q1 07:43.00</v>
      </c>
      <c r="M4496">
        <v>3</v>
      </c>
      <c r="N4496">
        <v>28</v>
      </c>
      <c r="O4496">
        <v>1</v>
      </c>
      <c r="P4496">
        <v>28</v>
      </c>
      <c r="Q4496">
        <v>1</v>
      </c>
      <c r="R4496" t="s">
        <v>21</v>
      </c>
      <c r="S4496" t="s">
        <v>21</v>
      </c>
    </row>
    <row r="4497" spans="1:19" hidden="1" x14ac:dyDescent="0.25">
      <c r="A4497">
        <v>21800470</v>
      </c>
      <c r="B4497" t="s">
        <v>18</v>
      </c>
      <c r="C4497" t="s">
        <v>27</v>
      </c>
      <c r="D4497">
        <v>72</v>
      </c>
      <c r="E4497">
        <v>64</v>
      </c>
      <c r="F4497">
        <v>8</v>
      </c>
      <c r="G4497">
        <v>3</v>
      </c>
      <c r="H4497" s="1">
        <v>5.4282407407407404E-3</v>
      </c>
      <c r="I4497">
        <v>2018</v>
      </c>
      <c r="J4497" t="s">
        <v>48</v>
      </c>
      <c r="K4497" s="2" t="str">
        <f>HYPERLINK("https://www.nba.com/stats/events?CFID=&amp;CFPARAMS=&amp;GameEventID=365&amp;GameID=0021800470&amp;Season=2018-19&amp;flag=1&amp;title=Leonard%203'%20Finger%20Roll%20Layup%20(24%20PTS)%20(Wright%203%20AST)", "Leonard 3' Finger Roll Layup (24 PTS) (Wright 3 AST)")</f>
        <v>Leonard 3' Finger Roll Layup (24 PTS) (Wright 3 AST)</v>
      </c>
      <c r="L4497" s="2" t="str">
        <f>HYPERLINK("https://www.nba.com/game/...-vs-...-0021800470/play-by-play?watchFullGame=true", "TOR vs CLE - Q3 07:49.00")</f>
        <v>TOR vs CLE - Q3 07:49.00</v>
      </c>
      <c r="M4497">
        <v>3</v>
      </c>
      <c r="N4497">
        <v>-6</v>
      </c>
      <c r="O4497">
        <v>26</v>
      </c>
      <c r="P4497">
        <v>-6</v>
      </c>
      <c r="Q4497">
        <v>26</v>
      </c>
      <c r="R4497" t="s">
        <v>21</v>
      </c>
      <c r="S4497" t="s">
        <v>21</v>
      </c>
    </row>
    <row r="4498" spans="1:19" hidden="1" x14ac:dyDescent="0.25">
      <c r="A4498">
        <v>21800538</v>
      </c>
      <c r="B4498" t="s">
        <v>18</v>
      </c>
      <c r="C4498" t="s">
        <v>67</v>
      </c>
      <c r="D4498">
        <v>76</v>
      </c>
      <c r="E4498">
        <v>69</v>
      </c>
      <c r="F4498">
        <v>7</v>
      </c>
      <c r="G4498">
        <v>4</v>
      </c>
      <c r="H4498" s="1">
        <v>5.4629629629629629E-3</v>
      </c>
      <c r="I4498">
        <v>2018</v>
      </c>
      <c r="J4498" t="s">
        <v>48</v>
      </c>
      <c r="K4498" s="2" t="str">
        <f>HYPERLINK("https://www.nba.com/stats/events?CFID=&amp;CFPARAMS=&amp;GameEventID=482&amp;GameID=0021800538&amp;Season=2018-19&amp;flag=1&amp;title=Leonard%203'%20Turnaround%20Hook%20Shot%20(17%20PTS)", "Leonard 3' Turnaround Hook Shot (17 PTS)")</f>
        <v>Leonard 3' Turnaround Hook Shot (17 PTS)</v>
      </c>
      <c r="L4498" s="2" t="str">
        <f>HYPERLINK("https://www.nba.com/game/...-vs-...-0021800538/play-by-play?watchFullGame=true", "TOR vs CHI - Q4 07:52.00")</f>
        <v>TOR vs CHI - Q4 07:52.00</v>
      </c>
      <c r="M4498">
        <v>3</v>
      </c>
      <c r="N4498">
        <v>-2</v>
      </c>
      <c r="O4498">
        <v>27</v>
      </c>
      <c r="P4498">
        <v>-2</v>
      </c>
      <c r="Q4498">
        <v>27</v>
      </c>
      <c r="R4498" t="s">
        <v>21</v>
      </c>
      <c r="S4498" t="s">
        <v>21</v>
      </c>
    </row>
    <row r="4499" spans="1:19" hidden="1" x14ac:dyDescent="0.25">
      <c r="A4499">
        <v>21700633</v>
      </c>
      <c r="B4499" t="s">
        <v>18</v>
      </c>
      <c r="C4499" t="s">
        <v>22</v>
      </c>
      <c r="D4499">
        <v>94</v>
      </c>
      <c r="E4499">
        <v>74</v>
      </c>
      <c r="F4499">
        <v>20</v>
      </c>
      <c r="G4499">
        <v>4</v>
      </c>
      <c r="H4499" s="1">
        <v>5.5324074074074078E-3</v>
      </c>
      <c r="I4499">
        <v>2017</v>
      </c>
      <c r="J4499" t="s">
        <v>20</v>
      </c>
      <c r="K4499" s="2" t="str">
        <f>HYPERLINK("https://www.nba.com/stats/events?CFID=&amp;CFPARAMS=&amp;GameEventID=521&amp;GameID=0021700633&amp;Season=2017-18&amp;flag=1&amp;title=Leonard%203'%20Driving%20Layup%20(19%20PTS)", "Leonard 3' Driving Layup (19 PTS)")</f>
        <v>Leonard 3' Driving Layup (19 PTS)</v>
      </c>
      <c r="L4499" s="2" t="str">
        <f>HYPERLINK("https://www.nba.com/game/...-vs-...-0021700633/play-by-play?watchFullGame=true", "SAS vs DEN - Q4 07:58.00")</f>
        <v>SAS vs DEN - Q4 07:58.00</v>
      </c>
      <c r="M4499">
        <v>3</v>
      </c>
      <c r="N4499">
        <v>27</v>
      </c>
      <c r="O4499">
        <v>6</v>
      </c>
      <c r="P4499">
        <v>27</v>
      </c>
      <c r="Q4499">
        <v>6</v>
      </c>
      <c r="R4499" t="s">
        <v>21</v>
      </c>
      <c r="S4499" t="s">
        <v>21</v>
      </c>
    </row>
    <row r="4500" spans="1:19" hidden="1" x14ac:dyDescent="0.25">
      <c r="A4500">
        <v>21500013</v>
      </c>
      <c r="B4500" t="s">
        <v>18</v>
      </c>
      <c r="C4500" t="s">
        <v>24</v>
      </c>
      <c r="D4500">
        <v>13</v>
      </c>
      <c r="E4500">
        <v>6</v>
      </c>
      <c r="F4500">
        <v>7</v>
      </c>
      <c r="G4500">
        <v>1</v>
      </c>
      <c r="H4500" s="1">
        <v>5.6828703703703702E-3</v>
      </c>
      <c r="I4500">
        <v>2015</v>
      </c>
      <c r="J4500" t="s">
        <v>20</v>
      </c>
      <c r="K4500" s="2" t="str">
        <f>HYPERLINK("https://www.nba.com/stats/events?CFID=&amp;CFPARAMS=&amp;GameEventID=37&amp;GameID=0021500013&amp;Season=2015-16&amp;flag=1&amp;title=Leonard%203'%20Layup%20(5%20PTS)", "Leonard 3' Layup (5 PTS)")</f>
        <v>Leonard 3' Layup (5 PTS)</v>
      </c>
      <c r="L4500" s="2" t="str">
        <f>HYPERLINK("https://www.nba.com/game/...-vs-...-0021500013/play-by-play?watchFullGame=true", "SAS vs OKC - Q1 08:11.00")</f>
        <v>SAS vs OKC - Q1 08:11.00</v>
      </c>
      <c r="M4500">
        <v>3</v>
      </c>
      <c r="N4500">
        <v>24</v>
      </c>
      <c r="O4500">
        <v>7</v>
      </c>
      <c r="P4500">
        <v>24</v>
      </c>
      <c r="Q4500">
        <v>7</v>
      </c>
      <c r="R4500" t="s">
        <v>21</v>
      </c>
      <c r="S4500" t="s">
        <v>21</v>
      </c>
    </row>
    <row r="4501" spans="1:19" hidden="1" x14ac:dyDescent="0.25">
      <c r="A4501">
        <v>41800406</v>
      </c>
      <c r="B4501" t="s">
        <v>18</v>
      </c>
      <c r="C4501" t="s">
        <v>51</v>
      </c>
      <c r="D4501">
        <v>71</v>
      </c>
      <c r="E4501">
        <v>66</v>
      </c>
      <c r="F4501">
        <v>5</v>
      </c>
      <c r="G4501">
        <v>3</v>
      </c>
      <c r="H4501" s="1">
        <v>5.6944444444444447E-3</v>
      </c>
      <c r="I4501" t="s">
        <v>60</v>
      </c>
      <c r="J4501" t="s">
        <v>48</v>
      </c>
      <c r="K4501" s="2" t="str">
        <f>HYPERLINK("https://www.nba.com/stats/events?CFID=&amp;CFPARAMS=&amp;GameEventID=360&amp;GameID=0041800406&amp;Season=2018-19&amp;flag=1&amp;title=Leonard%203'%20Running%20Layup%20(14%20PTS)", "Leonard 3' Running Layup (14 PTS)")</f>
        <v>Leonard 3' Running Layup (14 PTS)</v>
      </c>
      <c r="L4501" s="2" t="str">
        <f>HYPERLINK("https://www.nba.com/game/...-vs-...-0041800406/play-by-play?watchFullGame=true", "TOR vs GSW - Q3 08:12.00")</f>
        <v>TOR vs GSW - Q3 08:12.00</v>
      </c>
      <c r="M4501">
        <v>3</v>
      </c>
      <c r="N4501">
        <v>17</v>
      </c>
      <c r="O4501">
        <v>26</v>
      </c>
      <c r="P4501">
        <v>17</v>
      </c>
      <c r="Q4501">
        <v>26</v>
      </c>
      <c r="R4501" t="s">
        <v>21</v>
      </c>
      <c r="S4501" t="s">
        <v>21</v>
      </c>
    </row>
    <row r="4502" spans="1:19" hidden="1" x14ac:dyDescent="0.25">
      <c r="A4502">
        <v>21300245</v>
      </c>
      <c r="B4502" t="s">
        <v>18</v>
      </c>
      <c r="C4502" t="s">
        <v>54</v>
      </c>
      <c r="D4502">
        <v>28</v>
      </c>
      <c r="E4502">
        <v>41</v>
      </c>
      <c r="F4502">
        <v>13</v>
      </c>
      <c r="G4502">
        <v>2</v>
      </c>
      <c r="H4502" s="1">
        <v>5.7523148148148151E-3</v>
      </c>
      <c r="I4502">
        <v>2013</v>
      </c>
      <c r="J4502" t="s">
        <v>20</v>
      </c>
      <c r="K4502" s="2" t="str">
        <f>HYPERLINK("https://www.nba.com/stats/events?CFID=&amp;CFPARAMS=&amp;GameEventID=156&amp;GameID=0021300245&amp;Season=2013-14&amp;flag=1&amp;title=Leonard%203'%20Driving%20Jump%20Shot%20(2%20PTS)", "Leonard 3' Driving Jump Shot (2 PTS)")</f>
        <v>Leonard 3' Driving Jump Shot (2 PTS)</v>
      </c>
      <c r="L4502" s="2" t="str">
        <f>HYPERLINK("https://www.nba.com/game/...-vs-...-0021300245/play-by-play?watchFullGame=true", "SAS vs HOU - Q2 08:17.00")</f>
        <v>SAS vs HOU - Q2 08:17.00</v>
      </c>
      <c r="M4502">
        <v>3</v>
      </c>
      <c r="N4502">
        <v>17</v>
      </c>
      <c r="O4502">
        <v>25</v>
      </c>
      <c r="P4502">
        <v>17</v>
      </c>
      <c r="Q4502">
        <v>25</v>
      </c>
      <c r="R4502" t="s">
        <v>21</v>
      </c>
      <c r="S4502" t="s">
        <v>21</v>
      </c>
    </row>
    <row r="4503" spans="1:19" hidden="1" x14ac:dyDescent="0.25">
      <c r="A4503">
        <v>21801110</v>
      </c>
      <c r="B4503" t="s">
        <v>18</v>
      </c>
      <c r="C4503" t="s">
        <v>40</v>
      </c>
      <c r="D4503">
        <v>67</v>
      </c>
      <c r="E4503">
        <v>52</v>
      </c>
      <c r="F4503">
        <v>15</v>
      </c>
      <c r="G4503">
        <v>3</v>
      </c>
      <c r="H4503" s="1">
        <v>5.7638888888888887E-3</v>
      </c>
      <c r="I4503">
        <v>2018</v>
      </c>
      <c r="J4503" t="s">
        <v>48</v>
      </c>
      <c r="K4503" s="2" t="str">
        <f>HYPERLINK("https://www.nba.com/stats/events?CFID=&amp;CFPARAMS=&amp;GameEventID=375&amp;GameID=0021801110&amp;Season=2018-19&amp;flag=1&amp;title=Leonard%203'%20Driving%20Finger%20Roll%20Layup%20(12%20PTS)", "Leonard 3' Driving Finger Roll Layup (12 PTS)")</f>
        <v>Leonard 3' Driving Finger Roll Layup (12 PTS)</v>
      </c>
      <c r="L4503" s="2" t="str">
        <f>HYPERLINK("https://www.nba.com/game/...-vs-...-0021801110/play-by-play?watchFullGame=true", "TOR vs CHI - Q3 08:18.00")</f>
        <v>TOR vs CHI - Q3 08:18.00</v>
      </c>
      <c r="M4503">
        <v>3</v>
      </c>
      <c r="N4503">
        <v>-16</v>
      </c>
      <c r="O4503">
        <v>23</v>
      </c>
      <c r="P4503">
        <v>-16</v>
      </c>
      <c r="Q4503">
        <v>23</v>
      </c>
      <c r="R4503" t="s">
        <v>21</v>
      </c>
      <c r="S4503" t="s">
        <v>21</v>
      </c>
    </row>
    <row r="4504" spans="1:19" hidden="1" x14ac:dyDescent="0.25">
      <c r="A4504">
        <v>21300094</v>
      </c>
      <c r="B4504" t="s">
        <v>18</v>
      </c>
      <c r="C4504" t="s">
        <v>22</v>
      </c>
      <c r="D4504">
        <v>44</v>
      </c>
      <c r="E4504">
        <v>21</v>
      </c>
      <c r="F4504">
        <v>23</v>
      </c>
      <c r="G4504">
        <v>2</v>
      </c>
      <c r="H4504" s="1">
        <v>5.7986111111111112E-3</v>
      </c>
      <c r="I4504">
        <v>2013</v>
      </c>
      <c r="J4504" t="s">
        <v>20</v>
      </c>
      <c r="K4504" s="2" t="str">
        <f>HYPERLINK("https://www.nba.com/stats/events?CFID=&amp;CFPARAMS=&amp;GameEventID=153&amp;GameID=0021300094&amp;Season=2013-14&amp;flag=1&amp;title=Leonard%203'%20Driving%20Layup%20(7%20PTS)", "Leonard 3' Driving Layup (7 PTS)")</f>
        <v>Leonard 3' Driving Layup (7 PTS)</v>
      </c>
      <c r="L4504" s="2" t="str">
        <f>HYPERLINK("https://www.nba.com/game/...-vs-...-0021300094/play-by-play?watchFullGame=true", "SAS vs NYK - Q2 08:21.00")</f>
        <v>SAS vs NYK - Q2 08:21.00</v>
      </c>
      <c r="M4504">
        <v>3</v>
      </c>
      <c r="N4504">
        <v>-23</v>
      </c>
      <c r="O4504">
        <v>17</v>
      </c>
      <c r="P4504">
        <v>-23</v>
      </c>
      <c r="Q4504">
        <v>17</v>
      </c>
      <c r="R4504" t="s">
        <v>21</v>
      </c>
      <c r="S4504" t="s">
        <v>21</v>
      </c>
    </row>
    <row r="4505" spans="1:19" hidden="1" x14ac:dyDescent="0.25">
      <c r="A4505">
        <v>21600639</v>
      </c>
      <c r="B4505" t="s">
        <v>18</v>
      </c>
      <c r="C4505" t="s">
        <v>40</v>
      </c>
      <c r="D4505">
        <v>76</v>
      </c>
      <c r="E4505">
        <v>60</v>
      </c>
      <c r="F4505">
        <v>16</v>
      </c>
      <c r="G4505">
        <v>3</v>
      </c>
      <c r="H4505" s="1">
        <v>5.8101851851851856E-3</v>
      </c>
      <c r="I4505">
        <v>2016</v>
      </c>
      <c r="J4505" t="s">
        <v>20</v>
      </c>
      <c r="K4505" s="2" t="str">
        <f>HYPERLINK("https://www.nba.com/stats/events?CFID=&amp;CFPARAMS=&amp;GameEventID=306&amp;GameID=0021600639&amp;Season=2016-17&amp;flag=1&amp;title=Leonard%203'%20Driving%20Finger%20Roll%20Layup%20(19%20PTS)", "Leonard 3' Driving Finger Roll Layup (19 PTS)")</f>
        <v>Leonard 3' Driving Finger Roll Layup (19 PTS)</v>
      </c>
      <c r="L4505" s="2" t="str">
        <f>HYPERLINK("https://www.nba.com/game/...-vs-...-0021600639/play-by-play?watchFullGame=true", "SAS vs DEN - Q3 08:22.00")</f>
        <v>SAS vs DEN - Q3 08:22.00</v>
      </c>
      <c r="M4505">
        <v>3</v>
      </c>
      <c r="N4505">
        <v>32</v>
      </c>
      <c r="O4505">
        <v>11</v>
      </c>
      <c r="P4505">
        <v>32</v>
      </c>
      <c r="Q4505">
        <v>11</v>
      </c>
      <c r="R4505" t="s">
        <v>21</v>
      </c>
      <c r="S4505" t="s">
        <v>21</v>
      </c>
    </row>
    <row r="4506" spans="1:19" hidden="1" x14ac:dyDescent="0.25">
      <c r="A4506">
        <v>21501177</v>
      </c>
      <c r="B4506" t="s">
        <v>18</v>
      </c>
      <c r="C4506" t="s">
        <v>31</v>
      </c>
      <c r="D4506">
        <v>6</v>
      </c>
      <c r="E4506">
        <v>5</v>
      </c>
      <c r="F4506">
        <v>1</v>
      </c>
      <c r="G4506">
        <v>1</v>
      </c>
      <c r="H4506" s="1">
        <v>5.8217592592592592E-3</v>
      </c>
      <c r="I4506">
        <v>2015</v>
      </c>
      <c r="J4506" t="s">
        <v>20</v>
      </c>
      <c r="K4506" s="2" t="str">
        <f>HYPERLINK("https://www.nba.com/stats/events?CFID=&amp;CFPARAMS=&amp;GameEventID=24&amp;GameID=0021501177&amp;Season=2015-16&amp;flag=1&amp;title=Leonard%203'%20Driving%20Hook%20Shot%20(2%20PTS)", "Leonard 3' Driving Hook Shot (2 PTS)")</f>
        <v>Leonard 3' Driving Hook Shot (2 PTS)</v>
      </c>
      <c r="L4506" s="2" t="str">
        <f>HYPERLINK("https://www.nba.com/game/...-vs-...-0021501177/play-by-play?watchFullGame=true", "SAS vs GSW - Q1 08:23.00")</f>
        <v>SAS vs GSW - Q1 08:23.00</v>
      </c>
      <c r="M4506">
        <v>3</v>
      </c>
      <c r="N4506">
        <v>25</v>
      </c>
      <c r="O4506">
        <v>23</v>
      </c>
      <c r="P4506">
        <v>25</v>
      </c>
      <c r="Q4506">
        <v>23</v>
      </c>
      <c r="R4506" t="s">
        <v>21</v>
      </c>
      <c r="S4506" t="s">
        <v>21</v>
      </c>
    </row>
    <row r="4507" spans="1:19" hidden="1" x14ac:dyDescent="0.25">
      <c r="A4507">
        <v>21500207</v>
      </c>
      <c r="B4507" t="s">
        <v>18</v>
      </c>
      <c r="C4507" t="s">
        <v>24</v>
      </c>
      <c r="D4507">
        <v>49</v>
      </c>
      <c r="E4507">
        <v>41</v>
      </c>
      <c r="F4507">
        <v>8</v>
      </c>
      <c r="G4507">
        <v>3</v>
      </c>
      <c r="H4507" s="1">
        <v>5.8333333333333336E-3</v>
      </c>
      <c r="I4507">
        <v>2015</v>
      </c>
      <c r="J4507" t="s">
        <v>20</v>
      </c>
      <c r="K4507" s="2" t="str">
        <f>HYPERLINK("https://www.nba.com/stats/events?CFID=&amp;CFPARAMS=&amp;GameEventID=274&amp;GameID=0021500207&amp;Season=2015-16&amp;flag=1&amp;title=Leonard%203'%20Layup%20(13%20PTS)", "Leonard 3' Layup (13 PTS)")</f>
        <v>Leonard 3' Layup (13 PTS)</v>
      </c>
      <c r="L4507" s="2" t="str">
        <f>HYPERLINK("https://www.nba.com/game/...-vs-...-0021500207/play-by-play?watchFullGame=true", "SAS vs PHX - Q3 08:24.00")</f>
        <v>SAS vs PHX - Q3 08:24.00</v>
      </c>
      <c r="M4507">
        <v>3</v>
      </c>
      <c r="N4507">
        <v>15</v>
      </c>
      <c r="O4507">
        <v>21</v>
      </c>
      <c r="P4507">
        <v>15</v>
      </c>
      <c r="Q4507">
        <v>21</v>
      </c>
      <c r="R4507" t="s">
        <v>21</v>
      </c>
      <c r="S4507" t="s">
        <v>21</v>
      </c>
    </row>
    <row r="4508" spans="1:19" hidden="1" x14ac:dyDescent="0.25">
      <c r="A4508">
        <v>21501177</v>
      </c>
      <c r="B4508" t="s">
        <v>18</v>
      </c>
      <c r="C4508" t="s">
        <v>47</v>
      </c>
      <c r="D4508">
        <v>21</v>
      </c>
      <c r="E4508">
        <v>31</v>
      </c>
      <c r="F4508">
        <v>10</v>
      </c>
      <c r="G4508">
        <v>2</v>
      </c>
      <c r="H4508" s="1">
        <v>5.8564814814814816E-3</v>
      </c>
      <c r="I4508">
        <v>2015</v>
      </c>
      <c r="J4508" t="s">
        <v>20</v>
      </c>
      <c r="K4508" s="2" t="str">
        <f>HYPERLINK("https://www.nba.com/stats/events?CFID=&amp;CFPARAMS=&amp;GameEventID=154&amp;GameID=0021501177&amp;Season=2015-16&amp;flag=1&amp;title=Leonard%203'%20Hook%20Shot%20(5%20PTS)%20(West%203%20AST)", "Leonard 3' Hook Shot (5 PTS) (West 3 AST)")</f>
        <v>Leonard 3' Hook Shot (5 PTS) (West 3 AST)</v>
      </c>
      <c r="L4508" s="2" t="str">
        <f>HYPERLINK("https://www.nba.com/game/...-vs-...-0021501177/play-by-play?watchFullGame=true", "SAS vs GSW - Q2 08:26.00")</f>
        <v>SAS vs GSW - Q2 08:26.00</v>
      </c>
      <c r="M4508">
        <v>3</v>
      </c>
      <c r="N4508">
        <v>-1</v>
      </c>
      <c r="O4508">
        <v>26</v>
      </c>
      <c r="P4508">
        <v>-1</v>
      </c>
      <c r="Q4508">
        <v>26</v>
      </c>
      <c r="R4508" t="s">
        <v>21</v>
      </c>
      <c r="S4508" t="s">
        <v>21</v>
      </c>
    </row>
    <row r="4509" spans="1:19" hidden="1" x14ac:dyDescent="0.25">
      <c r="A4509">
        <v>21301017</v>
      </c>
      <c r="B4509" t="s">
        <v>18</v>
      </c>
      <c r="C4509" t="s">
        <v>22</v>
      </c>
      <c r="D4509">
        <v>65</v>
      </c>
      <c r="E4509">
        <v>63</v>
      </c>
      <c r="F4509">
        <v>2</v>
      </c>
      <c r="G4509">
        <v>3</v>
      </c>
      <c r="H4509" s="1">
        <v>6.0069444444444441E-3</v>
      </c>
      <c r="I4509">
        <v>2013</v>
      </c>
      <c r="J4509" t="s">
        <v>20</v>
      </c>
      <c r="K4509" s="2" t="str">
        <f>HYPERLINK("https://www.nba.com/stats/events?CFID=&amp;CFPARAMS=&amp;GameEventID=274&amp;GameID=0021301017&amp;Season=2013-14&amp;flag=1&amp;title=Leonard%203'%20Driving%20Layup%20(11%20PTS)%20(Green%202%20AST)", "Leonard 3' Driving Layup (11 PTS) (Green 2 AST)")</f>
        <v>Leonard 3' Driving Layup (11 PTS) (Green 2 AST)</v>
      </c>
      <c r="L4509" s="2" t="str">
        <f>HYPERLINK("https://www.nba.com/game/...-vs-...-0021301017/play-by-play?watchFullGame=true", "SAS vs LAL - Q3 08:39.00")</f>
        <v>SAS vs LAL - Q3 08:39.00</v>
      </c>
      <c r="M4509">
        <v>3</v>
      </c>
      <c r="N4509">
        <v>0</v>
      </c>
      <c r="O4509">
        <v>33</v>
      </c>
      <c r="P4509">
        <v>0</v>
      </c>
      <c r="Q4509">
        <v>33</v>
      </c>
      <c r="R4509" t="s">
        <v>21</v>
      </c>
      <c r="S4509" t="s">
        <v>21</v>
      </c>
    </row>
    <row r="4510" spans="1:19" hidden="1" x14ac:dyDescent="0.25">
      <c r="A4510">
        <v>21800506</v>
      </c>
      <c r="B4510" t="s">
        <v>18</v>
      </c>
      <c r="C4510" t="s">
        <v>41</v>
      </c>
      <c r="D4510">
        <v>50</v>
      </c>
      <c r="E4510">
        <v>63</v>
      </c>
      <c r="F4510">
        <v>13</v>
      </c>
      <c r="G4510">
        <v>3</v>
      </c>
      <c r="H4510" s="1">
        <v>6.0648148148148145E-3</v>
      </c>
      <c r="I4510">
        <v>2018</v>
      </c>
      <c r="J4510" t="s">
        <v>48</v>
      </c>
      <c r="K4510" s="2" t="str">
        <f>HYPERLINK("https://www.nba.com/stats/events?CFID=&amp;CFPARAMS=&amp;GameEventID=347&amp;GameID=0021800506&amp;Season=2018-19&amp;flag=1&amp;title=Leonard%203'%20Tip%20Layup%20Shot%20(13%20PTS)", "Leonard 3' Tip Layup Shot (13 PTS)")</f>
        <v>Leonard 3' Tip Layup Shot (13 PTS)</v>
      </c>
      <c r="L4510" s="2" t="str">
        <f>HYPERLINK("https://www.nba.com/game/...-vs-...-0021800506/play-by-play?watchFullGame=true", "TOR vs MIA - Q3 08:44.00")</f>
        <v>TOR vs MIA - Q3 08:44.00</v>
      </c>
      <c r="M4510">
        <v>3</v>
      </c>
      <c r="N4510">
        <v>-26</v>
      </c>
      <c r="O4510">
        <v>19</v>
      </c>
      <c r="P4510">
        <v>-26</v>
      </c>
      <c r="Q4510">
        <v>19</v>
      </c>
      <c r="R4510" t="s">
        <v>21</v>
      </c>
      <c r="S4510" t="s">
        <v>21</v>
      </c>
    </row>
    <row r="4511" spans="1:19" hidden="1" x14ac:dyDescent="0.25">
      <c r="A4511">
        <v>21800100</v>
      </c>
      <c r="B4511" t="s">
        <v>18</v>
      </c>
      <c r="C4511" t="s">
        <v>42</v>
      </c>
      <c r="D4511">
        <v>6</v>
      </c>
      <c r="E4511">
        <v>9</v>
      </c>
      <c r="F4511">
        <v>3</v>
      </c>
      <c r="G4511">
        <v>1</v>
      </c>
      <c r="H4511" s="1">
        <v>6.2268518518518515E-3</v>
      </c>
      <c r="I4511">
        <v>2018</v>
      </c>
      <c r="J4511" t="s">
        <v>48</v>
      </c>
      <c r="K4511" s="2" t="str">
        <f>HYPERLINK("https://www.nba.com/stats/events?CFID=&amp;CFPARAMS=&amp;GameEventID=43&amp;GameID=0021800100&amp;Season=2018-19&amp;flag=1&amp;title=Leonard%203'%20Driving%20Floating%20Jump%20Shot%20(2%20PTS)", "Leonard 3' Driving Floating Jump Shot (2 PTS)")</f>
        <v>Leonard 3' Driving Floating Jump Shot (2 PTS)</v>
      </c>
      <c r="L4511" s="2" t="str">
        <f>HYPERLINK("https://www.nba.com/game/...-vs-...-0021800100/play-by-play?watchFullGame=true", "TOR vs PHI - Q1 08:58.00")</f>
        <v>TOR vs PHI - Q1 08:58.00</v>
      </c>
      <c r="M4511">
        <v>3</v>
      </c>
      <c r="N4511">
        <v>-11</v>
      </c>
      <c r="O4511">
        <v>25</v>
      </c>
      <c r="P4511">
        <v>-11</v>
      </c>
      <c r="Q4511">
        <v>25</v>
      </c>
      <c r="R4511" t="s">
        <v>21</v>
      </c>
      <c r="S4511" t="s">
        <v>21</v>
      </c>
    </row>
    <row r="4512" spans="1:19" hidden="1" x14ac:dyDescent="0.25">
      <c r="A4512">
        <v>21800388</v>
      </c>
      <c r="B4512" t="s">
        <v>18</v>
      </c>
      <c r="C4512" t="s">
        <v>49</v>
      </c>
      <c r="D4512">
        <v>7</v>
      </c>
      <c r="E4512">
        <v>10</v>
      </c>
      <c r="F4512">
        <v>3</v>
      </c>
      <c r="G4512">
        <v>1</v>
      </c>
      <c r="H4512" s="1">
        <v>6.6319444444444446E-3</v>
      </c>
      <c r="I4512">
        <v>2018</v>
      </c>
      <c r="J4512" t="s">
        <v>48</v>
      </c>
      <c r="K4512" s="2" t="str">
        <f>HYPERLINK("https://www.nba.com/stats/events?CFID=&amp;CFPARAMS=&amp;GameEventID=23&amp;GameID=0021800388&amp;Season=2018-19&amp;flag=1&amp;title=Leonard%203'%20Driving%20Floating%20Bank%20Jump%20Shot%20(4%20PTS)%20(Ibaka%202%20AST)", "Leonard 3' Driving Floating Bank Jump Shot (4 PTS) (Ibaka 2 AST)")</f>
        <v>Leonard 3' Driving Floating Bank Jump Shot (4 PTS) (Ibaka 2 AST)</v>
      </c>
      <c r="L4512" s="2" t="str">
        <f>HYPERLINK("https://www.nba.com/game/...-vs-...-0021800388/play-by-play?watchFullGame=true", "TOR vs MIL - Q1 09:33.00")</f>
        <v>TOR vs MIL - Q1 09:33.00</v>
      </c>
      <c r="M4512">
        <v>3</v>
      </c>
      <c r="N4512">
        <v>30</v>
      </c>
      <c r="O4512">
        <v>11</v>
      </c>
      <c r="P4512">
        <v>30</v>
      </c>
      <c r="Q4512">
        <v>11</v>
      </c>
      <c r="R4512" t="s">
        <v>21</v>
      </c>
      <c r="S4512" t="s">
        <v>21</v>
      </c>
    </row>
    <row r="4513" spans="1:19" hidden="1" x14ac:dyDescent="0.25">
      <c r="A4513">
        <v>21600077</v>
      </c>
      <c r="B4513" t="s">
        <v>18</v>
      </c>
      <c r="C4513" t="s">
        <v>22</v>
      </c>
      <c r="D4513">
        <v>59</v>
      </c>
      <c r="E4513">
        <v>50</v>
      </c>
      <c r="F4513">
        <v>9</v>
      </c>
      <c r="G4513">
        <v>3</v>
      </c>
      <c r="H4513" s="1">
        <v>6.6435185185185182E-3</v>
      </c>
      <c r="I4513">
        <v>2016</v>
      </c>
      <c r="J4513" t="s">
        <v>20</v>
      </c>
      <c r="K4513" s="2" t="str">
        <f>HYPERLINK("https://www.nba.com/stats/events?CFID=&amp;CFPARAMS=&amp;GameEventID=291&amp;GameID=0021600077&amp;Season=2016-17&amp;flag=1&amp;title=Leonard%203'%20Driving%20Layup%20(16%20PTS)", "Leonard 3' Driving Layup (16 PTS)")</f>
        <v>Leonard 3' Driving Layup (16 PTS)</v>
      </c>
      <c r="L4513" s="2" t="str">
        <f>HYPERLINK("https://www.nba.com/game/...-vs-...-0021600077/play-by-play?watchFullGame=true", "SAS vs UTA - Q3 09:34.00")</f>
        <v>SAS vs UTA - Q3 09:34.00</v>
      </c>
      <c r="M4513">
        <v>3</v>
      </c>
      <c r="N4513">
        <v>27</v>
      </c>
      <c r="O4513">
        <v>7</v>
      </c>
      <c r="P4513">
        <v>27</v>
      </c>
      <c r="Q4513">
        <v>7</v>
      </c>
      <c r="R4513" t="s">
        <v>21</v>
      </c>
      <c r="S4513" t="s">
        <v>21</v>
      </c>
    </row>
    <row r="4514" spans="1:19" hidden="1" x14ac:dyDescent="0.25">
      <c r="A4514">
        <v>21300100</v>
      </c>
      <c r="B4514" t="s">
        <v>18</v>
      </c>
      <c r="C4514" t="s">
        <v>73</v>
      </c>
      <c r="D4514">
        <v>61</v>
      </c>
      <c r="E4514">
        <v>40</v>
      </c>
      <c r="F4514">
        <v>21</v>
      </c>
      <c r="G4514">
        <v>3</v>
      </c>
      <c r="H4514" s="1">
        <v>7.0254629629629634E-3</v>
      </c>
      <c r="I4514">
        <v>2013</v>
      </c>
      <c r="J4514" t="s">
        <v>20</v>
      </c>
      <c r="K4514" s="2" t="str">
        <f>HYPERLINK("https://www.nba.com/stats/events?CFID=&amp;CFPARAMS=&amp;GameEventID=238&amp;GameID=0021300100&amp;Season=2013-14&amp;flag=1&amp;title=Leonard%203'%20Running%20Bank%20Shot%20(6%20PTS)%20(Parker%207%20AST)", "Leonard 3' Running Bank Shot (6 PTS) (Parker 7 AST)")</f>
        <v>Leonard 3' Running Bank Shot (6 PTS) (Parker 7 AST)</v>
      </c>
      <c r="L4514" s="2" t="str">
        <f>HYPERLINK("https://www.nba.com/game/...-vs-...-0021300100/play-by-play?watchFullGame=true", "SAS vs PHI - Q3 10:07.00")</f>
        <v>SAS vs PHI - Q3 10:07.00</v>
      </c>
      <c r="M4514">
        <v>3</v>
      </c>
      <c r="N4514">
        <v>-7</v>
      </c>
      <c r="O4514">
        <v>33</v>
      </c>
      <c r="P4514">
        <v>-7</v>
      </c>
      <c r="Q4514">
        <v>33</v>
      </c>
      <c r="R4514" t="s">
        <v>21</v>
      </c>
      <c r="S4514" t="s">
        <v>21</v>
      </c>
    </row>
    <row r="4515" spans="1:19" hidden="1" x14ac:dyDescent="0.25">
      <c r="A4515">
        <v>41800113</v>
      </c>
      <c r="B4515" t="s">
        <v>18</v>
      </c>
      <c r="C4515" t="s">
        <v>51</v>
      </c>
      <c r="D4515">
        <v>52</v>
      </c>
      <c r="E4515">
        <v>45</v>
      </c>
      <c r="F4515">
        <v>7</v>
      </c>
      <c r="G4515">
        <v>3</v>
      </c>
      <c r="H4515" s="1">
        <v>7.2916666666666668E-3</v>
      </c>
      <c r="I4515" t="s">
        <v>60</v>
      </c>
      <c r="J4515" t="s">
        <v>48</v>
      </c>
      <c r="K4515" s="2" t="str">
        <f>HYPERLINK("https://www.nba.com/stats/events?CFID=&amp;CFPARAMS=&amp;GameEventID=332&amp;GameID=0041800113&amp;Season=2018-19&amp;flag=1&amp;title=Leonard%203'%20Running%20Layup%20(10%20PTS)", "Leonard 3' Running Layup (10 PTS)")</f>
        <v>Leonard 3' Running Layup (10 PTS)</v>
      </c>
      <c r="L4515" s="2" t="str">
        <f>HYPERLINK("https://www.nba.com/game/...-vs-...-0041800113/play-by-play?watchFullGame=true", "TOR vs ORL - Q3 10:30.00")</f>
        <v>TOR vs ORL - Q3 10:30.00</v>
      </c>
      <c r="M4515">
        <v>3</v>
      </c>
      <c r="N4515">
        <v>0</v>
      </c>
      <c r="O4515">
        <v>26</v>
      </c>
      <c r="P4515">
        <v>0</v>
      </c>
      <c r="Q4515">
        <v>26</v>
      </c>
      <c r="R4515" t="s">
        <v>21</v>
      </c>
      <c r="S4515" t="s">
        <v>21</v>
      </c>
    </row>
    <row r="4516" spans="1:19" hidden="1" x14ac:dyDescent="0.25">
      <c r="A4516">
        <v>41200407</v>
      </c>
      <c r="B4516" t="s">
        <v>18</v>
      </c>
      <c r="C4516" t="s">
        <v>29</v>
      </c>
      <c r="D4516">
        <v>73</v>
      </c>
      <c r="E4516">
        <v>75</v>
      </c>
      <c r="F4516">
        <v>2</v>
      </c>
      <c r="G4516">
        <v>4</v>
      </c>
      <c r="H4516" s="1">
        <v>7.4999999999999997E-3</v>
      </c>
      <c r="I4516" t="s">
        <v>53</v>
      </c>
      <c r="J4516" t="s">
        <v>20</v>
      </c>
      <c r="K4516" s="2" t="str">
        <f>HYPERLINK("https://www.nba.com/stats/events?CFID=&amp;CFPARAMS=&amp;GameEventID=405&amp;GameID=0041200407&amp;Season=2012-13&amp;flag=1&amp;title=Leonard%203'%20Jump%20Bank%20Shot%20(16%20PTS)", "Leonard 3' Jump Bank Shot (16 PTS)")</f>
        <v>Leonard 3' Jump Bank Shot (16 PTS)</v>
      </c>
      <c r="L4516" s="2" t="str">
        <f>HYPERLINK("https://www.nba.com/game/...-vs-...-0041200407/play-by-play?watchFullGame=true", "SAS vs MIA - Q4 10:48.00")</f>
        <v>SAS vs MIA - Q4 10:48.00</v>
      </c>
      <c r="M4516">
        <v>3</v>
      </c>
      <c r="N4516">
        <v>20</v>
      </c>
      <c r="O4516">
        <v>23</v>
      </c>
      <c r="P4516">
        <v>20</v>
      </c>
      <c r="Q4516">
        <v>23</v>
      </c>
      <c r="R4516" t="s">
        <v>21</v>
      </c>
      <c r="S4516" t="s">
        <v>21</v>
      </c>
    </row>
    <row r="4517" spans="1:19" hidden="1" x14ac:dyDescent="0.25">
      <c r="A4517">
        <v>21401223</v>
      </c>
      <c r="B4517" t="s">
        <v>18</v>
      </c>
      <c r="C4517" t="s">
        <v>24</v>
      </c>
      <c r="D4517">
        <v>51</v>
      </c>
      <c r="E4517">
        <v>63</v>
      </c>
      <c r="F4517">
        <v>12</v>
      </c>
      <c r="G4517">
        <v>3</v>
      </c>
      <c r="H4517" s="1">
        <v>7.5694444444444446E-3</v>
      </c>
      <c r="I4517">
        <v>2014</v>
      </c>
      <c r="J4517" t="s">
        <v>20</v>
      </c>
      <c r="K4517" s="2" t="str">
        <f>HYPERLINK("https://www.nba.com/stats/events?CFID=&amp;CFPARAMS=&amp;GameEventID=225&amp;GameID=0021401223&amp;Season=2014-15&amp;flag=1&amp;title=Leonard%203'%20Layup%20(10%20PTS)%20(Duncan%205%20AST)", "Leonard 3' Layup (10 PTS) (Duncan 5 AST)")</f>
        <v>Leonard 3' Layup (10 PTS) (Duncan 5 AST)</v>
      </c>
      <c r="L4517" s="2" t="str">
        <f>HYPERLINK("https://www.nba.com/game/...-vs-...-0021401223/play-by-play?watchFullGame=true", "SAS vs NOP - Q3 10:54.00")</f>
        <v>SAS vs NOP - Q3 10:54.00</v>
      </c>
      <c r="M4517">
        <v>3</v>
      </c>
      <c r="N4517">
        <v>21</v>
      </c>
      <c r="O4517">
        <v>19</v>
      </c>
      <c r="P4517">
        <v>21</v>
      </c>
      <c r="Q4517">
        <v>19</v>
      </c>
      <c r="R4517" t="s">
        <v>21</v>
      </c>
      <c r="S4517" t="s">
        <v>21</v>
      </c>
    </row>
    <row r="4518" spans="1:19" hidden="1" x14ac:dyDescent="0.25">
      <c r="A4518">
        <v>41500153</v>
      </c>
      <c r="B4518" t="s">
        <v>18</v>
      </c>
      <c r="C4518" t="s">
        <v>32</v>
      </c>
      <c r="D4518">
        <v>4</v>
      </c>
      <c r="E4518">
        <v>2</v>
      </c>
      <c r="F4518">
        <v>2</v>
      </c>
      <c r="G4518">
        <v>1</v>
      </c>
      <c r="H4518" s="1">
        <v>7.5810185185185182E-3</v>
      </c>
      <c r="I4518" t="s">
        <v>57</v>
      </c>
      <c r="J4518" t="s">
        <v>20</v>
      </c>
      <c r="K4518" s="2" t="str">
        <f>HYPERLINK("https://www.nba.com/stats/events?CFID=&amp;CFPARAMS=&amp;GameEventID=8&amp;GameID=0041500153&amp;Season=2015-16&amp;flag=1&amp;title=Leonard%203'%20Alley%20Oop%20Layup%20(4%20PTS)%20(Duncan%201%20AST)", "Leonard 3' Alley Oop Layup (4 PTS) (Duncan 1 AST)")</f>
        <v>Leonard 3' Alley Oop Layup (4 PTS) (Duncan 1 AST)</v>
      </c>
      <c r="L4518" s="2" t="str">
        <f>HYPERLINK("https://www.nba.com/game/...-vs-...-0041500153/play-by-play?watchFullGame=true", "SAS vs MEM - Q1 10:55.00")</f>
        <v>SAS vs MEM - Q1 10:55.00</v>
      </c>
      <c r="M4518">
        <v>3</v>
      </c>
      <c r="N4518">
        <v>-30</v>
      </c>
      <c r="O4518">
        <v>-5</v>
      </c>
      <c r="P4518">
        <v>-30</v>
      </c>
      <c r="Q4518">
        <v>-5</v>
      </c>
      <c r="R4518" t="s">
        <v>21</v>
      </c>
      <c r="S4518" t="s">
        <v>21</v>
      </c>
    </row>
    <row r="4519" spans="1:19" hidden="1" x14ac:dyDescent="0.25">
      <c r="A4519">
        <v>21300082</v>
      </c>
      <c r="B4519" t="s">
        <v>18</v>
      </c>
      <c r="C4519" t="s">
        <v>19</v>
      </c>
      <c r="D4519">
        <v>44</v>
      </c>
      <c r="E4519">
        <v>35</v>
      </c>
      <c r="F4519">
        <v>9</v>
      </c>
      <c r="G4519">
        <v>3</v>
      </c>
      <c r="H4519" s="1">
        <v>7.6504629629629631E-3</v>
      </c>
      <c r="I4519">
        <v>2013</v>
      </c>
      <c r="J4519" t="s">
        <v>20</v>
      </c>
      <c r="K4519" s="2" t="str">
        <f>HYPERLINK("https://www.nba.com/stats/events?CFID=&amp;CFPARAMS=&amp;GameEventID=241&amp;GameID=0021300082&amp;Season=2013-14&amp;flag=1&amp;title=Leonard%203'%20Jump%20Shot%20(9%20PTS)%20(Duncan%203%20AST)", "Leonard 3' Jump Shot (9 PTS) (Duncan 3 AST)")</f>
        <v>Leonard 3' Jump Shot (9 PTS) (Duncan 3 AST)</v>
      </c>
      <c r="L4519" s="2" t="str">
        <f>HYPERLINK("https://www.nba.com/game/...-vs-...-0021300082/play-by-play?watchFullGame=true", "SAS vs GSW - Q3 11:01.00")</f>
        <v>SAS vs GSW - Q3 11:01.00</v>
      </c>
      <c r="M4519">
        <v>3</v>
      </c>
      <c r="N4519">
        <v>17</v>
      </c>
      <c r="O4519">
        <v>26</v>
      </c>
      <c r="P4519">
        <v>17</v>
      </c>
      <c r="Q4519">
        <v>26</v>
      </c>
      <c r="R4519" t="s">
        <v>21</v>
      </c>
      <c r="S4519" t="s">
        <v>21</v>
      </c>
    </row>
    <row r="4520" spans="1:19" hidden="1" x14ac:dyDescent="0.25">
      <c r="A4520">
        <v>21500860</v>
      </c>
      <c r="B4520" t="s">
        <v>18</v>
      </c>
      <c r="C4520" t="s">
        <v>27</v>
      </c>
      <c r="D4520">
        <v>2</v>
      </c>
      <c r="E4520">
        <v>0</v>
      </c>
      <c r="F4520">
        <v>2</v>
      </c>
      <c r="G4520">
        <v>1</v>
      </c>
      <c r="H4520" s="1">
        <v>7.8009259259259256E-3</v>
      </c>
      <c r="I4520">
        <v>2015</v>
      </c>
      <c r="J4520" t="s">
        <v>20</v>
      </c>
      <c r="K4520" s="2" t="str">
        <f>HYPERLINK("https://www.nba.com/stats/events?CFID=&amp;CFPARAMS=&amp;GameEventID=5&amp;GameID=0021500860&amp;Season=2015-16&amp;flag=1&amp;title=Leonard%203'%20Finger%20Roll%20Layup%20(2%20PTS)", "Leonard 3' Finger Roll Layup (2 PTS)")</f>
        <v>Leonard 3' Finger Roll Layup (2 PTS)</v>
      </c>
      <c r="L4520" s="2" t="str">
        <f>HYPERLINK("https://www.nba.com/game/...-vs-...-0021500860/play-by-play?watchFullGame=true", "SAS vs UTA - Q1 11:14.00")</f>
        <v>SAS vs UTA - Q1 11:14.00</v>
      </c>
      <c r="M4520">
        <v>3</v>
      </c>
      <c r="N4520">
        <v>33</v>
      </c>
      <c r="O4520">
        <v>-1</v>
      </c>
      <c r="P4520">
        <v>33</v>
      </c>
      <c r="Q4520">
        <v>-1</v>
      </c>
      <c r="R4520" t="s">
        <v>21</v>
      </c>
      <c r="S4520" t="s">
        <v>21</v>
      </c>
    </row>
    <row r="4521" spans="1:19" hidden="1" x14ac:dyDescent="0.25">
      <c r="A4521">
        <v>21501201</v>
      </c>
      <c r="B4521" t="s">
        <v>18</v>
      </c>
      <c r="C4521" t="s">
        <v>19</v>
      </c>
      <c r="D4521">
        <v>2</v>
      </c>
      <c r="E4521">
        <v>0</v>
      </c>
      <c r="F4521">
        <v>2</v>
      </c>
      <c r="G4521">
        <v>1</v>
      </c>
      <c r="H4521" s="1">
        <v>7.8240740740740736E-3</v>
      </c>
      <c r="I4521">
        <v>2015</v>
      </c>
      <c r="J4521" t="s">
        <v>20</v>
      </c>
      <c r="K4521" s="2" t="str">
        <f>HYPERLINK("https://www.nba.com/stats/events?CFID=&amp;CFPARAMS=&amp;GameEventID=4&amp;GameID=0021501201&amp;Season=2015-16&amp;flag=1&amp;title=Leonard%203'%20Jump%20Shot%20(2%20PTS)%20(Parker%201%20AST)", "Leonard 3' Jump Shot (2 PTS) (Parker 1 AST)")</f>
        <v>Leonard 3' Jump Shot (2 PTS) (Parker 1 AST)</v>
      </c>
      <c r="L4521" s="2" t="str">
        <f>HYPERLINK("https://www.nba.com/game/...-vs-...-0021501201/play-by-play?watchFullGame=true", "SAS vs GSW - Q1 11:16.00")</f>
        <v>SAS vs GSW - Q1 11:16.00</v>
      </c>
      <c r="M4521">
        <v>3</v>
      </c>
      <c r="N4521">
        <v>2</v>
      </c>
      <c r="O4521">
        <v>31</v>
      </c>
      <c r="P4521">
        <v>2</v>
      </c>
      <c r="Q4521">
        <v>31</v>
      </c>
      <c r="R4521" t="s">
        <v>21</v>
      </c>
      <c r="S4521" t="s">
        <v>21</v>
      </c>
    </row>
    <row r="4522" spans="1:19" hidden="1" x14ac:dyDescent="0.25">
      <c r="A4522">
        <v>21300094</v>
      </c>
      <c r="B4522" t="s">
        <v>18</v>
      </c>
      <c r="C4522" t="s">
        <v>22</v>
      </c>
      <c r="D4522">
        <v>37</v>
      </c>
      <c r="E4522">
        <v>19</v>
      </c>
      <c r="F4522">
        <v>18</v>
      </c>
      <c r="G4522">
        <v>2</v>
      </c>
      <c r="H4522" s="1">
        <v>7.8703703703703696E-3</v>
      </c>
      <c r="I4522">
        <v>2013</v>
      </c>
      <c r="J4522" t="s">
        <v>20</v>
      </c>
      <c r="K4522" s="2" t="str">
        <f>HYPERLINK("https://www.nba.com/stats/events?CFID=&amp;CFPARAMS=&amp;GameEventID=128&amp;GameID=0021300094&amp;Season=2013-14&amp;flag=1&amp;title=Leonard%203'%20Driving%20Layup%20(5%20PTS)", "Leonard 3' Driving Layup (5 PTS)")</f>
        <v>Leonard 3' Driving Layup (5 PTS)</v>
      </c>
      <c r="L4522" s="2" t="str">
        <f>HYPERLINK("https://www.nba.com/game/...-vs-...-0021300094/play-by-play?watchFullGame=true", "SAS vs NYK - Q2 11:20.00")</f>
        <v>SAS vs NYK - Q2 11:20.00</v>
      </c>
      <c r="M4522">
        <v>3</v>
      </c>
      <c r="N4522">
        <v>26</v>
      </c>
      <c r="O4522">
        <v>19</v>
      </c>
      <c r="P4522">
        <v>26</v>
      </c>
      <c r="Q4522">
        <v>19</v>
      </c>
      <c r="R4522" t="s">
        <v>21</v>
      </c>
      <c r="S4522" t="s">
        <v>21</v>
      </c>
    </row>
    <row r="4523" spans="1:19" hidden="1" x14ac:dyDescent="0.25">
      <c r="A4523">
        <v>21600037</v>
      </c>
      <c r="B4523" t="s">
        <v>18</v>
      </c>
      <c r="C4523" t="s">
        <v>24</v>
      </c>
      <c r="D4523">
        <v>79</v>
      </c>
      <c r="E4523">
        <v>74</v>
      </c>
      <c r="F4523">
        <v>5</v>
      </c>
      <c r="G4523">
        <v>4</v>
      </c>
      <c r="H4523" s="1">
        <v>7.9861111111111105E-3</v>
      </c>
      <c r="I4523">
        <v>2016</v>
      </c>
      <c r="J4523" t="s">
        <v>20</v>
      </c>
      <c r="K4523" s="2" t="str">
        <f>HYPERLINK("https://www.nba.com/stats/events?CFID=&amp;CFPARAMS=&amp;GameEventID=403&amp;GameID=0021600037&amp;Season=2016-17&amp;flag=1&amp;title=Leonard%203'%20Layup%20(13%20PTS)", "Leonard 3' Layup (13 PTS)")</f>
        <v>Leonard 3' Layup (13 PTS)</v>
      </c>
      <c r="L4523" s="2" t="str">
        <f>HYPERLINK("https://www.nba.com/game/...-vs-...-0021600037/play-by-play?watchFullGame=true", "SAS vs MIA - Q4 11:30.00")</f>
        <v>SAS vs MIA - Q4 11:30.00</v>
      </c>
      <c r="M4523">
        <v>3</v>
      </c>
      <c r="N4523">
        <v>24</v>
      </c>
      <c r="O4523">
        <v>16</v>
      </c>
      <c r="P4523">
        <v>24</v>
      </c>
      <c r="Q4523">
        <v>16</v>
      </c>
      <c r="R4523" t="s">
        <v>21</v>
      </c>
      <c r="S4523" t="s">
        <v>21</v>
      </c>
    </row>
    <row r="4524" spans="1:19" hidden="1" x14ac:dyDescent="0.25">
      <c r="A4524">
        <v>21300117</v>
      </c>
      <c r="B4524" t="s">
        <v>18</v>
      </c>
      <c r="C4524" t="s">
        <v>24</v>
      </c>
      <c r="D4524">
        <v>2</v>
      </c>
      <c r="E4524">
        <v>0</v>
      </c>
      <c r="F4524">
        <v>2</v>
      </c>
      <c r="G4524">
        <v>1</v>
      </c>
      <c r="H4524" s="1">
        <v>8.1250000000000003E-3</v>
      </c>
      <c r="I4524">
        <v>2013</v>
      </c>
      <c r="J4524" t="s">
        <v>20</v>
      </c>
      <c r="K4524" s="2" t="str">
        <f>HYPERLINK("https://www.nba.com/stats/events?CFID=&amp;CFPARAMS=&amp;GameEventID=2&amp;GameID=0021300117&amp;Season=2013-14&amp;flag=1&amp;title=Leonard%203'%20Layup%20(2%20PTS)%20(Duncan%201%20AST)", "Leonard 3' Layup (2 PTS) (Duncan 1 AST)")</f>
        <v>Leonard 3' Layup (2 PTS) (Duncan 1 AST)</v>
      </c>
      <c r="L4524" s="2" t="str">
        <f>HYPERLINK("https://www.nba.com/game/...-vs-...-0021300117/play-by-play?watchFullGame=true", "SAS vs WAS - Q1 11:42.00")</f>
        <v>SAS vs WAS - Q1 11:42.00</v>
      </c>
      <c r="M4524">
        <v>3</v>
      </c>
      <c r="N4524">
        <v>-19</v>
      </c>
      <c r="O4524">
        <v>20</v>
      </c>
      <c r="P4524">
        <v>-19</v>
      </c>
      <c r="Q4524">
        <v>20</v>
      </c>
      <c r="R4524" t="s">
        <v>21</v>
      </c>
      <c r="S4524" t="s">
        <v>21</v>
      </c>
    </row>
    <row r="4525" spans="1:19" hidden="1" x14ac:dyDescent="0.25">
      <c r="A4525">
        <v>21800359</v>
      </c>
      <c r="B4525" t="s">
        <v>18</v>
      </c>
      <c r="C4525" t="s">
        <v>50</v>
      </c>
      <c r="D4525">
        <v>103</v>
      </c>
      <c r="E4525">
        <v>88</v>
      </c>
      <c r="F4525">
        <v>15</v>
      </c>
      <c r="G4525">
        <v>4</v>
      </c>
      <c r="H4525" s="1">
        <v>2.7777777777777779E-3</v>
      </c>
      <c r="I4525">
        <v>2018</v>
      </c>
      <c r="J4525" t="s">
        <v>48</v>
      </c>
      <c r="K4525" s="2" t="str">
        <f>HYPERLINK("https://www.nba.com/stats/events?CFID=&amp;CFPARAMS=&amp;GameEventID=632&amp;GameID=0021800359&amp;Season=2018-19&amp;flag=1&amp;title=Leonard%201'%20Running%20Dunk%20(36%20PTS)", "Leonard 1' Running Dunk (36 PTS)")</f>
        <v>Leonard 1' Running Dunk (36 PTS)</v>
      </c>
      <c r="L4525" s="2" t="str">
        <f>HYPERLINK("https://www.nba.com/game/...-vs-...-0021800359/play-by-play?watchFullGame=true", "TOR vs PHI - Q4 04:00.00")</f>
        <v>TOR vs PHI - Q4 04:00.00</v>
      </c>
      <c r="M4525">
        <v>1</v>
      </c>
      <c r="N4525">
        <v>-10</v>
      </c>
      <c r="O4525">
        <v>1</v>
      </c>
      <c r="P4525">
        <v>-10</v>
      </c>
      <c r="Q4525">
        <v>1</v>
      </c>
      <c r="R4525" t="s">
        <v>21</v>
      </c>
      <c r="S4525" t="s">
        <v>21</v>
      </c>
    </row>
    <row r="4526" spans="1:19" hidden="1" x14ac:dyDescent="0.25">
      <c r="A4526">
        <v>41300311</v>
      </c>
      <c r="B4526" t="s">
        <v>18</v>
      </c>
      <c r="C4526" t="s">
        <v>23</v>
      </c>
      <c r="D4526">
        <v>56</v>
      </c>
      <c r="E4526">
        <v>46</v>
      </c>
      <c r="F4526">
        <v>10</v>
      </c>
      <c r="G4526">
        <v>2</v>
      </c>
      <c r="H4526" s="1">
        <v>3.0787037037037037E-3</v>
      </c>
      <c r="I4526" t="s">
        <v>55</v>
      </c>
      <c r="J4526" t="s">
        <v>20</v>
      </c>
      <c r="K4526" s="2" t="str">
        <f>HYPERLINK("https://www.nba.com/stats/events?CFID=&amp;CFPARAMS=&amp;GameEventID=191&amp;GameID=0041300311&amp;Season=2013-14&amp;flag=1&amp;title=Leonard%201'%20Dunk%20(9%20PTS)%20(Parker%205%20AST)", "Leonard 1' Dunk (9 PTS) (Parker 5 AST)")</f>
        <v>Leonard 1' Dunk (9 PTS) (Parker 5 AST)</v>
      </c>
      <c r="L4526" s="2" t="str">
        <f>HYPERLINK("https://www.nba.com/game/...-vs-...-0041300311/play-by-play?watchFullGame=true", "SAS vs OKC - Q2 04:26.00")</f>
        <v>SAS vs OKC - Q2 04:26.00</v>
      </c>
      <c r="M4526">
        <v>1</v>
      </c>
      <c r="N4526">
        <v>-10</v>
      </c>
      <c r="O4526">
        <v>9</v>
      </c>
      <c r="P4526">
        <v>-10</v>
      </c>
      <c r="Q4526">
        <v>9</v>
      </c>
      <c r="R4526" t="s">
        <v>21</v>
      </c>
      <c r="S4526" t="s">
        <v>21</v>
      </c>
    </row>
    <row r="4527" spans="1:19" hidden="1" x14ac:dyDescent="0.25">
      <c r="A4527">
        <v>21300229</v>
      </c>
      <c r="B4527" t="s">
        <v>18</v>
      </c>
      <c r="C4527" t="s">
        <v>23</v>
      </c>
      <c r="D4527">
        <v>16</v>
      </c>
      <c r="E4527">
        <v>15</v>
      </c>
      <c r="F4527">
        <v>1</v>
      </c>
      <c r="G4527">
        <v>1</v>
      </c>
      <c r="H4527" s="1">
        <v>4.0393518518518521E-3</v>
      </c>
      <c r="I4527">
        <v>2013</v>
      </c>
      <c r="J4527" t="s">
        <v>20</v>
      </c>
      <c r="K4527" s="2" t="str">
        <f>HYPERLINK("https://www.nba.com/stats/events?CFID=&amp;CFPARAMS=&amp;GameEventID=50&amp;GameID=0021300229&amp;Season=2013-14&amp;flag=1&amp;title=Leonard%201'%20Dunk%20(6%20PTS)%20(Ginobili%201%20AST)", "Leonard 1' Dunk (6 PTS) (Ginobili 1 AST)")</f>
        <v>Leonard 1' Dunk (6 PTS) (Ginobili 1 AST)</v>
      </c>
      <c r="L4527" s="2" t="str">
        <f>HYPERLINK("https://www.nba.com/game/...-vs-...-0021300229/play-by-play?watchFullGame=true", "SAS vs ORL - Q1 05:49.00")</f>
        <v>SAS vs ORL - Q1 05:49.00</v>
      </c>
      <c r="M4527">
        <v>1</v>
      </c>
      <c r="N4527">
        <v>-10</v>
      </c>
      <c r="O4527">
        <v>3</v>
      </c>
      <c r="P4527">
        <v>-10</v>
      </c>
      <c r="Q4527">
        <v>3</v>
      </c>
      <c r="R4527" t="s">
        <v>21</v>
      </c>
      <c r="S4527" t="s">
        <v>21</v>
      </c>
    </row>
    <row r="4528" spans="1:19" hidden="1" x14ac:dyDescent="0.25">
      <c r="A4528">
        <v>41800114</v>
      </c>
      <c r="B4528" t="s">
        <v>18</v>
      </c>
      <c r="C4528" t="s">
        <v>50</v>
      </c>
      <c r="D4528">
        <v>18</v>
      </c>
      <c r="E4528">
        <v>13</v>
      </c>
      <c r="F4528">
        <v>5</v>
      </c>
      <c r="G4528">
        <v>1</v>
      </c>
      <c r="H4528" s="1">
        <v>4.0625000000000001E-3</v>
      </c>
      <c r="I4528" t="s">
        <v>60</v>
      </c>
      <c r="J4528" t="s">
        <v>48</v>
      </c>
      <c r="K4528" s="2" t="str">
        <f>HYPERLINK("https://www.nba.com/stats/events?CFID=&amp;CFPARAMS=&amp;GameEventID=68&amp;GameID=0041800114&amp;Season=2018-19&amp;flag=1&amp;title=Leonard%202'%20Running%20Dunk%20(8%20PTS)%20(Gasol%201%20AST)", "Leonard 2' Running Dunk (8 PTS) (Gasol 1 AST)")</f>
        <v>Leonard 2' Running Dunk (8 PTS) (Gasol 1 AST)</v>
      </c>
      <c r="L4528" s="2" t="str">
        <f>HYPERLINK("https://www.nba.com/game/...-vs-...-0041800114/play-by-play?watchFullGame=true", "TOR vs ORL - Q1 05:51.00")</f>
        <v>TOR vs ORL - Q1 05:51.00</v>
      </c>
      <c r="M4528">
        <v>2</v>
      </c>
      <c r="N4528">
        <v>-9</v>
      </c>
      <c r="O4528">
        <v>17</v>
      </c>
      <c r="P4528">
        <v>-9</v>
      </c>
      <c r="Q4528">
        <v>17</v>
      </c>
      <c r="R4528" t="s">
        <v>21</v>
      </c>
      <c r="S4528" t="s">
        <v>21</v>
      </c>
    </row>
    <row r="4529" spans="1:19" hidden="1" x14ac:dyDescent="0.25">
      <c r="A4529">
        <v>21801169</v>
      </c>
      <c r="B4529" t="s">
        <v>18</v>
      </c>
      <c r="C4529" t="s">
        <v>25</v>
      </c>
      <c r="D4529">
        <v>81</v>
      </c>
      <c r="E4529">
        <v>69</v>
      </c>
      <c r="F4529">
        <v>12</v>
      </c>
      <c r="G4529">
        <v>3</v>
      </c>
      <c r="H4529" s="1">
        <v>3.0208333333333333E-3</v>
      </c>
      <c r="I4529">
        <v>2018</v>
      </c>
      <c r="J4529" t="s">
        <v>48</v>
      </c>
      <c r="K4529" s="2" t="str">
        <f>HYPERLINK("https://www.nba.com/stats/events?CFID=&amp;CFPARAMS=&amp;GameEventID=415&amp;GameID=0021801169&amp;Season=2018-19&amp;flag=1&amp;title=Leonard%201'%20Driving%20Dunk%20(24%20PTS)", "Leonard 1' Driving Dunk (24 PTS)")</f>
        <v>Leonard 1' Driving Dunk (24 PTS)</v>
      </c>
      <c r="L4529" s="2" t="str">
        <f>HYPERLINK("https://www.nba.com/game/...-vs-...-0021801169/play-by-play?watchFullGame=true", "TOR vs BKN - Q3 04:21.00")</f>
        <v>TOR vs BKN - Q3 04:21.00</v>
      </c>
      <c r="M4529">
        <v>1</v>
      </c>
      <c r="N4529">
        <v>-9</v>
      </c>
      <c r="O4529">
        <v>11</v>
      </c>
      <c r="P4529">
        <v>-9</v>
      </c>
      <c r="Q4529">
        <v>11</v>
      </c>
      <c r="R4529" t="s">
        <v>21</v>
      </c>
      <c r="S4529" t="s">
        <v>21</v>
      </c>
    </row>
    <row r="4530" spans="1:19" hidden="1" x14ac:dyDescent="0.25">
      <c r="A4530">
        <v>21800459</v>
      </c>
      <c r="B4530" t="s">
        <v>18</v>
      </c>
      <c r="C4530" t="s">
        <v>25</v>
      </c>
      <c r="D4530">
        <v>85</v>
      </c>
      <c r="E4530">
        <v>90</v>
      </c>
      <c r="F4530">
        <v>5</v>
      </c>
      <c r="G4530">
        <v>4</v>
      </c>
      <c r="H4530" s="1">
        <v>4.0972222222222226E-3</v>
      </c>
      <c r="I4530">
        <v>2018</v>
      </c>
      <c r="J4530" t="s">
        <v>48</v>
      </c>
      <c r="K4530" s="2" t="str">
        <f>HYPERLINK("https://www.nba.com/stats/events?CFID=&amp;CFPARAMS=&amp;GameEventID=595&amp;GameID=0021800459&amp;Season=2018-19&amp;flag=1&amp;title=Leonard%201'%20Driving%20Dunk%20(24%20PTS)", "Leonard 1' Driving Dunk (24 PTS)")</f>
        <v>Leonard 1' Driving Dunk (24 PTS)</v>
      </c>
      <c r="L4530" s="2" t="str">
        <f>HYPERLINK("https://www.nba.com/game/...-vs-...-0021800459/play-by-play?watchFullGame=true", "TOR vs IND - Q4 05:54.00")</f>
        <v>TOR vs IND - Q4 05:54.00</v>
      </c>
      <c r="M4530">
        <v>1</v>
      </c>
      <c r="N4530">
        <v>-9</v>
      </c>
      <c r="O4530">
        <v>6</v>
      </c>
      <c r="P4530">
        <v>-9</v>
      </c>
      <c r="Q4530">
        <v>6</v>
      </c>
      <c r="R4530" t="s">
        <v>21</v>
      </c>
      <c r="S4530" t="s">
        <v>21</v>
      </c>
    </row>
    <row r="4531" spans="1:19" hidden="1" x14ac:dyDescent="0.25">
      <c r="A4531">
        <v>21800639</v>
      </c>
      <c r="B4531" t="s">
        <v>18</v>
      </c>
      <c r="C4531" t="s">
        <v>50</v>
      </c>
      <c r="D4531">
        <v>76</v>
      </c>
      <c r="E4531">
        <v>58</v>
      </c>
      <c r="F4531">
        <v>18</v>
      </c>
      <c r="G4531">
        <v>3</v>
      </c>
      <c r="H4531" s="1">
        <v>4.7569444444444447E-3</v>
      </c>
      <c r="I4531">
        <v>2018</v>
      </c>
      <c r="J4531" t="s">
        <v>48</v>
      </c>
      <c r="K4531" s="2" t="str">
        <f>HYPERLINK("https://www.nba.com/stats/events?CFID=&amp;CFPARAMS=&amp;GameEventID=422&amp;GameID=0021800639&amp;Season=2018-19&amp;flag=1&amp;title=Leonard%201'%20Running%20Dunk%20(18%20PTS)", "Leonard 1' Running Dunk (18 PTS)")</f>
        <v>Leonard 1' Running Dunk (18 PTS)</v>
      </c>
      <c r="L4531" s="2" t="str">
        <f>HYPERLINK("https://www.nba.com/game/...-vs-...-0021800639/play-by-play?watchFullGame=true", "TOR vs WAS - Q3 06:51.00")</f>
        <v>TOR vs WAS - Q3 06:51.00</v>
      </c>
      <c r="M4531">
        <v>1</v>
      </c>
      <c r="N4531">
        <v>-9</v>
      </c>
      <c r="O4531">
        <v>4</v>
      </c>
      <c r="P4531">
        <v>-9</v>
      </c>
      <c r="Q4531">
        <v>4</v>
      </c>
      <c r="R4531" t="s">
        <v>21</v>
      </c>
      <c r="S4531" t="s">
        <v>21</v>
      </c>
    </row>
    <row r="4532" spans="1:19" hidden="1" x14ac:dyDescent="0.25">
      <c r="A4532">
        <v>41800216</v>
      </c>
      <c r="B4532" t="s">
        <v>18</v>
      </c>
      <c r="C4532" t="s">
        <v>25</v>
      </c>
      <c r="D4532">
        <v>58</v>
      </c>
      <c r="E4532">
        <v>69</v>
      </c>
      <c r="F4532">
        <v>11</v>
      </c>
      <c r="G4532">
        <v>3</v>
      </c>
      <c r="H4532" s="1">
        <v>4.2708333333333331E-3</v>
      </c>
      <c r="I4532" t="s">
        <v>60</v>
      </c>
      <c r="J4532" t="s">
        <v>48</v>
      </c>
      <c r="K4532" s="2" t="str">
        <f>HYPERLINK("https://www.nba.com/stats/events?CFID=&amp;CFPARAMS=&amp;GameEventID=387&amp;GameID=0041800216&amp;Season=2018-19&amp;flag=1&amp;title=Leonard%202'%20Driving%20Dunk%20(20%20PTS)", "Leonard 2' Driving Dunk (20 PTS)")</f>
        <v>Leonard 2' Driving Dunk (20 PTS)</v>
      </c>
      <c r="L4532" s="2" t="str">
        <f>HYPERLINK("https://www.nba.com/game/...-vs-...-0041800216/play-by-play?watchFullGame=true", "TOR vs PHI - Q3 06:09.00")</f>
        <v>TOR vs PHI - Q3 06:09.00</v>
      </c>
      <c r="M4532">
        <v>2</v>
      </c>
      <c r="N4532">
        <v>-8</v>
      </c>
      <c r="O4532">
        <v>17</v>
      </c>
      <c r="P4532">
        <v>-8</v>
      </c>
      <c r="Q4532">
        <v>17</v>
      </c>
      <c r="R4532" t="s">
        <v>21</v>
      </c>
      <c r="S4532" t="s">
        <v>21</v>
      </c>
    </row>
    <row r="4533" spans="1:19" hidden="1" x14ac:dyDescent="0.25">
      <c r="A4533">
        <v>21301017</v>
      </c>
      <c r="B4533" t="s">
        <v>18</v>
      </c>
      <c r="C4533" t="s">
        <v>23</v>
      </c>
      <c r="D4533">
        <v>4</v>
      </c>
      <c r="E4533">
        <v>2</v>
      </c>
      <c r="F4533">
        <v>2</v>
      </c>
      <c r="G4533">
        <v>1</v>
      </c>
      <c r="H4533" s="1">
        <v>7.8935185185185185E-3</v>
      </c>
      <c r="I4533">
        <v>2013</v>
      </c>
      <c r="J4533" t="s">
        <v>20</v>
      </c>
      <c r="K4533" s="2" t="str">
        <f>HYPERLINK("https://www.nba.com/stats/events?CFID=&amp;CFPARAMS=&amp;GameEventID=4&amp;GameID=0021301017&amp;Season=2013-14&amp;flag=1&amp;title=Leonard%202'%20Dunk%20(2%20PTS)%20(Duncan%202%20AST)", "Leonard 2' Dunk (2 PTS) (Duncan 2 AST)")</f>
        <v>Leonard 2' Dunk (2 PTS) (Duncan 2 AST)</v>
      </c>
      <c r="L4533" s="2" t="str">
        <f>HYPERLINK("https://www.nba.com/game/...-vs-...-0021301017/play-by-play?watchFullGame=true", "SAS vs LAL - Q1 11:22.00")</f>
        <v>SAS vs LAL - Q1 11:22.00</v>
      </c>
      <c r="M4533">
        <v>2</v>
      </c>
      <c r="N4533">
        <v>-8</v>
      </c>
      <c r="O4533">
        <v>15</v>
      </c>
      <c r="P4533">
        <v>-8</v>
      </c>
      <c r="Q4533">
        <v>15</v>
      </c>
      <c r="R4533" t="s">
        <v>21</v>
      </c>
      <c r="S4533" t="s">
        <v>21</v>
      </c>
    </row>
    <row r="4534" spans="1:19" hidden="1" x14ac:dyDescent="0.25">
      <c r="A4534">
        <v>21300117</v>
      </c>
      <c r="B4534" t="s">
        <v>18</v>
      </c>
      <c r="C4534" t="s">
        <v>23</v>
      </c>
      <c r="D4534">
        <v>52</v>
      </c>
      <c r="E4534">
        <v>40</v>
      </c>
      <c r="F4534">
        <v>12</v>
      </c>
      <c r="G4534">
        <v>2</v>
      </c>
      <c r="H4534" s="1">
        <v>2.3726851851851852E-4</v>
      </c>
      <c r="I4534">
        <v>2013</v>
      </c>
      <c r="J4534" t="s">
        <v>20</v>
      </c>
      <c r="K4534" s="2" t="str">
        <f>HYPERLINK("https://www.nba.com/stats/events?CFID=&amp;CFPARAMS=&amp;GameEventID=229&amp;GameID=0021300117&amp;Season=2013-14&amp;flag=1&amp;title=Leonard%201'%20Dunk%20(11%20PTS)%20(Parker%201%20AST)", "Leonard 1' Dunk (11 PTS) (Parker 1 AST)")</f>
        <v>Leonard 1' Dunk (11 PTS) (Parker 1 AST)</v>
      </c>
      <c r="L4534" s="2" t="str">
        <f>HYPERLINK("https://www.nba.com/game/...-vs-...-0021300117/play-by-play?watchFullGame=true", "SAS vs WAS - Q2 00:20.50")</f>
        <v>SAS vs WAS - Q2 00:20.50</v>
      </c>
      <c r="M4534">
        <v>1</v>
      </c>
      <c r="N4534">
        <v>-8</v>
      </c>
      <c r="O4534">
        <v>-3</v>
      </c>
      <c r="P4534">
        <v>-8</v>
      </c>
      <c r="Q4534">
        <v>-3</v>
      </c>
      <c r="R4534" t="s">
        <v>21</v>
      </c>
      <c r="S4534" t="s">
        <v>21</v>
      </c>
    </row>
    <row r="4535" spans="1:19" hidden="1" x14ac:dyDescent="0.25">
      <c r="A4535">
        <v>21300425</v>
      </c>
      <c r="B4535" t="s">
        <v>18</v>
      </c>
      <c r="C4535" t="s">
        <v>23</v>
      </c>
      <c r="D4535">
        <v>14</v>
      </c>
      <c r="E4535">
        <v>12</v>
      </c>
      <c r="F4535">
        <v>2</v>
      </c>
      <c r="G4535">
        <v>1</v>
      </c>
      <c r="H4535" s="1">
        <v>4.0509259259259257E-3</v>
      </c>
      <c r="I4535">
        <v>2013</v>
      </c>
      <c r="J4535" t="s">
        <v>20</v>
      </c>
      <c r="K4535" s="2" t="str">
        <f>HYPERLINK("https://www.nba.com/stats/events?CFID=&amp;CFPARAMS=&amp;GameEventID=49&amp;GameID=0021300425&amp;Season=2013-14&amp;flag=1&amp;title=Leonard%201'%20Dunk%20(2%20PTS)", "Leonard 1' Dunk (2 PTS)")</f>
        <v>Leonard 1' Dunk (2 PTS)</v>
      </c>
      <c r="L4535" s="2" t="str">
        <f>HYPERLINK("https://www.nba.com/game/...-vs-...-0021300425/play-by-play?watchFullGame=true", "SAS vs DAL - Q1 05:50.00")</f>
        <v>SAS vs DAL - Q1 05:50.00</v>
      </c>
      <c r="M4535">
        <v>1</v>
      </c>
      <c r="N4535">
        <v>-8</v>
      </c>
      <c r="O4535">
        <v>1</v>
      </c>
      <c r="P4535">
        <v>-8</v>
      </c>
      <c r="Q4535">
        <v>1</v>
      </c>
      <c r="R4535" t="s">
        <v>21</v>
      </c>
      <c r="S4535" t="s">
        <v>21</v>
      </c>
    </row>
    <row r="4536" spans="1:19" hidden="1" x14ac:dyDescent="0.25">
      <c r="A4536">
        <v>21300208</v>
      </c>
      <c r="B4536" t="s">
        <v>18</v>
      </c>
      <c r="C4536" t="s">
        <v>23</v>
      </c>
      <c r="D4536">
        <v>68</v>
      </c>
      <c r="E4536">
        <v>42</v>
      </c>
      <c r="F4536">
        <v>26</v>
      </c>
      <c r="G4536">
        <v>3</v>
      </c>
      <c r="H4536" s="1">
        <v>5.6134259259259262E-3</v>
      </c>
      <c r="I4536">
        <v>2013</v>
      </c>
      <c r="J4536" t="s">
        <v>20</v>
      </c>
      <c r="K4536" s="2" t="str">
        <f>HYPERLINK("https://www.nba.com/stats/events?CFID=&amp;CFPARAMS=&amp;GameEventID=312&amp;GameID=0021300208&amp;Season=2013-14&amp;flag=1&amp;title=Leonard%201'%20Dunk%20(7%20PTS)", "Leonard 1' Dunk (7 PTS)")</f>
        <v>Leonard 1' Dunk (7 PTS)</v>
      </c>
      <c r="L4536" s="2" t="str">
        <f>HYPERLINK("https://www.nba.com/game/...-vs-...-0021300208/play-by-play?watchFullGame=true", "SAS vs NOP - Q3 08:05.00")</f>
        <v>SAS vs NOP - Q3 08:05.00</v>
      </c>
      <c r="M4536">
        <v>1</v>
      </c>
      <c r="N4536">
        <v>-8</v>
      </c>
      <c r="O4536">
        <v>4</v>
      </c>
      <c r="P4536">
        <v>-8</v>
      </c>
      <c r="Q4536">
        <v>4</v>
      </c>
      <c r="R4536" t="s">
        <v>21</v>
      </c>
      <c r="S4536" t="s">
        <v>21</v>
      </c>
    </row>
    <row r="4537" spans="1:19" hidden="1" x14ac:dyDescent="0.25">
      <c r="A4537">
        <v>21300275</v>
      </c>
      <c r="B4537" t="s">
        <v>18</v>
      </c>
      <c r="C4537" t="s">
        <v>25</v>
      </c>
      <c r="D4537">
        <v>72</v>
      </c>
      <c r="E4537">
        <v>89</v>
      </c>
      <c r="F4537">
        <v>17</v>
      </c>
      <c r="G4537">
        <v>4</v>
      </c>
      <c r="H4537" s="1">
        <v>5.7754629629629631E-3</v>
      </c>
      <c r="I4537">
        <v>2013</v>
      </c>
      <c r="J4537" t="s">
        <v>20</v>
      </c>
      <c r="K4537" s="2" t="str">
        <f>HYPERLINK("https://www.nba.com/stats/events?CFID=&amp;CFPARAMS=&amp;GameEventID=446&amp;GameID=0021300275&amp;Season=2013-14&amp;flag=1&amp;title=Leonard%201'%20Driving%20Dunk%20(8%20PTS)%20(Bonner%201%20AST)", "Leonard 1' Driving Dunk (8 PTS) (Bonner 1 AST)")</f>
        <v>Leonard 1' Driving Dunk (8 PTS) (Bonner 1 AST)</v>
      </c>
      <c r="L4537" s="2" t="str">
        <f>HYPERLINK("https://www.nba.com/game/...-vs-...-0021300275/play-by-play?watchFullGame=true", "SAS vs MIN - Q4 08:19.00")</f>
        <v>SAS vs MIN - Q4 08:19.00</v>
      </c>
      <c r="M4537">
        <v>1</v>
      </c>
      <c r="N4537">
        <v>-8</v>
      </c>
      <c r="O4537">
        <v>-8</v>
      </c>
      <c r="P4537">
        <v>-8</v>
      </c>
      <c r="Q4537">
        <v>-8</v>
      </c>
      <c r="R4537" t="s">
        <v>21</v>
      </c>
      <c r="S4537" t="s">
        <v>21</v>
      </c>
    </row>
    <row r="4538" spans="1:19" hidden="1" x14ac:dyDescent="0.25">
      <c r="A4538">
        <v>21800206</v>
      </c>
      <c r="B4538" t="s">
        <v>18</v>
      </c>
      <c r="C4538" t="s">
        <v>50</v>
      </c>
      <c r="D4538">
        <v>60</v>
      </c>
      <c r="E4538">
        <v>49</v>
      </c>
      <c r="F4538">
        <v>11</v>
      </c>
      <c r="G4538">
        <v>2</v>
      </c>
      <c r="H4538" s="1">
        <v>7.8703703703703705E-4</v>
      </c>
      <c r="I4538">
        <v>2018</v>
      </c>
      <c r="J4538" t="s">
        <v>48</v>
      </c>
      <c r="K4538" s="2" t="str">
        <f>HYPERLINK("https://www.nba.com/stats/events?CFID=&amp;CFPARAMS=&amp;GameEventID=314&amp;GameID=0021800206&amp;Season=2018-19&amp;flag=1&amp;title=Leonard%201'%20Running%20Dunk%20(16%20PTS)%20(Green%201%20AST)", "Leonard 1' Running Dunk (16 PTS) (Green 1 AST)")</f>
        <v>Leonard 1' Running Dunk (16 PTS) (Green 1 AST)</v>
      </c>
      <c r="L4538" s="2" t="str">
        <f>HYPERLINK("https://www.nba.com/game/...-vs-...-0021800206/play-by-play?watchFullGame=true", "TOR vs DET - Q2 01:08.00")</f>
        <v>TOR vs DET - Q2 01:08.00</v>
      </c>
      <c r="M4538">
        <v>1</v>
      </c>
      <c r="N4538">
        <v>-7</v>
      </c>
      <c r="O4538">
        <v>6</v>
      </c>
      <c r="P4538">
        <v>-7</v>
      </c>
      <c r="Q4538">
        <v>6</v>
      </c>
      <c r="R4538" t="s">
        <v>21</v>
      </c>
      <c r="S4538" t="s">
        <v>21</v>
      </c>
    </row>
    <row r="4539" spans="1:19" hidden="1" x14ac:dyDescent="0.25">
      <c r="A4539">
        <v>21800371</v>
      </c>
      <c r="B4539" t="s">
        <v>18</v>
      </c>
      <c r="C4539" t="s">
        <v>25</v>
      </c>
      <c r="D4539">
        <v>100</v>
      </c>
      <c r="E4539">
        <v>102</v>
      </c>
      <c r="F4539">
        <v>2</v>
      </c>
      <c r="G4539">
        <v>5</v>
      </c>
      <c r="H4539" s="1">
        <v>2.7777777777777779E-3</v>
      </c>
      <c r="I4539">
        <v>2018</v>
      </c>
      <c r="J4539" t="s">
        <v>48</v>
      </c>
      <c r="K4539" s="2" t="str">
        <f>HYPERLINK("https://www.nba.com/stats/events?CFID=&amp;CFPARAMS=&amp;GameEventID=671&amp;GameID=0021800371&amp;Season=2018-19&amp;flag=1&amp;title=Leonard%201'%20Driving%20Dunk%20(27%20PTS)%20(Lowry%2011%20AST)", "Leonard 1' Driving Dunk (27 PTS) (Lowry 11 AST)")</f>
        <v>Leonard 1' Driving Dunk (27 PTS) (Lowry 11 AST)</v>
      </c>
      <c r="L4539" s="2" t="str">
        <f>HYPERLINK("https://www.nba.com/game/...-vs-...-0021800371/play-by-play?watchFullGame=true", "TOR vs BKN - Q5 04:00.00")</f>
        <v>TOR vs BKN - Q5 04:00.00</v>
      </c>
      <c r="M4539">
        <v>1</v>
      </c>
      <c r="N4539">
        <v>-7</v>
      </c>
      <c r="O4539">
        <v>7</v>
      </c>
      <c r="P4539">
        <v>-7</v>
      </c>
      <c r="Q4539">
        <v>7</v>
      </c>
      <c r="R4539" t="s">
        <v>21</v>
      </c>
      <c r="S4539" t="s">
        <v>21</v>
      </c>
    </row>
    <row r="4540" spans="1:19" hidden="1" x14ac:dyDescent="0.25">
      <c r="A4540">
        <v>21300224</v>
      </c>
      <c r="B4540" t="s">
        <v>18</v>
      </c>
      <c r="C4540" t="s">
        <v>23</v>
      </c>
      <c r="D4540">
        <v>36</v>
      </c>
      <c r="E4540">
        <v>34</v>
      </c>
      <c r="F4540">
        <v>2</v>
      </c>
      <c r="G4540">
        <v>2</v>
      </c>
      <c r="H4540" s="1">
        <v>3.3217592592592591E-3</v>
      </c>
      <c r="I4540">
        <v>2013</v>
      </c>
      <c r="J4540" t="s">
        <v>20</v>
      </c>
      <c r="K4540" s="2" t="str">
        <f>HYPERLINK("https://www.nba.com/stats/events?CFID=&amp;CFPARAMS=&amp;GameEventID=181&amp;GameID=0021300224&amp;Season=2013-14&amp;flag=1&amp;title=Leonard%201'%20Dunk%20(9%20PTS)%20(Belinelli%202%20AST)", "Leonard 1' Dunk (9 PTS) (Belinelli 2 AST)")</f>
        <v>Leonard 1' Dunk (9 PTS) (Belinelli 2 AST)</v>
      </c>
      <c r="L4540" s="2" t="str">
        <f>HYPERLINK("https://www.nba.com/game/...-vs-...-0021300224/play-by-play?watchFullGame=true", "SAS vs OKC - Q2 04:47.00")</f>
        <v>SAS vs OKC - Q2 04:47.00</v>
      </c>
      <c r="M4540">
        <v>1</v>
      </c>
      <c r="N4540">
        <v>-7</v>
      </c>
      <c r="O4540">
        <v>4</v>
      </c>
      <c r="P4540">
        <v>-7</v>
      </c>
      <c r="Q4540">
        <v>4</v>
      </c>
      <c r="R4540" t="s">
        <v>21</v>
      </c>
      <c r="S4540" t="s">
        <v>21</v>
      </c>
    </row>
    <row r="4541" spans="1:19" hidden="1" x14ac:dyDescent="0.25">
      <c r="A4541">
        <v>21300275</v>
      </c>
      <c r="B4541" t="s">
        <v>18</v>
      </c>
      <c r="C4541" t="s">
        <v>23</v>
      </c>
      <c r="D4541">
        <v>8</v>
      </c>
      <c r="E4541">
        <v>9</v>
      </c>
      <c r="F4541">
        <v>1</v>
      </c>
      <c r="G4541">
        <v>1</v>
      </c>
      <c r="H4541" s="1">
        <v>5.4398148148148149E-3</v>
      </c>
      <c r="I4541">
        <v>2013</v>
      </c>
      <c r="J4541" t="s">
        <v>20</v>
      </c>
      <c r="K4541" s="2" t="str">
        <f>HYPERLINK("https://www.nba.com/stats/events?CFID=&amp;CFPARAMS=&amp;GameEventID=33&amp;GameID=0021300275&amp;Season=2013-14&amp;flag=1&amp;title=Leonard%201'%20Dunk%20(2%20PTS)%20(Diaw%202%20AST)", "Leonard 1' Dunk (2 PTS) (Diaw 2 AST)")</f>
        <v>Leonard 1' Dunk (2 PTS) (Diaw 2 AST)</v>
      </c>
      <c r="L4541" s="2" t="str">
        <f>HYPERLINK("https://www.nba.com/game/...-vs-...-0021300275/play-by-play?watchFullGame=true", "SAS vs MIN - Q1 07:50.00")</f>
        <v>SAS vs MIN - Q1 07:50.00</v>
      </c>
      <c r="M4541">
        <v>1</v>
      </c>
      <c r="N4541">
        <v>-7</v>
      </c>
      <c r="O4541">
        <v>6</v>
      </c>
      <c r="P4541">
        <v>-7</v>
      </c>
      <c r="Q4541">
        <v>6</v>
      </c>
      <c r="R4541" t="s">
        <v>21</v>
      </c>
      <c r="S4541" t="s">
        <v>21</v>
      </c>
    </row>
    <row r="4542" spans="1:19" hidden="1" x14ac:dyDescent="0.25">
      <c r="A4542">
        <v>21300932</v>
      </c>
      <c r="B4542" t="s">
        <v>18</v>
      </c>
      <c r="C4542" t="s">
        <v>23</v>
      </c>
      <c r="D4542">
        <v>39</v>
      </c>
      <c r="E4542">
        <v>37</v>
      </c>
      <c r="F4542">
        <v>2</v>
      </c>
      <c r="G4542">
        <v>2</v>
      </c>
      <c r="H4542" s="1">
        <v>5.7175925925925927E-3</v>
      </c>
      <c r="I4542">
        <v>2013</v>
      </c>
      <c r="J4542" t="s">
        <v>20</v>
      </c>
      <c r="K4542" s="2" t="str">
        <f>HYPERLINK("https://www.nba.com/stats/events?CFID=&amp;CFPARAMS=&amp;GameEventID=153&amp;GameID=0021300932&amp;Season=2013-14&amp;flag=1&amp;title=Leonard%201'%20Dunk%20(5%20PTS)%20(Diaw%201%20AST)", "Leonard 1' Dunk (5 PTS) (Diaw 1 AST)")</f>
        <v>Leonard 1' Dunk (5 PTS) (Diaw 1 AST)</v>
      </c>
      <c r="L4542" s="2" t="str">
        <f>HYPERLINK("https://www.nba.com/game/...-vs-...-0021300932/play-by-play?watchFullGame=true", "SAS vs ORL - Q2 08:14.00")</f>
        <v>SAS vs ORL - Q2 08:14.00</v>
      </c>
      <c r="M4542">
        <v>1</v>
      </c>
      <c r="N4542">
        <v>-7</v>
      </c>
      <c r="O4542">
        <v>3</v>
      </c>
      <c r="P4542">
        <v>-7</v>
      </c>
      <c r="Q4542">
        <v>3</v>
      </c>
      <c r="R4542" t="s">
        <v>21</v>
      </c>
      <c r="S4542" t="s">
        <v>21</v>
      </c>
    </row>
    <row r="4543" spans="1:19" hidden="1" x14ac:dyDescent="0.25">
      <c r="A4543">
        <v>21300604</v>
      </c>
      <c r="B4543" t="s">
        <v>18</v>
      </c>
      <c r="C4543" t="s">
        <v>25</v>
      </c>
      <c r="D4543">
        <v>60</v>
      </c>
      <c r="E4543">
        <v>41</v>
      </c>
      <c r="F4543">
        <v>19</v>
      </c>
      <c r="G4543">
        <v>3</v>
      </c>
      <c r="H4543" s="1">
        <v>6.3425925925925924E-3</v>
      </c>
      <c r="I4543">
        <v>2013</v>
      </c>
      <c r="J4543" t="s">
        <v>20</v>
      </c>
      <c r="K4543" s="2" t="str">
        <f>HYPERLINK("https://www.nba.com/stats/events?CFID=&amp;CFPARAMS=&amp;GameEventID=263&amp;GameID=0021300604&amp;Season=2013-14&amp;flag=1&amp;title=Leonard%201'%20Driving%20Dunk%20(9%20PTS)%20(Diaw%202%20AST)", "Leonard 1' Driving Dunk (9 PTS) (Diaw 2 AST)")</f>
        <v>Leonard 1' Driving Dunk (9 PTS) (Diaw 2 AST)</v>
      </c>
      <c r="L4543" s="2" t="str">
        <f>HYPERLINK("https://www.nba.com/game/...-vs-...-0021300604/play-by-play?watchFullGame=true", "SAS vs MIL - Q3 09:08.00")</f>
        <v>SAS vs MIL - Q3 09:08.00</v>
      </c>
      <c r="M4543">
        <v>1</v>
      </c>
      <c r="N4543">
        <v>-7</v>
      </c>
      <c r="O4543">
        <v>-2</v>
      </c>
      <c r="P4543">
        <v>-7</v>
      </c>
      <c r="Q4543">
        <v>-2</v>
      </c>
      <c r="R4543" t="s">
        <v>21</v>
      </c>
      <c r="S4543" t="s">
        <v>21</v>
      </c>
    </row>
    <row r="4544" spans="1:19" hidden="1" x14ac:dyDescent="0.25">
      <c r="A4544">
        <v>21600441</v>
      </c>
      <c r="B4544" t="s">
        <v>18</v>
      </c>
      <c r="C4544" t="s">
        <v>41</v>
      </c>
      <c r="D4544">
        <v>45</v>
      </c>
      <c r="E4544">
        <v>57</v>
      </c>
      <c r="F4544">
        <v>12</v>
      </c>
      <c r="G4544">
        <v>2</v>
      </c>
      <c r="H4544" s="1">
        <v>2.3148148148148148E-6</v>
      </c>
      <c r="I4544">
        <v>2016</v>
      </c>
      <c r="J4544" t="s">
        <v>20</v>
      </c>
      <c r="K4544" s="2" t="str">
        <f>HYPERLINK("https://www.nba.com/stats/events?CFID=&amp;CFPARAMS=&amp;GameEventID=288&amp;GameID=0021600441&amp;Season=2016-17&amp;flag=1&amp;title=Leonard%202'%20Tip%20Layup%20Shot%20(17%20PTS)", "Leonard 2' Tip Layup Shot (17 PTS)")</f>
        <v>Leonard 2' Tip Layup Shot (17 PTS)</v>
      </c>
      <c r="L4544" s="2" t="str">
        <f>HYPERLINK("https://www.nba.com/game/...-vs-...-0021600441/play-by-play?watchFullGame=true", "SAS vs LAC - Q2 00:00.20")</f>
        <v>SAS vs LAC - Q2 00:00.20</v>
      </c>
      <c r="M4544">
        <v>2</v>
      </c>
      <c r="N4544">
        <v>14</v>
      </c>
      <c r="O4544">
        <v>11</v>
      </c>
      <c r="P4544">
        <v>14</v>
      </c>
      <c r="Q4544">
        <v>11</v>
      </c>
      <c r="R4544" t="s">
        <v>21</v>
      </c>
      <c r="S4544" t="s">
        <v>21</v>
      </c>
    </row>
    <row r="4545" spans="1:19" hidden="1" x14ac:dyDescent="0.25">
      <c r="A4545">
        <v>21601070</v>
      </c>
      <c r="B4545" t="s">
        <v>18</v>
      </c>
      <c r="C4545" t="s">
        <v>22</v>
      </c>
      <c r="D4545">
        <v>74</v>
      </c>
      <c r="E4545">
        <v>69</v>
      </c>
      <c r="F4545">
        <v>5</v>
      </c>
      <c r="G4545">
        <v>3</v>
      </c>
      <c r="H4545" s="1">
        <v>1.9675925925925925E-5</v>
      </c>
      <c r="I4545">
        <v>2016</v>
      </c>
      <c r="J4545" t="s">
        <v>20</v>
      </c>
      <c r="K4545" s="2" t="str">
        <f>HYPERLINK("https://www.nba.com/stats/events?CFID=&amp;CFPARAMS=&amp;GameEventID=356&amp;GameID=0021601070&amp;Season=2016-17&amp;flag=1&amp;title=Leonard%202'%20Driving%20Layup%20(15%20PTS)", "Leonard 2' Driving Layup (15 PTS)")</f>
        <v>Leonard 2' Driving Layup (15 PTS)</v>
      </c>
      <c r="L4545" s="2" t="str">
        <f>HYPERLINK("https://www.nba.com/game/...-vs-...-0021601070/play-by-play?watchFullGame=true", "SAS vs MEM - Q3 00:01.70")</f>
        <v>SAS vs MEM - Q3 00:01.70</v>
      </c>
      <c r="M4545">
        <v>2</v>
      </c>
      <c r="N4545">
        <v>15</v>
      </c>
      <c r="O4545">
        <v>3</v>
      </c>
      <c r="P4545">
        <v>15</v>
      </c>
      <c r="Q4545">
        <v>3</v>
      </c>
      <c r="R4545" t="s">
        <v>21</v>
      </c>
      <c r="S4545" t="s">
        <v>21</v>
      </c>
    </row>
    <row r="4546" spans="1:19" hidden="1" x14ac:dyDescent="0.25">
      <c r="A4546">
        <v>21601135</v>
      </c>
      <c r="B4546" t="s">
        <v>18</v>
      </c>
      <c r="C4546" t="s">
        <v>51</v>
      </c>
      <c r="D4546">
        <v>98</v>
      </c>
      <c r="E4546">
        <v>95</v>
      </c>
      <c r="F4546">
        <v>3</v>
      </c>
      <c r="G4546">
        <v>4</v>
      </c>
      <c r="H4546" s="1">
        <v>6.712962962962963E-5</v>
      </c>
      <c r="I4546">
        <v>2016</v>
      </c>
      <c r="J4546" t="s">
        <v>20</v>
      </c>
      <c r="K4546" s="2" t="str">
        <f>HYPERLINK("https://www.nba.com/stats/events?CFID=&amp;CFPARAMS=&amp;GameEventID=552&amp;GameID=0021601135&amp;Season=2016-17&amp;flag=1&amp;title=Leonard%202'%20Running%20Layup%20(26%20PTS)", "Leonard 2' Running Layup (26 PTS)")</f>
        <v>Leonard 2' Running Layup (26 PTS)</v>
      </c>
      <c r="L4546" s="2" t="str">
        <f>HYPERLINK("https://www.nba.com/game/...-vs-...-0021601135/play-by-play?watchFullGame=true", "SAS vs OKC - Q4 00:05.80")</f>
        <v>SAS vs OKC - Q4 00:05.80</v>
      </c>
      <c r="M4546">
        <v>2</v>
      </c>
      <c r="N4546">
        <v>15</v>
      </c>
      <c r="O4546">
        <v>7</v>
      </c>
      <c r="P4546">
        <v>15</v>
      </c>
      <c r="Q4546">
        <v>7</v>
      </c>
      <c r="R4546" t="s">
        <v>21</v>
      </c>
      <c r="S4546" t="s">
        <v>21</v>
      </c>
    </row>
    <row r="4547" spans="1:19" hidden="1" x14ac:dyDescent="0.25">
      <c r="A4547">
        <v>21700550</v>
      </c>
      <c r="B4547" t="s">
        <v>18</v>
      </c>
      <c r="C4547" t="s">
        <v>22</v>
      </c>
      <c r="D4547">
        <v>52</v>
      </c>
      <c r="E4547">
        <v>46</v>
      </c>
      <c r="F4547">
        <v>6</v>
      </c>
      <c r="G4547">
        <v>2</v>
      </c>
      <c r="H4547" s="1">
        <v>1.4004629629629629E-4</v>
      </c>
      <c r="I4547">
        <v>2017</v>
      </c>
      <c r="J4547" t="s">
        <v>20</v>
      </c>
      <c r="K4547" s="2" t="str">
        <f>HYPERLINK("https://www.nba.com/stats/events?CFID=&amp;CFPARAMS=&amp;GameEventID=303&amp;GameID=0021700550&amp;Season=2017-18&amp;flag=1&amp;title=Leonard%202'%20Driving%20Layup%20(15%20PTS)", "Leonard 2' Driving Layup (15 PTS)")</f>
        <v>Leonard 2' Driving Layup (15 PTS)</v>
      </c>
      <c r="L4547" s="2" t="str">
        <f>HYPERLINK("https://www.nba.com/game/...-vs-...-0021700550/play-by-play?watchFullGame=true", "SAS vs NYK - Q2 00:12.10")</f>
        <v>SAS vs NYK - Q2 00:12.10</v>
      </c>
      <c r="M4547">
        <v>2</v>
      </c>
      <c r="N4547">
        <v>-18</v>
      </c>
      <c r="O4547">
        <v>7</v>
      </c>
      <c r="P4547">
        <v>-18</v>
      </c>
      <c r="Q4547">
        <v>7</v>
      </c>
      <c r="R4547" t="s">
        <v>21</v>
      </c>
      <c r="S4547" t="s">
        <v>21</v>
      </c>
    </row>
    <row r="4548" spans="1:19" hidden="1" x14ac:dyDescent="0.25">
      <c r="A4548">
        <v>21500909</v>
      </c>
      <c r="B4548" t="s">
        <v>18</v>
      </c>
      <c r="C4548" t="s">
        <v>24</v>
      </c>
      <c r="D4548">
        <v>68</v>
      </c>
      <c r="E4548">
        <v>68</v>
      </c>
      <c r="F4548">
        <v>0</v>
      </c>
      <c r="G4548">
        <v>3</v>
      </c>
      <c r="H4548" s="1">
        <v>3.1018518518518521E-4</v>
      </c>
      <c r="I4548">
        <v>2015</v>
      </c>
      <c r="J4548" t="s">
        <v>20</v>
      </c>
      <c r="K4548" s="2" t="str">
        <f>HYPERLINK("https://www.nba.com/stats/events?CFID=&amp;CFPARAMS=&amp;GameEventID=338&amp;GameID=0021500909&amp;Season=2015-16&amp;flag=1&amp;title=Leonard%202'%20Layup%20(23%20PTS)%20(Anderson%201%20AST)", "Leonard 2' Layup (23 PTS) (Anderson 1 AST)")</f>
        <v>Leonard 2' Layup (23 PTS) (Anderson 1 AST)</v>
      </c>
      <c r="L4548" s="2" t="str">
        <f>HYPERLINK("https://www.nba.com/game/...-vs-...-0021500909/play-by-play?watchFullGame=true", "SAS vs NOP - Q3 00:26.80")</f>
        <v>SAS vs NOP - Q3 00:26.80</v>
      </c>
      <c r="M4548">
        <v>2</v>
      </c>
      <c r="N4548">
        <v>-16</v>
      </c>
      <c r="O4548">
        <v>7</v>
      </c>
      <c r="P4548">
        <v>-16</v>
      </c>
      <c r="Q4548">
        <v>7</v>
      </c>
      <c r="R4548" t="s">
        <v>21</v>
      </c>
      <c r="S4548" t="s">
        <v>21</v>
      </c>
    </row>
    <row r="4549" spans="1:19" hidden="1" x14ac:dyDescent="0.25">
      <c r="A4549">
        <v>21500566</v>
      </c>
      <c r="B4549" t="s">
        <v>18</v>
      </c>
      <c r="C4549" t="s">
        <v>44</v>
      </c>
      <c r="D4549">
        <v>22</v>
      </c>
      <c r="E4549">
        <v>18</v>
      </c>
      <c r="F4549">
        <v>4</v>
      </c>
      <c r="G4549">
        <v>1</v>
      </c>
      <c r="H4549" s="1">
        <v>3.9583333333333338E-4</v>
      </c>
      <c r="I4549">
        <v>2015</v>
      </c>
      <c r="J4549" t="s">
        <v>20</v>
      </c>
      <c r="K4549" s="2" t="str">
        <f>HYPERLINK("https://www.nba.com/stats/events?CFID=&amp;CFPARAMS=&amp;GameEventID=80&amp;GameID=0021500566&amp;Season=2015-16&amp;flag=1&amp;title=Leonard%202'%20Driving%20Reverse%20Layup%20(2%20PTS)%20(Diaw%202%20AST)", "Leonard 2' Driving Reverse Layup (2 PTS) (Diaw 2 AST)")</f>
        <v>Leonard 2' Driving Reverse Layup (2 PTS) (Diaw 2 AST)</v>
      </c>
      <c r="L4549" s="2" t="str">
        <f>HYPERLINK("https://www.nba.com/game/...-vs-...-0021500566/play-by-play?watchFullGame=true", "SAS vs BKN - Q1 00:34.20")</f>
        <v>SAS vs BKN - Q1 00:34.20</v>
      </c>
      <c r="M4549">
        <v>2</v>
      </c>
      <c r="N4549">
        <v>17</v>
      </c>
      <c r="O4549">
        <v>7</v>
      </c>
      <c r="P4549">
        <v>17</v>
      </c>
      <c r="Q4549">
        <v>7</v>
      </c>
      <c r="R4549" t="s">
        <v>21</v>
      </c>
      <c r="S4549" t="s">
        <v>21</v>
      </c>
    </row>
    <row r="4550" spans="1:19" hidden="1" x14ac:dyDescent="0.25">
      <c r="A4550">
        <v>21801072</v>
      </c>
      <c r="B4550" t="s">
        <v>18</v>
      </c>
      <c r="C4550" t="s">
        <v>24</v>
      </c>
      <c r="D4550">
        <v>118</v>
      </c>
      <c r="E4550">
        <v>110</v>
      </c>
      <c r="F4550">
        <v>8</v>
      </c>
      <c r="G4550">
        <v>5</v>
      </c>
      <c r="H4550" s="1">
        <v>4.1087962962962964E-4</v>
      </c>
      <c r="I4550">
        <v>2018</v>
      </c>
      <c r="J4550" t="s">
        <v>48</v>
      </c>
      <c r="K4550" s="2" t="str">
        <f>HYPERLINK("https://www.nba.com/stats/events?CFID=&amp;CFPARAMS=&amp;GameEventID=704&amp;GameID=0021801072&amp;Season=2018-19&amp;flag=1&amp;title=Leonard%202'%20Layup%20(21%20PTS)%20(Siakam%206%20AST)", "Leonard 2' Layup (21 PTS) (Siakam 6 AST)")</f>
        <v>Leonard 2' Layup (21 PTS) (Siakam 6 AST)</v>
      </c>
      <c r="L4550" s="2" t="str">
        <f>HYPERLINK("https://www.nba.com/game/...-vs-...-0021801072/play-by-play?watchFullGame=true", "TOR vs OKC - Q5 00:35.50")</f>
        <v>TOR vs OKC - Q5 00:35.50</v>
      </c>
      <c r="M4550">
        <v>2</v>
      </c>
      <c r="N4550">
        <v>8</v>
      </c>
      <c r="O4550">
        <v>19</v>
      </c>
      <c r="P4550">
        <v>8</v>
      </c>
      <c r="Q4550">
        <v>19</v>
      </c>
      <c r="R4550" t="s">
        <v>21</v>
      </c>
      <c r="S4550" t="s">
        <v>21</v>
      </c>
    </row>
    <row r="4551" spans="1:19" hidden="1" x14ac:dyDescent="0.25">
      <c r="A4551">
        <v>21800961</v>
      </c>
      <c r="B4551" t="s">
        <v>18</v>
      </c>
      <c r="C4551" t="s">
        <v>40</v>
      </c>
      <c r="D4551">
        <v>92</v>
      </c>
      <c r="E4551">
        <v>105</v>
      </c>
      <c r="F4551">
        <v>13</v>
      </c>
      <c r="G4551">
        <v>4</v>
      </c>
      <c r="H4551" s="1">
        <v>4.2939814814814815E-4</v>
      </c>
      <c r="I4551">
        <v>2018</v>
      </c>
      <c r="J4551" t="s">
        <v>48</v>
      </c>
      <c r="K4551" s="2" t="str">
        <f>HYPERLINK("https://www.nba.com/stats/events?CFID=&amp;CFPARAMS=&amp;GameEventID=605&amp;GameID=0021800961&amp;Season=2018-19&amp;flag=1&amp;title=Leonard%202'%20Driving%20Finger%20Roll%20Layup%20(26%20PTS)%20(Lowry%206%20AST)", "Leonard 2' Driving Finger Roll Layup (26 PTS) (Lowry 6 AST)")</f>
        <v>Leonard 2' Driving Finger Roll Layup (26 PTS) (Lowry 6 AST)</v>
      </c>
      <c r="L4551" s="2" t="str">
        <f>HYPERLINK("https://www.nba.com/game/...-vs-...-0021800961/play-by-play?watchFullGame=true", "TOR vs HOU - Q4 00:37.10")</f>
        <v>TOR vs HOU - Q4 00:37.10</v>
      </c>
      <c r="M4551">
        <v>2</v>
      </c>
      <c r="N4551">
        <v>-10</v>
      </c>
      <c r="O4551">
        <v>22</v>
      </c>
      <c r="P4551">
        <v>-10</v>
      </c>
      <c r="Q4551">
        <v>22</v>
      </c>
      <c r="R4551" t="s">
        <v>21</v>
      </c>
      <c r="S4551" t="s">
        <v>21</v>
      </c>
    </row>
    <row r="4552" spans="1:19" hidden="1" x14ac:dyDescent="0.25">
      <c r="A4552">
        <v>21400249</v>
      </c>
      <c r="B4552" t="s">
        <v>18</v>
      </c>
      <c r="C4552" t="s">
        <v>22</v>
      </c>
      <c r="D4552">
        <v>103</v>
      </c>
      <c r="E4552">
        <v>96</v>
      </c>
      <c r="F4552">
        <v>7</v>
      </c>
      <c r="G4552">
        <v>4</v>
      </c>
      <c r="H4552" s="1">
        <v>4.9421296296296301E-4</v>
      </c>
      <c r="I4552">
        <v>2014</v>
      </c>
      <c r="J4552" t="s">
        <v>20</v>
      </c>
      <c r="K4552" s="2" t="str">
        <f>HYPERLINK("https://www.nba.com/stats/events?CFID=&amp;CFPARAMS=&amp;GameEventID=547&amp;GameID=0021400249&amp;Season=2014-15&amp;flag=1&amp;title=Leonard%202'%20Driving%20Layup%20(24%20PTS)", "Leonard 2' Driving Layup (24 PTS)")</f>
        <v>Leonard 2' Driving Layup (24 PTS)</v>
      </c>
      <c r="L4552" s="2" t="str">
        <f>HYPERLINK("https://www.nba.com/game/...-vs-...-0021400249/play-by-play?watchFullGame=true", "SAS vs PHI - Q4 00:42.70")</f>
        <v>SAS vs PHI - Q4 00:42.70</v>
      </c>
      <c r="M4552">
        <v>2</v>
      </c>
      <c r="N4552">
        <v>0</v>
      </c>
      <c r="O4552">
        <v>15</v>
      </c>
      <c r="P4552">
        <v>0</v>
      </c>
      <c r="Q4552">
        <v>15</v>
      </c>
      <c r="R4552" t="s">
        <v>21</v>
      </c>
      <c r="S4552" t="s">
        <v>21</v>
      </c>
    </row>
    <row r="4553" spans="1:19" hidden="1" x14ac:dyDescent="0.25">
      <c r="A4553">
        <v>21600543</v>
      </c>
      <c r="B4553" t="s">
        <v>18</v>
      </c>
      <c r="C4553" t="s">
        <v>40</v>
      </c>
      <c r="D4553">
        <v>90</v>
      </c>
      <c r="E4553">
        <v>72</v>
      </c>
      <c r="F4553">
        <v>18</v>
      </c>
      <c r="G4553">
        <v>3</v>
      </c>
      <c r="H4553" s="1">
        <v>4.9768518518518521E-4</v>
      </c>
      <c r="I4553">
        <v>2016</v>
      </c>
      <c r="J4553" t="s">
        <v>20</v>
      </c>
      <c r="K4553" s="2" t="str">
        <f>HYPERLINK("https://www.nba.com/stats/events?CFID=&amp;CFPARAMS=&amp;GameEventID=353&amp;GameID=0021600543&amp;Season=2016-17&amp;flag=1&amp;title=Leonard%202'%20Driving%20Finger%20Roll%20Layup%20(15%20PTS)", "Leonard 2' Driving Finger Roll Layup (15 PTS)")</f>
        <v>Leonard 2' Driving Finger Roll Layup (15 PTS)</v>
      </c>
      <c r="L4553" s="2" t="str">
        <f>HYPERLINK("https://www.nba.com/game/...-vs-...-0021600543/play-by-play?watchFullGame=true", "SAS vs DEN - Q3 00:43.00")</f>
        <v>SAS vs DEN - Q3 00:43.00</v>
      </c>
      <c r="M4553">
        <v>2</v>
      </c>
      <c r="N4553">
        <v>-16</v>
      </c>
      <c r="O4553">
        <v>8</v>
      </c>
      <c r="P4553">
        <v>-16</v>
      </c>
      <c r="Q4553">
        <v>8</v>
      </c>
      <c r="R4553" t="s">
        <v>21</v>
      </c>
      <c r="S4553" t="s">
        <v>21</v>
      </c>
    </row>
    <row r="4554" spans="1:19" hidden="1" x14ac:dyDescent="0.25">
      <c r="A4554">
        <v>41600233</v>
      </c>
      <c r="B4554" t="s">
        <v>18</v>
      </c>
      <c r="C4554" t="s">
        <v>24</v>
      </c>
      <c r="D4554">
        <v>41</v>
      </c>
      <c r="E4554">
        <v>39</v>
      </c>
      <c r="F4554">
        <v>2</v>
      </c>
      <c r="G4554">
        <v>2</v>
      </c>
      <c r="H4554" s="1">
        <v>5.0347222222222221E-4</v>
      </c>
      <c r="I4554" t="s">
        <v>58</v>
      </c>
      <c r="J4554" t="s">
        <v>20</v>
      </c>
      <c r="K4554" s="2" t="str">
        <f>HYPERLINK("https://www.nba.com/stats/events?CFID=&amp;CFPARAMS=&amp;GameEventID=243&amp;GameID=0041600233&amp;Season=2016-17&amp;flag=1&amp;title=Leonard%202'%20Layup%20(8%20PTS)", "Leonard 2' Layup (8 PTS)")</f>
        <v>Leonard 2' Layup (8 PTS)</v>
      </c>
      <c r="L4554" s="2" t="str">
        <f>HYPERLINK("https://www.nba.com/game/...-vs-...-0041600233/play-by-play?watchFullGame=true", "SAS vs HOU - Q2 00:43.50")</f>
        <v>SAS vs HOU - Q2 00:43.50</v>
      </c>
      <c r="M4554">
        <v>2</v>
      </c>
      <c r="N4554">
        <v>9</v>
      </c>
      <c r="O4554">
        <v>13</v>
      </c>
      <c r="P4554">
        <v>9</v>
      </c>
      <c r="Q4554">
        <v>13</v>
      </c>
      <c r="R4554" t="s">
        <v>21</v>
      </c>
      <c r="S4554" t="s">
        <v>21</v>
      </c>
    </row>
    <row r="4555" spans="1:19" hidden="1" x14ac:dyDescent="0.25">
      <c r="A4555">
        <v>21300382</v>
      </c>
      <c r="B4555" t="s">
        <v>18</v>
      </c>
      <c r="C4555" t="s">
        <v>44</v>
      </c>
      <c r="D4555">
        <v>50</v>
      </c>
      <c r="E4555">
        <v>48</v>
      </c>
      <c r="F4555">
        <v>2</v>
      </c>
      <c r="G4555">
        <v>2</v>
      </c>
      <c r="H4555" s="1">
        <v>5.1504629629629632E-4</v>
      </c>
      <c r="I4555">
        <v>2013</v>
      </c>
      <c r="J4555" t="s">
        <v>20</v>
      </c>
      <c r="K4555" s="2" t="str">
        <f>HYPERLINK("https://www.nba.com/stats/events?CFID=&amp;CFPARAMS=&amp;GameEventID=231&amp;GameID=0021300382&amp;Season=2013-14&amp;flag=1&amp;title=Leonard%202'%20Driving%20Reverse%20Layup%20(13%20PTS)", "Leonard 2' Driving Reverse Layup (13 PTS)")</f>
        <v>Leonard 2' Driving Reverse Layup (13 PTS)</v>
      </c>
      <c r="L4555" s="2" t="str">
        <f>HYPERLINK("https://www.nba.com/game/...-vs-...-0021300382/play-by-play?watchFullGame=true", "SAS vs GSW - Q2 00:44.50")</f>
        <v>SAS vs GSW - Q2 00:44.50</v>
      </c>
      <c r="M4555">
        <v>2</v>
      </c>
      <c r="N4555">
        <v>-19</v>
      </c>
      <c r="O4555">
        <v>15</v>
      </c>
      <c r="P4555">
        <v>-19</v>
      </c>
      <c r="Q4555">
        <v>15</v>
      </c>
      <c r="R4555" t="s">
        <v>21</v>
      </c>
      <c r="S4555" t="s">
        <v>21</v>
      </c>
    </row>
    <row r="4556" spans="1:19" hidden="1" x14ac:dyDescent="0.25">
      <c r="A4556">
        <v>21800174</v>
      </c>
      <c r="B4556" t="s">
        <v>18</v>
      </c>
      <c r="C4556" t="s">
        <v>27</v>
      </c>
      <c r="D4556">
        <v>59</v>
      </c>
      <c r="E4556">
        <v>50</v>
      </c>
      <c r="F4556">
        <v>9</v>
      </c>
      <c r="G4556">
        <v>2</v>
      </c>
      <c r="H4556" s="1">
        <v>5.2777777777777784E-4</v>
      </c>
      <c r="I4556">
        <v>2018</v>
      </c>
      <c r="J4556" t="s">
        <v>48</v>
      </c>
      <c r="K4556" s="2" t="str">
        <f>HYPERLINK("https://www.nba.com/stats/events?CFID=&amp;CFPARAMS=&amp;GameEventID=328&amp;GameID=0021800174&amp;Season=2018-19&amp;flag=1&amp;title=Leonard%202'%20Finger%20Roll%20Layup%20(4%20PTS)%20(Siakam%202%20AST)", "Leonard 2' Finger Roll Layup (4 PTS) (Siakam 2 AST)")</f>
        <v>Leonard 2' Finger Roll Layup (4 PTS) (Siakam 2 AST)</v>
      </c>
      <c r="L4556" s="2" t="str">
        <f>HYPERLINK("https://www.nba.com/game/...-vs-...-0021800174/play-by-play?watchFullGame=true", "TOR vs NYK - Q2 00:45.60")</f>
        <v>TOR vs NYK - Q2 00:45.60</v>
      </c>
      <c r="M4556">
        <v>2</v>
      </c>
      <c r="N4556">
        <v>-18</v>
      </c>
      <c r="O4556">
        <v>17</v>
      </c>
      <c r="P4556">
        <v>-18</v>
      </c>
      <c r="Q4556">
        <v>17</v>
      </c>
      <c r="R4556" t="s">
        <v>21</v>
      </c>
      <c r="S4556" t="s">
        <v>21</v>
      </c>
    </row>
    <row r="4557" spans="1:19" hidden="1" x14ac:dyDescent="0.25">
      <c r="A4557">
        <v>21301154</v>
      </c>
      <c r="B4557" t="s">
        <v>18</v>
      </c>
      <c r="C4557" t="s">
        <v>24</v>
      </c>
      <c r="D4557">
        <v>49</v>
      </c>
      <c r="E4557">
        <v>36</v>
      </c>
      <c r="F4557">
        <v>13</v>
      </c>
      <c r="G4557">
        <v>2</v>
      </c>
      <c r="H4557" s="1">
        <v>5.7523148148148147E-4</v>
      </c>
      <c r="I4557">
        <v>2013</v>
      </c>
      <c r="J4557" t="s">
        <v>20</v>
      </c>
      <c r="K4557" s="2" t="str">
        <f>HYPERLINK("https://www.nba.com/stats/events?CFID=&amp;CFPARAMS=&amp;GameEventID=234&amp;GameID=0021301154&amp;Season=2013-14&amp;flag=1&amp;title=Leonard%202'%20Layup%20(12%20PTS)%20(Ginobili%202%20AST)", "Leonard 2' Layup (12 PTS) (Ginobili 2 AST)")</f>
        <v>Leonard 2' Layup (12 PTS) (Ginobili 2 AST)</v>
      </c>
      <c r="L4557" s="2" t="str">
        <f>HYPERLINK("https://www.nba.com/game/...-vs-...-0021301154/play-by-play?watchFullGame=true", "SAS vs MEM - Q2 00:49.70")</f>
        <v>SAS vs MEM - Q2 00:49.70</v>
      </c>
      <c r="M4557">
        <v>2</v>
      </c>
      <c r="N4557">
        <v>15</v>
      </c>
      <c r="O4557">
        <v>3</v>
      </c>
      <c r="P4557">
        <v>15</v>
      </c>
      <c r="Q4557">
        <v>3</v>
      </c>
      <c r="R4557" t="s">
        <v>21</v>
      </c>
      <c r="S4557" t="s">
        <v>21</v>
      </c>
    </row>
    <row r="4558" spans="1:19" hidden="1" x14ac:dyDescent="0.25">
      <c r="A4558">
        <v>21500905</v>
      </c>
      <c r="B4558" t="s">
        <v>18</v>
      </c>
      <c r="C4558" t="s">
        <v>22</v>
      </c>
      <c r="D4558">
        <v>50</v>
      </c>
      <c r="E4558">
        <v>51</v>
      </c>
      <c r="F4558">
        <v>1</v>
      </c>
      <c r="G4558">
        <v>2</v>
      </c>
      <c r="H4558" s="1">
        <v>5.7986111111111118E-4</v>
      </c>
      <c r="I4558">
        <v>2015</v>
      </c>
      <c r="J4558" t="s">
        <v>20</v>
      </c>
      <c r="K4558" s="2" t="str">
        <f>HYPERLINK("https://www.nba.com/stats/events?CFID=&amp;CFPARAMS=&amp;GameEventID=201&amp;GameID=0021500905&amp;Season=2015-16&amp;flag=1&amp;title=Leonard%202'%20Driving%20Layup%20(15%20PTS)", "Leonard 2' Driving Layup (15 PTS)")</f>
        <v>Leonard 2' Driving Layup (15 PTS)</v>
      </c>
      <c r="L4558" s="2" t="str">
        <f>HYPERLINK("https://www.nba.com/game/...-vs-...-0021500905/play-by-play?watchFullGame=true", "SAS vs DET - Q2 00:50.10")</f>
        <v>SAS vs DET - Q2 00:50.10</v>
      </c>
      <c r="M4558">
        <v>2</v>
      </c>
      <c r="N4558">
        <v>22</v>
      </c>
      <c r="O4558">
        <v>2</v>
      </c>
      <c r="P4558">
        <v>22</v>
      </c>
      <c r="Q4558">
        <v>2</v>
      </c>
      <c r="R4558" t="s">
        <v>21</v>
      </c>
      <c r="S4558" t="s">
        <v>21</v>
      </c>
    </row>
    <row r="4559" spans="1:19" hidden="1" x14ac:dyDescent="0.25">
      <c r="A4559">
        <v>21800624</v>
      </c>
      <c r="B4559" t="s">
        <v>18</v>
      </c>
      <c r="C4559" t="s">
        <v>49</v>
      </c>
      <c r="D4559">
        <v>61</v>
      </c>
      <c r="E4559">
        <v>52</v>
      </c>
      <c r="F4559">
        <v>9</v>
      </c>
      <c r="G4559">
        <v>2</v>
      </c>
      <c r="H4559" s="1">
        <v>6.3541666666666662E-4</v>
      </c>
      <c r="I4559">
        <v>2018</v>
      </c>
      <c r="J4559" t="s">
        <v>48</v>
      </c>
      <c r="K4559" s="2" t="str">
        <f>HYPERLINK("https://www.nba.com/stats/events?CFID=&amp;CFPARAMS=&amp;GameEventID=310&amp;GameID=0021800624&amp;Season=2018-19&amp;flag=1&amp;title=Leonard%202'%20Driving%20Floating%20Bank%20Jump%20Shot%20(15%20PTS)%20(Green%203%20AST)", "Leonard 2' Driving Floating Bank Jump Shot (15 PTS) (Green 3 AST)")</f>
        <v>Leonard 2' Driving Floating Bank Jump Shot (15 PTS) (Green 3 AST)</v>
      </c>
      <c r="L4559" s="2" t="str">
        <f>HYPERLINK("https://www.nba.com/game/...-vs-...-0021800624/play-by-play?watchFullGame=true", "TOR vs BKN - Q2 00:54.90")</f>
        <v>TOR vs BKN - Q2 00:54.90</v>
      </c>
      <c r="M4559">
        <v>2</v>
      </c>
      <c r="N4559">
        <v>-19</v>
      </c>
      <c r="O4559">
        <v>10</v>
      </c>
      <c r="P4559">
        <v>-19</v>
      </c>
      <c r="Q4559">
        <v>10</v>
      </c>
      <c r="R4559" t="s">
        <v>21</v>
      </c>
      <c r="S4559" t="s">
        <v>21</v>
      </c>
    </row>
    <row r="4560" spans="1:19" hidden="1" x14ac:dyDescent="0.25">
      <c r="A4560">
        <v>21800271</v>
      </c>
      <c r="B4560" t="s">
        <v>18</v>
      </c>
      <c r="C4560" t="s">
        <v>50</v>
      </c>
      <c r="D4560">
        <v>70</v>
      </c>
      <c r="E4560">
        <v>57</v>
      </c>
      <c r="F4560">
        <v>13</v>
      </c>
      <c r="G4560">
        <v>2</v>
      </c>
      <c r="H4560" s="1">
        <v>9.1435185185185185E-4</v>
      </c>
      <c r="I4560">
        <v>2018</v>
      </c>
      <c r="J4560" t="s">
        <v>48</v>
      </c>
      <c r="K4560" s="2" t="str">
        <f>HYPERLINK("https://www.nba.com/stats/events?CFID=&amp;CFPARAMS=&amp;GameEventID=331&amp;GameID=0021800271&amp;Season=2018-19&amp;flag=1&amp;title=Leonard%202'%20Running%20Dunk%20(15%20PTS)", "Leonard 2' Running Dunk (15 PTS)")</f>
        <v>Leonard 2' Running Dunk (15 PTS)</v>
      </c>
      <c r="L4560" s="2" t="str">
        <f>HYPERLINK("https://www.nba.com/game/...-vs-...-0021800271/play-by-play?watchFullGame=true", "TOR vs WAS - Q2 01:19.00")</f>
        <v>TOR vs WAS - Q2 01:19.00</v>
      </c>
      <c r="M4560">
        <v>2</v>
      </c>
      <c r="N4560">
        <v>-6</v>
      </c>
      <c r="O4560">
        <v>16</v>
      </c>
      <c r="P4560">
        <v>-6</v>
      </c>
      <c r="Q4560">
        <v>16</v>
      </c>
      <c r="R4560" t="s">
        <v>21</v>
      </c>
      <c r="S4560" t="s">
        <v>21</v>
      </c>
    </row>
    <row r="4561" spans="1:19" hidden="1" x14ac:dyDescent="0.25">
      <c r="A4561">
        <v>41400162</v>
      </c>
      <c r="B4561" t="s">
        <v>18</v>
      </c>
      <c r="C4561" t="s">
        <v>24</v>
      </c>
      <c r="D4561">
        <v>107</v>
      </c>
      <c r="E4561">
        <v>101</v>
      </c>
      <c r="F4561">
        <v>6</v>
      </c>
      <c r="G4561">
        <v>5</v>
      </c>
      <c r="H4561" s="1">
        <v>6.5509259259259264E-4</v>
      </c>
      <c r="I4561" t="s">
        <v>56</v>
      </c>
      <c r="J4561" t="s">
        <v>20</v>
      </c>
      <c r="K4561" s="2" t="str">
        <f>HYPERLINK("https://www.nba.com/stats/events?CFID=&amp;CFPARAMS=&amp;GameEventID=606&amp;GameID=0041400162&amp;Season=2014-15&amp;flag=1&amp;title=Leonard%202'%20Layup%20(23%20PTS)%20(Diaw%206%20AST)", "Leonard 2' Layup (23 PTS) (Diaw 6 AST)")</f>
        <v>Leonard 2' Layup (23 PTS) (Diaw 6 AST)</v>
      </c>
      <c r="L4561" s="2" t="str">
        <f>HYPERLINK("https://www.nba.com/game/...-vs-...-0041400162/play-by-play?watchFullGame=true", "SAS vs LAC - Q5 00:56.60")</f>
        <v>SAS vs LAC - Q5 00:56.60</v>
      </c>
      <c r="M4561">
        <v>2</v>
      </c>
      <c r="N4561">
        <v>18</v>
      </c>
      <c r="O4561">
        <v>9</v>
      </c>
      <c r="P4561">
        <v>18</v>
      </c>
      <c r="Q4561">
        <v>9</v>
      </c>
      <c r="R4561" t="s">
        <v>21</v>
      </c>
      <c r="S4561" t="s">
        <v>21</v>
      </c>
    </row>
    <row r="4562" spans="1:19" hidden="1" x14ac:dyDescent="0.25">
      <c r="A4562">
        <v>21800347</v>
      </c>
      <c r="B4562" t="s">
        <v>18</v>
      </c>
      <c r="C4562" t="s">
        <v>22</v>
      </c>
      <c r="D4562">
        <v>45</v>
      </c>
      <c r="E4562">
        <v>52</v>
      </c>
      <c r="F4562">
        <v>7</v>
      </c>
      <c r="G4562">
        <v>2</v>
      </c>
      <c r="H4562" s="1">
        <v>6.5972222222222224E-4</v>
      </c>
      <c r="I4562">
        <v>2018</v>
      </c>
      <c r="J4562" t="s">
        <v>48</v>
      </c>
      <c r="K4562" s="2" t="str">
        <f>HYPERLINK("https://www.nba.com/stats/events?CFID=&amp;CFPARAMS=&amp;GameEventID=322&amp;GameID=0021800347&amp;Season=2018-19&amp;flag=1&amp;title=Leonard%202'%20Driving%20Layup%20(16%20PTS)", "Leonard 2' Driving Layup (16 PTS)")</f>
        <v>Leonard 2' Driving Layup (16 PTS)</v>
      </c>
      <c r="L4562" s="2" t="str">
        <f>HYPERLINK("https://www.nba.com/game/...-vs-...-0021800347/play-by-play?watchFullGame=true", "TOR vs DEN - Q2 00:57.00")</f>
        <v>TOR vs DEN - Q2 00:57.00</v>
      </c>
      <c r="M4562">
        <v>2</v>
      </c>
      <c r="N4562">
        <v>18</v>
      </c>
      <c r="O4562">
        <v>10</v>
      </c>
      <c r="P4562">
        <v>18</v>
      </c>
      <c r="Q4562">
        <v>10</v>
      </c>
      <c r="R4562" t="s">
        <v>21</v>
      </c>
      <c r="S4562" t="s">
        <v>21</v>
      </c>
    </row>
    <row r="4563" spans="1:19" hidden="1" x14ac:dyDescent="0.25">
      <c r="A4563">
        <v>21501063</v>
      </c>
      <c r="B4563" t="s">
        <v>18</v>
      </c>
      <c r="C4563" t="s">
        <v>40</v>
      </c>
      <c r="D4563">
        <v>54</v>
      </c>
      <c r="E4563">
        <v>45</v>
      </c>
      <c r="F4563">
        <v>9</v>
      </c>
      <c r="G4563">
        <v>2</v>
      </c>
      <c r="H4563" s="1">
        <v>6.9328703703703707E-4</v>
      </c>
      <c r="I4563">
        <v>2015</v>
      </c>
      <c r="J4563" t="s">
        <v>20</v>
      </c>
      <c r="K4563" s="2" t="str">
        <f>HYPERLINK("https://www.nba.com/stats/events?CFID=&amp;CFPARAMS=&amp;GameEventID=225&amp;GameID=0021501063&amp;Season=2015-16&amp;flag=1&amp;title=Leonard%202'%20Driving%20Finger%20Roll%20Layup%20(22%20PTS)", "Leonard 2' Driving Finger Roll Layup (22 PTS)")</f>
        <v>Leonard 2' Driving Finger Roll Layup (22 PTS)</v>
      </c>
      <c r="L4563" s="2" t="str">
        <f>HYPERLINK("https://www.nba.com/game/...-vs-...-0021501063/play-by-play?watchFullGame=true", "SAS vs MIA - Q2 00:59.90")</f>
        <v>SAS vs MIA - Q2 00:59.90</v>
      </c>
      <c r="M4563">
        <v>2</v>
      </c>
      <c r="N4563">
        <v>-6</v>
      </c>
      <c r="O4563">
        <v>16</v>
      </c>
      <c r="P4563">
        <v>-6</v>
      </c>
      <c r="Q4563">
        <v>16</v>
      </c>
      <c r="R4563" t="s">
        <v>21</v>
      </c>
      <c r="S4563" t="s">
        <v>21</v>
      </c>
    </row>
    <row r="4564" spans="1:19" hidden="1" x14ac:dyDescent="0.25">
      <c r="A4564">
        <v>21300559</v>
      </c>
      <c r="B4564" t="s">
        <v>18</v>
      </c>
      <c r="C4564" t="s">
        <v>24</v>
      </c>
      <c r="D4564">
        <v>49</v>
      </c>
      <c r="E4564">
        <v>50</v>
      </c>
      <c r="F4564">
        <v>1</v>
      </c>
      <c r="G4564">
        <v>2</v>
      </c>
      <c r="H4564" s="1">
        <v>7.291666666666667E-4</v>
      </c>
      <c r="I4564">
        <v>2013</v>
      </c>
      <c r="J4564" t="s">
        <v>20</v>
      </c>
      <c r="K4564" s="2" t="str">
        <f>HYPERLINK("https://www.nba.com/stats/events?CFID=&amp;CFPARAMS=&amp;GameEventID=275&amp;GameID=0021300559&amp;Season=2013-14&amp;flag=1&amp;title=Leonard%202'%20Layup%20(10%20PTS)", "Leonard 2' Layup (10 PTS)")</f>
        <v>Leonard 2' Layup (10 PTS)</v>
      </c>
      <c r="L4564" s="2" t="str">
        <f>HYPERLINK("https://www.nba.com/game/...-vs-...-0021300559/play-by-play?watchFullGame=true", "SAS vs NOP - Q2 01:03.00")</f>
        <v>SAS vs NOP - Q2 01:03.00</v>
      </c>
      <c r="M4564">
        <v>2</v>
      </c>
      <c r="N4564">
        <v>15</v>
      </c>
      <c r="O4564">
        <v>11</v>
      </c>
      <c r="P4564">
        <v>15</v>
      </c>
      <c r="Q4564">
        <v>11</v>
      </c>
      <c r="R4564" t="s">
        <v>21</v>
      </c>
      <c r="S4564" t="s">
        <v>21</v>
      </c>
    </row>
    <row r="4565" spans="1:19" hidden="1" x14ac:dyDescent="0.25">
      <c r="A4565">
        <v>21500342</v>
      </c>
      <c r="B4565" t="s">
        <v>18</v>
      </c>
      <c r="C4565" t="s">
        <v>24</v>
      </c>
      <c r="D4565">
        <v>50</v>
      </c>
      <c r="E4565">
        <v>44</v>
      </c>
      <c r="F4565">
        <v>6</v>
      </c>
      <c r="G4565">
        <v>2</v>
      </c>
      <c r="H4565" s="1">
        <v>7.9861111111111116E-4</v>
      </c>
      <c r="I4565">
        <v>2015</v>
      </c>
      <c r="J4565" t="s">
        <v>20</v>
      </c>
      <c r="K4565" s="2" t="str">
        <f>HYPERLINK("https://www.nba.com/stats/events?CFID=&amp;CFPARAMS=&amp;GameEventID=209&amp;GameID=0021500342&amp;Season=2015-16&amp;flag=1&amp;title=Leonard%202'%20Layup%20(9%20PTS)%20(West%201%20AST)", "Leonard 2' Layup (9 PTS) (West 1 AST)")</f>
        <v>Leonard 2' Layup (9 PTS) (West 1 AST)</v>
      </c>
      <c r="L4565" s="2" t="str">
        <f>HYPERLINK("https://www.nba.com/game/...-vs-...-0021500342/play-by-play?watchFullGame=true", "SAS vs LAL - Q2 01:09.00")</f>
        <v>SAS vs LAL - Q2 01:09.00</v>
      </c>
      <c r="M4565">
        <v>2</v>
      </c>
      <c r="N4565">
        <v>-1</v>
      </c>
      <c r="O4565">
        <v>18</v>
      </c>
      <c r="P4565">
        <v>-1</v>
      </c>
      <c r="Q4565">
        <v>18</v>
      </c>
      <c r="R4565" t="s">
        <v>21</v>
      </c>
      <c r="S4565" t="s">
        <v>21</v>
      </c>
    </row>
    <row r="4566" spans="1:19" hidden="1" x14ac:dyDescent="0.25">
      <c r="A4566">
        <v>21800639</v>
      </c>
      <c r="B4566" t="s">
        <v>18</v>
      </c>
      <c r="C4566" t="s">
        <v>31</v>
      </c>
      <c r="D4566">
        <v>61</v>
      </c>
      <c r="E4566">
        <v>47</v>
      </c>
      <c r="F4566">
        <v>14</v>
      </c>
      <c r="G4566">
        <v>2</v>
      </c>
      <c r="H4566" s="1">
        <v>8.2175925925925927E-4</v>
      </c>
      <c r="I4566">
        <v>2018</v>
      </c>
      <c r="J4566" t="s">
        <v>48</v>
      </c>
      <c r="K4566" s="2" t="str">
        <f>HYPERLINK("https://www.nba.com/stats/events?CFID=&amp;CFPARAMS=&amp;GameEventID=325&amp;GameID=0021800639&amp;Season=2018-19&amp;flag=1&amp;title=Leonard%202'%20Driving%20Hook%20Shot%20(14%20PTS)", "Leonard 2' Driving Hook Shot (14 PTS)")</f>
        <v>Leonard 2' Driving Hook Shot (14 PTS)</v>
      </c>
      <c r="L4566" s="2" t="str">
        <f>HYPERLINK("https://www.nba.com/game/...-vs-...-0021800639/play-by-play?watchFullGame=true", "TOR vs WAS - Q2 01:11.00")</f>
        <v>TOR vs WAS - Q2 01:11.00</v>
      </c>
      <c r="M4566">
        <v>2</v>
      </c>
      <c r="N4566">
        <v>2</v>
      </c>
      <c r="O4566">
        <v>17</v>
      </c>
      <c r="P4566">
        <v>2</v>
      </c>
      <c r="Q4566">
        <v>17</v>
      </c>
      <c r="R4566" t="s">
        <v>21</v>
      </c>
      <c r="S4566" t="s">
        <v>21</v>
      </c>
    </row>
    <row r="4567" spans="1:19" hidden="1" x14ac:dyDescent="0.25">
      <c r="A4567">
        <v>21600925</v>
      </c>
      <c r="B4567" t="s">
        <v>18</v>
      </c>
      <c r="C4567" t="s">
        <v>24</v>
      </c>
      <c r="D4567">
        <v>83</v>
      </c>
      <c r="E4567">
        <v>81</v>
      </c>
      <c r="F4567">
        <v>2</v>
      </c>
      <c r="G4567">
        <v>4</v>
      </c>
      <c r="H4567" s="1">
        <v>8.4490740740740739E-4</v>
      </c>
      <c r="I4567">
        <v>2016</v>
      </c>
      <c r="J4567" t="s">
        <v>20</v>
      </c>
      <c r="K4567" s="2" t="str">
        <f>HYPERLINK("https://www.nba.com/stats/events?CFID=&amp;CFPARAMS=&amp;GameEventID=514&amp;GameID=0021600925&amp;Season=2016-17&amp;flag=1&amp;title=Leonard%202'%20Layup%20(28%20PTS)", "Leonard 2' Layup (28 PTS)")</f>
        <v>Leonard 2' Layup (28 PTS)</v>
      </c>
      <c r="L4567" s="2" t="str">
        <f>HYPERLINK("https://www.nba.com/game/...-vs-...-0021600925/play-by-play?watchFullGame=true", "SAS vs MIN - Q4 01:13.00")</f>
        <v>SAS vs MIN - Q4 01:13.00</v>
      </c>
      <c r="M4567">
        <v>2</v>
      </c>
      <c r="N4567">
        <v>12</v>
      </c>
      <c r="O4567">
        <v>11</v>
      </c>
      <c r="P4567">
        <v>12</v>
      </c>
      <c r="Q4567">
        <v>11</v>
      </c>
      <c r="R4567" t="s">
        <v>21</v>
      </c>
      <c r="S4567" t="s">
        <v>21</v>
      </c>
    </row>
    <row r="4568" spans="1:19" hidden="1" x14ac:dyDescent="0.25">
      <c r="A4568">
        <v>21501043</v>
      </c>
      <c r="B4568" t="s">
        <v>18</v>
      </c>
      <c r="C4568" t="s">
        <v>41</v>
      </c>
      <c r="D4568">
        <v>88</v>
      </c>
      <c r="E4568">
        <v>87</v>
      </c>
      <c r="F4568">
        <v>1</v>
      </c>
      <c r="G4568">
        <v>4</v>
      </c>
      <c r="H4568" s="1">
        <v>8.4490740740740739E-4</v>
      </c>
      <c r="I4568">
        <v>2015</v>
      </c>
      <c r="J4568" t="s">
        <v>20</v>
      </c>
      <c r="K4568" s="2" t="str">
        <f>HYPERLINK("https://www.nba.com/stats/events?CFID=&amp;CFPARAMS=&amp;GameEventID=495&amp;GameID=0021501043&amp;Season=2015-16&amp;flag=1&amp;title=Leonard%202'%20Tip%20Layup%20Shot%20(15%20PTS)", "Leonard 2' Tip Layup Shot (15 PTS)")</f>
        <v>Leonard 2' Tip Layup Shot (15 PTS)</v>
      </c>
      <c r="L4568" s="2" t="str">
        <f>HYPERLINK("https://www.nba.com/game/...-vs-...-0021501043/play-by-play?watchFullGame=true", "SAS vs CHA - Q4 01:13.00")</f>
        <v>SAS vs CHA - Q4 01:13.00</v>
      </c>
      <c r="M4568">
        <v>2</v>
      </c>
      <c r="N4568">
        <v>14</v>
      </c>
      <c r="O4568">
        <v>13</v>
      </c>
      <c r="P4568">
        <v>14</v>
      </c>
      <c r="Q4568">
        <v>13</v>
      </c>
      <c r="R4568" t="s">
        <v>21</v>
      </c>
      <c r="S4568" t="s">
        <v>21</v>
      </c>
    </row>
    <row r="4569" spans="1:19" hidden="1" x14ac:dyDescent="0.25">
      <c r="A4569">
        <v>41800214</v>
      </c>
      <c r="B4569" t="s">
        <v>18</v>
      </c>
      <c r="C4569" t="s">
        <v>33</v>
      </c>
      <c r="D4569">
        <v>45</v>
      </c>
      <c r="E4569">
        <v>40</v>
      </c>
      <c r="F4569">
        <v>5</v>
      </c>
      <c r="G4569">
        <v>2</v>
      </c>
      <c r="H4569" s="1">
        <v>8.564814814814815E-4</v>
      </c>
      <c r="I4569" t="s">
        <v>60</v>
      </c>
      <c r="J4569" t="s">
        <v>48</v>
      </c>
      <c r="K4569" s="2" t="str">
        <f>HYPERLINK("https://www.nba.com/stats/events?CFID=&amp;CFPARAMS=&amp;GameEventID=313&amp;GameID=0041800214&amp;Season=2018-19&amp;flag=1&amp;title=Leonard%202'%20Putback%20Layup%20(15%20PTS)", "Leonard 2' Putback Layup (15 PTS)")</f>
        <v>Leonard 2' Putback Layup (15 PTS)</v>
      </c>
      <c r="L4569" s="2" t="str">
        <f>HYPERLINK("https://www.nba.com/game/...-vs-...-0041800214/play-by-play?watchFullGame=true", "TOR vs PHI - Q2 01:14.00")</f>
        <v>TOR vs PHI - Q2 01:14.00</v>
      </c>
      <c r="M4569">
        <v>2</v>
      </c>
      <c r="N4569">
        <v>16</v>
      </c>
      <c r="O4569">
        <v>14</v>
      </c>
      <c r="P4569">
        <v>16</v>
      </c>
      <c r="Q4569">
        <v>14</v>
      </c>
      <c r="R4569" t="s">
        <v>21</v>
      </c>
      <c r="S4569" t="s">
        <v>21</v>
      </c>
    </row>
    <row r="4570" spans="1:19" hidden="1" x14ac:dyDescent="0.25">
      <c r="A4570">
        <v>21300208</v>
      </c>
      <c r="B4570" t="s">
        <v>18</v>
      </c>
      <c r="C4570" t="s">
        <v>35</v>
      </c>
      <c r="D4570">
        <v>53</v>
      </c>
      <c r="E4570">
        <v>37</v>
      </c>
      <c r="F4570">
        <v>16</v>
      </c>
      <c r="G4570">
        <v>2</v>
      </c>
      <c r="H4570" s="1">
        <v>9.1435185185185185E-4</v>
      </c>
      <c r="I4570">
        <v>2013</v>
      </c>
      <c r="J4570" t="s">
        <v>20</v>
      </c>
      <c r="K4570" s="2" t="str">
        <f>HYPERLINK("https://www.nba.com/stats/events?CFID=&amp;CFPARAMS=&amp;GameEventID=242&amp;GameID=0021300208&amp;Season=2013-14&amp;flag=1&amp;title=Leonard%202'%20Reverse%20Layup%20(2%20PTS)%20(Green%201%20AST)", "Leonard 2' Reverse Layup (2 PTS) (Green 1 AST)")</f>
        <v>Leonard 2' Reverse Layup (2 PTS) (Green 1 AST)</v>
      </c>
      <c r="L4570" s="2" t="str">
        <f>HYPERLINK("https://www.nba.com/game/...-vs-...-0021300208/play-by-play?watchFullGame=true", "SAS vs NOP - Q2 01:19.00")</f>
        <v>SAS vs NOP - Q2 01:19.00</v>
      </c>
      <c r="M4570">
        <v>2</v>
      </c>
      <c r="N4570">
        <v>7</v>
      </c>
      <c r="O4570">
        <v>19</v>
      </c>
      <c r="P4570">
        <v>7</v>
      </c>
      <c r="Q4570">
        <v>19</v>
      </c>
      <c r="R4570" t="s">
        <v>21</v>
      </c>
      <c r="S4570" t="s">
        <v>21</v>
      </c>
    </row>
    <row r="4571" spans="1:19" hidden="1" x14ac:dyDescent="0.25">
      <c r="A4571">
        <v>41400161</v>
      </c>
      <c r="B4571" t="s">
        <v>18</v>
      </c>
      <c r="C4571" t="s">
        <v>24</v>
      </c>
      <c r="D4571">
        <v>61</v>
      </c>
      <c r="E4571">
        <v>75</v>
      </c>
      <c r="F4571">
        <v>14</v>
      </c>
      <c r="G4571">
        <v>3</v>
      </c>
      <c r="H4571" s="1">
        <v>9.1435185185185185E-4</v>
      </c>
      <c r="I4571" t="s">
        <v>56</v>
      </c>
      <c r="J4571" t="s">
        <v>20</v>
      </c>
      <c r="K4571" s="2" t="str">
        <f>HYPERLINK("https://www.nba.com/stats/events?CFID=&amp;CFPARAMS=&amp;GameEventID=449&amp;GameID=0041400161&amp;Season=2014-15&amp;flag=1&amp;title=Leonard%202'%20Layup%20(13%20PTS)%20(Ginobili%205%20AST)", "Leonard 2' Layup (13 PTS) (Ginobili 5 AST)")</f>
        <v>Leonard 2' Layup (13 PTS) (Ginobili 5 AST)</v>
      </c>
      <c r="L4571" s="2" t="str">
        <f>HYPERLINK("https://www.nba.com/game/...-vs-...-0041400161/play-by-play?watchFullGame=true", "SAS vs LAC - Q3 01:19.00")</f>
        <v>SAS vs LAC - Q3 01:19.00</v>
      </c>
      <c r="M4571">
        <v>2</v>
      </c>
      <c r="N4571">
        <v>21</v>
      </c>
      <c r="O4571">
        <v>-2</v>
      </c>
      <c r="P4571">
        <v>21</v>
      </c>
      <c r="Q4571">
        <v>-2</v>
      </c>
      <c r="R4571" t="s">
        <v>21</v>
      </c>
      <c r="S4571" t="s">
        <v>21</v>
      </c>
    </row>
    <row r="4572" spans="1:19" hidden="1" x14ac:dyDescent="0.25">
      <c r="A4572">
        <v>41800401</v>
      </c>
      <c r="B4572" t="s">
        <v>18</v>
      </c>
      <c r="C4572" t="s">
        <v>49</v>
      </c>
      <c r="D4572">
        <v>51</v>
      </c>
      <c r="E4572">
        <v>45</v>
      </c>
      <c r="F4572">
        <v>6</v>
      </c>
      <c r="G4572">
        <v>2</v>
      </c>
      <c r="H4572" s="1">
        <v>1.238425925925926E-3</v>
      </c>
      <c r="I4572" t="s">
        <v>60</v>
      </c>
      <c r="J4572" t="s">
        <v>48</v>
      </c>
      <c r="K4572" s="2" t="str">
        <f>HYPERLINK("https://www.nba.com/stats/events?CFID=&amp;CFPARAMS=&amp;GameEventID=307&amp;GameID=0041800401&amp;Season=2018-19&amp;flag=1&amp;title=Leonard%202'%20Driving%20Floating%20Bank%20Jump%20Shot%20(7%20PTS)", "Leonard 2' Driving Floating Bank Jump Shot (7 PTS)")</f>
        <v>Leonard 2' Driving Floating Bank Jump Shot (7 PTS)</v>
      </c>
      <c r="L4572" s="2" t="str">
        <f>HYPERLINK("https://www.nba.com/game/...-vs-...-0041800401/play-by-play?watchFullGame=true", "TOR vs GSW - Q2 01:47.00")</f>
        <v>TOR vs GSW - Q2 01:47.00</v>
      </c>
      <c r="M4572">
        <v>2</v>
      </c>
      <c r="N4572">
        <v>18</v>
      </c>
      <c r="O4572">
        <v>8</v>
      </c>
      <c r="P4572">
        <v>18</v>
      </c>
      <c r="Q4572">
        <v>8</v>
      </c>
      <c r="R4572" t="s">
        <v>21</v>
      </c>
      <c r="S4572" t="s">
        <v>21</v>
      </c>
    </row>
    <row r="4573" spans="1:19" hidden="1" x14ac:dyDescent="0.25">
      <c r="A4573">
        <v>21800271</v>
      </c>
      <c r="B4573" t="s">
        <v>18</v>
      </c>
      <c r="C4573" t="s">
        <v>24</v>
      </c>
      <c r="D4573">
        <v>68</v>
      </c>
      <c r="E4573">
        <v>57</v>
      </c>
      <c r="F4573">
        <v>11</v>
      </c>
      <c r="G4573">
        <v>2</v>
      </c>
      <c r="H4573" s="1">
        <v>1.25E-3</v>
      </c>
      <c r="I4573">
        <v>2018</v>
      </c>
      <c r="J4573" t="s">
        <v>48</v>
      </c>
      <c r="K4573" s="2" t="str">
        <f>HYPERLINK("https://www.nba.com/stats/events?CFID=&amp;CFPARAMS=&amp;GameEventID=322&amp;GameID=0021800271&amp;Season=2018-19&amp;flag=1&amp;title=Leonard%202'%20Layup%20(13%20PTS)", "Leonard 2' Layup (13 PTS)")</f>
        <v>Leonard 2' Layup (13 PTS)</v>
      </c>
      <c r="L4573" s="2" t="str">
        <f>HYPERLINK("https://www.nba.com/game/...-vs-...-0021800271/play-by-play?watchFullGame=true", "TOR vs WAS - Q2 01:48.00")</f>
        <v>TOR vs WAS - Q2 01:48.00</v>
      </c>
      <c r="M4573">
        <v>2</v>
      </c>
      <c r="N4573">
        <v>-11</v>
      </c>
      <c r="O4573">
        <v>11</v>
      </c>
      <c r="P4573">
        <v>-11</v>
      </c>
      <c r="Q4573">
        <v>11</v>
      </c>
      <c r="R4573" t="s">
        <v>21</v>
      </c>
      <c r="S4573" t="s">
        <v>21</v>
      </c>
    </row>
    <row r="4574" spans="1:19" hidden="1" x14ac:dyDescent="0.25">
      <c r="A4574">
        <v>41300312</v>
      </c>
      <c r="B4574" t="s">
        <v>18</v>
      </c>
      <c r="C4574" t="s">
        <v>24</v>
      </c>
      <c r="D4574">
        <v>87</v>
      </c>
      <c r="E4574">
        <v>58</v>
      </c>
      <c r="F4574">
        <v>29</v>
      </c>
      <c r="G4574">
        <v>3</v>
      </c>
      <c r="H4574" s="1">
        <v>1.261574074074074E-3</v>
      </c>
      <c r="I4574" t="s">
        <v>55</v>
      </c>
      <c r="J4574" t="s">
        <v>20</v>
      </c>
      <c r="K4574" s="2" t="str">
        <f>HYPERLINK("https://www.nba.com/stats/events?CFID=&amp;CFPARAMS=&amp;GameEventID=384&amp;GameID=0041300312&amp;Season=2013-14&amp;flag=1&amp;title=Leonard%202'%20Layup%20(4%20PTS)%20(Mills%202%20AST)", "Leonard 2' Layup (4 PTS) (Mills 2 AST)")</f>
        <v>Leonard 2' Layup (4 PTS) (Mills 2 AST)</v>
      </c>
      <c r="L4574" s="2" t="str">
        <f>HYPERLINK("https://www.nba.com/game/...-vs-...-0041300312/play-by-play?watchFullGame=true", "SAS vs OKC - Q3 01:49.00")</f>
        <v>SAS vs OKC - Q3 01:49.00</v>
      </c>
      <c r="M4574">
        <v>2</v>
      </c>
      <c r="N4574">
        <v>13</v>
      </c>
      <c r="O4574">
        <v>11</v>
      </c>
      <c r="P4574">
        <v>13</v>
      </c>
      <c r="Q4574">
        <v>11</v>
      </c>
      <c r="R4574" t="s">
        <v>21</v>
      </c>
      <c r="S4574" t="s">
        <v>21</v>
      </c>
    </row>
    <row r="4575" spans="1:19" hidden="1" x14ac:dyDescent="0.25">
      <c r="A4575">
        <v>21801110</v>
      </c>
      <c r="B4575" t="s">
        <v>18</v>
      </c>
      <c r="C4575" t="s">
        <v>51</v>
      </c>
      <c r="D4575">
        <v>51</v>
      </c>
      <c r="E4575">
        <v>38</v>
      </c>
      <c r="F4575">
        <v>13</v>
      </c>
      <c r="G4575">
        <v>2</v>
      </c>
      <c r="H4575" s="1">
        <v>1.2731481481481483E-3</v>
      </c>
      <c r="I4575">
        <v>2018</v>
      </c>
      <c r="J4575" t="s">
        <v>48</v>
      </c>
      <c r="K4575" s="2" t="str">
        <f>HYPERLINK("https://www.nba.com/stats/events?CFID=&amp;CFPARAMS=&amp;GameEventID=302&amp;GameID=0021801110&amp;Season=2018-19&amp;flag=1&amp;title=Leonard%202'%20Running%20Layup%20(8%20PTS)", "Leonard 2' Running Layup (8 PTS)")</f>
        <v>Leonard 2' Running Layup (8 PTS)</v>
      </c>
      <c r="L4575" s="2" t="str">
        <f>HYPERLINK("https://www.nba.com/game/...-vs-...-0021801110/play-by-play?watchFullGame=true", "TOR vs CHI - Q2 01:50.00")</f>
        <v>TOR vs CHI - Q2 01:50.00</v>
      </c>
      <c r="M4575">
        <v>2</v>
      </c>
      <c r="N4575">
        <v>14</v>
      </c>
      <c r="O4575">
        <v>8</v>
      </c>
      <c r="P4575">
        <v>14</v>
      </c>
      <c r="Q4575">
        <v>8</v>
      </c>
      <c r="R4575" t="s">
        <v>21</v>
      </c>
      <c r="S4575" t="s">
        <v>21</v>
      </c>
    </row>
    <row r="4576" spans="1:19" hidden="1" x14ac:dyDescent="0.25">
      <c r="A4576">
        <v>21500784</v>
      </c>
      <c r="B4576" t="s">
        <v>18</v>
      </c>
      <c r="C4576" t="s">
        <v>24</v>
      </c>
      <c r="D4576">
        <v>48</v>
      </c>
      <c r="E4576">
        <v>45</v>
      </c>
      <c r="F4576">
        <v>3</v>
      </c>
      <c r="G4576">
        <v>2</v>
      </c>
      <c r="H4576" s="1">
        <v>1.3194444444444445E-3</v>
      </c>
      <c r="I4576">
        <v>2015</v>
      </c>
      <c r="J4576" t="s">
        <v>20</v>
      </c>
      <c r="K4576" s="2" t="str">
        <f>HYPERLINK("https://www.nba.com/stats/events?CFID=&amp;CFPARAMS=&amp;GameEventID=229&amp;GameID=0021500784&amp;Season=2015-16&amp;flag=1&amp;title=Leonard%202'%20Layup%20(8%20PTS)", "Leonard 2' Layup (8 PTS)")</f>
        <v>Leonard 2' Layup (8 PTS)</v>
      </c>
      <c r="L4576" s="2" t="str">
        <f>HYPERLINK("https://www.nba.com/game/...-vs-...-0021500784/play-by-play?watchFullGame=true", "SAS vs MIA - Q2 01:54.00")</f>
        <v>SAS vs MIA - Q2 01:54.00</v>
      </c>
      <c r="M4576">
        <v>2</v>
      </c>
      <c r="N4576">
        <v>12</v>
      </c>
      <c r="O4576">
        <v>16</v>
      </c>
      <c r="P4576">
        <v>12</v>
      </c>
      <c r="Q4576">
        <v>16</v>
      </c>
      <c r="R4576" t="s">
        <v>21</v>
      </c>
      <c r="S4576" t="s">
        <v>21</v>
      </c>
    </row>
    <row r="4577" spans="1:19" hidden="1" x14ac:dyDescent="0.25">
      <c r="A4577">
        <v>21400314</v>
      </c>
      <c r="B4577" t="s">
        <v>18</v>
      </c>
      <c r="C4577" t="s">
        <v>24</v>
      </c>
      <c r="D4577">
        <v>17</v>
      </c>
      <c r="E4577">
        <v>14</v>
      </c>
      <c r="F4577">
        <v>3</v>
      </c>
      <c r="G4577">
        <v>1</v>
      </c>
      <c r="H4577" s="1">
        <v>1.4236111111111112E-3</v>
      </c>
      <c r="I4577">
        <v>2014</v>
      </c>
      <c r="J4577" t="s">
        <v>20</v>
      </c>
      <c r="K4577" s="2" t="str">
        <f>HYPERLINK("https://www.nba.com/stats/events?CFID=&amp;CFPARAMS=&amp;GameEventID=87&amp;GameID=0021400314&amp;Season=2014-15&amp;flag=1&amp;title=Leonard%202'%20Layup%20(2%20PTS)%20(Diaw%202%20AST)", "Leonard 2' Layup (2 PTS) (Diaw 2 AST)")</f>
        <v>Leonard 2' Layup (2 PTS) (Diaw 2 AST)</v>
      </c>
      <c r="L4577" s="2" t="str">
        <f>HYPERLINK("https://www.nba.com/game/...-vs-...-0021400314/play-by-play?watchFullGame=true", "SAS vs UTA - Q1 02:03.00")</f>
        <v>SAS vs UTA - Q1 02:03.00</v>
      </c>
      <c r="M4577">
        <v>2</v>
      </c>
      <c r="N4577">
        <v>17</v>
      </c>
      <c r="O4577">
        <v>6</v>
      </c>
      <c r="P4577">
        <v>17</v>
      </c>
      <c r="Q4577">
        <v>6</v>
      </c>
      <c r="R4577" t="s">
        <v>21</v>
      </c>
      <c r="S4577" t="s">
        <v>21</v>
      </c>
    </row>
    <row r="4578" spans="1:19" hidden="1" x14ac:dyDescent="0.25">
      <c r="A4578">
        <v>21401057</v>
      </c>
      <c r="B4578" t="s">
        <v>18</v>
      </c>
      <c r="C4578" t="s">
        <v>33</v>
      </c>
      <c r="D4578">
        <v>43</v>
      </c>
      <c r="E4578">
        <v>36</v>
      </c>
      <c r="F4578">
        <v>7</v>
      </c>
      <c r="G4578">
        <v>2</v>
      </c>
      <c r="H4578" s="1">
        <v>1.4583333333333334E-3</v>
      </c>
      <c r="I4578">
        <v>2014</v>
      </c>
      <c r="J4578" t="s">
        <v>20</v>
      </c>
      <c r="K4578" s="2" t="str">
        <f>HYPERLINK("https://www.nba.com/stats/events?CFID=&amp;CFPARAMS=&amp;GameEventID=217&amp;GameID=0021401057&amp;Season=2014-15&amp;flag=1&amp;title=Leonard%202'%20Putback%20Layup%20(10%20PTS)", "Leonard 2' Putback Layup (10 PTS)")</f>
        <v>Leonard 2' Putback Layup (10 PTS)</v>
      </c>
      <c r="L4578" s="2" t="str">
        <f>HYPERLINK("https://www.nba.com/game/...-vs-...-0021401057/play-by-play?watchFullGame=true", "SAS vs DAL - Q2 02:06.00")</f>
        <v>SAS vs DAL - Q2 02:06.00</v>
      </c>
      <c r="M4578">
        <v>2</v>
      </c>
      <c r="N4578">
        <v>20</v>
      </c>
      <c r="O4578">
        <v>1</v>
      </c>
      <c r="P4578">
        <v>20</v>
      </c>
      <c r="Q4578">
        <v>1</v>
      </c>
      <c r="R4578" t="s">
        <v>21</v>
      </c>
      <c r="S4578" t="s">
        <v>21</v>
      </c>
    </row>
    <row r="4579" spans="1:19" hidden="1" x14ac:dyDescent="0.25">
      <c r="A4579">
        <v>41800212</v>
      </c>
      <c r="B4579" t="s">
        <v>18</v>
      </c>
      <c r="C4579" t="s">
        <v>40</v>
      </c>
      <c r="D4579">
        <v>14</v>
      </c>
      <c r="E4579">
        <v>19</v>
      </c>
      <c r="F4579">
        <v>5</v>
      </c>
      <c r="G4579">
        <v>1</v>
      </c>
      <c r="H4579" s="1">
        <v>1.4814814814814814E-3</v>
      </c>
      <c r="I4579" t="s">
        <v>60</v>
      </c>
      <c r="J4579" t="s">
        <v>48</v>
      </c>
      <c r="K4579" s="2" t="str">
        <f>HYPERLINK("https://www.nba.com/stats/events?CFID=&amp;CFPARAMS=&amp;GameEventID=124&amp;GameID=0041800212&amp;Season=2018-19&amp;flag=1&amp;title=Leonard%202'%20Driving%20Finger%20Roll%20Layup%20(4%20PTS)", "Leonard 2' Driving Finger Roll Layup (4 PTS)")</f>
        <v>Leonard 2' Driving Finger Roll Layup (4 PTS)</v>
      </c>
      <c r="L4579" s="2" t="str">
        <f>HYPERLINK("https://www.nba.com/game/...-vs-...-0041800212/play-by-play?watchFullGame=true", "TOR vs PHI - Q1 02:08.00")</f>
        <v>TOR vs PHI - Q1 02:08.00</v>
      </c>
      <c r="M4579">
        <v>2</v>
      </c>
      <c r="N4579">
        <v>12</v>
      </c>
      <c r="O4579">
        <v>10</v>
      </c>
      <c r="P4579">
        <v>12</v>
      </c>
      <c r="Q4579">
        <v>10</v>
      </c>
      <c r="R4579" t="s">
        <v>21</v>
      </c>
      <c r="S4579" t="s">
        <v>21</v>
      </c>
    </row>
    <row r="4580" spans="1:19" hidden="1" x14ac:dyDescent="0.25">
      <c r="A4580">
        <v>21801044</v>
      </c>
      <c r="B4580" t="s">
        <v>18</v>
      </c>
      <c r="C4580" t="s">
        <v>24</v>
      </c>
      <c r="D4580">
        <v>16</v>
      </c>
      <c r="E4580">
        <v>22</v>
      </c>
      <c r="F4580">
        <v>6</v>
      </c>
      <c r="G4580">
        <v>1</v>
      </c>
      <c r="H4580" s="1">
        <v>1.5740740740740741E-3</v>
      </c>
      <c r="I4580">
        <v>2018</v>
      </c>
      <c r="J4580" t="s">
        <v>48</v>
      </c>
      <c r="K4580" s="2" t="str">
        <f>HYPERLINK("https://www.nba.com/stats/events?CFID=&amp;CFPARAMS=&amp;GameEventID=113&amp;GameID=0021801044&amp;Season=2018-19&amp;flag=1&amp;title=Leonard%202'%20Layup%20(4%20PTS)%20(Gasol%201%20AST)", "Leonard 2' Layup (4 PTS) (Gasol 1 AST)")</f>
        <v>Leonard 2' Layup (4 PTS) (Gasol 1 AST)</v>
      </c>
      <c r="L4580" s="2" t="str">
        <f>HYPERLINK("https://www.nba.com/game/...-vs-...-0021801044/play-by-play?watchFullGame=true", "TOR vs DET - Q1 02:16.00")</f>
        <v>TOR vs DET - Q1 02:16.00</v>
      </c>
      <c r="M4580">
        <v>2</v>
      </c>
      <c r="N4580">
        <v>24</v>
      </c>
      <c r="O4580">
        <v>4</v>
      </c>
      <c r="P4580">
        <v>24</v>
      </c>
      <c r="Q4580">
        <v>4</v>
      </c>
      <c r="R4580" t="s">
        <v>21</v>
      </c>
      <c r="S4580" t="s">
        <v>21</v>
      </c>
    </row>
    <row r="4581" spans="1:19" hidden="1" x14ac:dyDescent="0.25">
      <c r="A4581">
        <v>21600441</v>
      </c>
      <c r="B4581" t="s">
        <v>18</v>
      </c>
      <c r="C4581" t="s">
        <v>24</v>
      </c>
      <c r="D4581">
        <v>89</v>
      </c>
      <c r="E4581">
        <v>100</v>
      </c>
      <c r="F4581">
        <v>11</v>
      </c>
      <c r="G4581">
        <v>4</v>
      </c>
      <c r="H4581" s="1">
        <v>1.5856481481481481E-3</v>
      </c>
      <c r="I4581">
        <v>2016</v>
      </c>
      <c r="J4581" t="s">
        <v>20</v>
      </c>
      <c r="K4581" s="2" t="str">
        <f>HYPERLINK("https://www.nba.com/stats/events?CFID=&amp;CFPARAMS=&amp;GameEventID=523&amp;GameID=0021600441&amp;Season=2016-17&amp;flag=1&amp;title=Leonard%202'%20Layup%20(27%20PTS)", "Leonard 2' Layup (27 PTS)")</f>
        <v>Leonard 2' Layup (27 PTS)</v>
      </c>
      <c r="L4581" s="2" t="str">
        <f>HYPERLINK("https://www.nba.com/game/...-vs-...-0021600441/play-by-play?watchFullGame=true", "SAS vs LAC - Q4 02:17.00")</f>
        <v>SAS vs LAC - Q4 02:17.00</v>
      </c>
      <c r="M4581">
        <v>2</v>
      </c>
      <c r="N4581">
        <v>17</v>
      </c>
      <c r="O4581">
        <v>11</v>
      </c>
      <c r="P4581">
        <v>17</v>
      </c>
      <c r="Q4581">
        <v>11</v>
      </c>
      <c r="R4581" t="s">
        <v>21</v>
      </c>
      <c r="S4581" t="s">
        <v>21</v>
      </c>
    </row>
    <row r="4582" spans="1:19" hidden="1" x14ac:dyDescent="0.25">
      <c r="A4582">
        <v>21800538</v>
      </c>
      <c r="B4582" t="s">
        <v>18</v>
      </c>
      <c r="C4582" t="s">
        <v>40</v>
      </c>
      <c r="D4582">
        <v>83</v>
      </c>
      <c r="E4582">
        <v>77</v>
      </c>
      <c r="F4582">
        <v>6</v>
      </c>
      <c r="G4582">
        <v>4</v>
      </c>
      <c r="H4582" s="1">
        <v>1.6319444444444445E-3</v>
      </c>
      <c r="I4582">
        <v>2018</v>
      </c>
      <c r="J4582" t="s">
        <v>48</v>
      </c>
      <c r="K4582" s="2" t="str">
        <f>HYPERLINK("https://www.nba.com/stats/events?CFID=&amp;CFPARAMS=&amp;GameEventID=553&amp;GameID=0021800538&amp;Season=2018-19&amp;flag=1&amp;title=Leonard%202'%20Driving%20Finger%20Roll%20Layup%20(21%20PTS)", "Leonard 2' Driving Finger Roll Layup (21 PTS)")</f>
        <v>Leonard 2' Driving Finger Roll Layup (21 PTS)</v>
      </c>
      <c r="L4582" s="2" t="str">
        <f>HYPERLINK("https://www.nba.com/game/...-vs-...-0021800538/play-by-play?watchFullGame=true", "TOR vs CHI - Q4 02:21.00")</f>
        <v>TOR vs CHI - Q4 02:21.00</v>
      </c>
      <c r="M4582">
        <v>2</v>
      </c>
      <c r="N4582">
        <v>0</v>
      </c>
      <c r="O4582">
        <v>21</v>
      </c>
      <c r="P4582">
        <v>0</v>
      </c>
      <c r="Q4582">
        <v>21</v>
      </c>
      <c r="R4582" t="s">
        <v>21</v>
      </c>
      <c r="S4582" t="s">
        <v>21</v>
      </c>
    </row>
    <row r="4583" spans="1:19" hidden="1" x14ac:dyDescent="0.25">
      <c r="A4583">
        <v>21800549</v>
      </c>
      <c r="B4583" t="s">
        <v>18</v>
      </c>
      <c r="C4583" t="s">
        <v>22</v>
      </c>
      <c r="D4583">
        <v>48</v>
      </c>
      <c r="E4583">
        <v>46</v>
      </c>
      <c r="F4583">
        <v>2</v>
      </c>
      <c r="G4583">
        <v>2</v>
      </c>
      <c r="H4583" s="1">
        <v>1.6550925925925926E-3</v>
      </c>
      <c r="I4583">
        <v>2018</v>
      </c>
      <c r="J4583" t="s">
        <v>48</v>
      </c>
      <c r="K4583" s="2" t="str">
        <f>HYPERLINK("https://www.nba.com/stats/events?CFID=&amp;CFPARAMS=&amp;GameEventID=273&amp;GameID=0021800549&amp;Season=2018-19&amp;flag=1&amp;title=Leonard%202'%20Driving%20Layup%20(12%20PTS)", "Leonard 2' Driving Layup (12 PTS)")</f>
        <v>Leonard 2' Driving Layup (12 PTS)</v>
      </c>
      <c r="L4583" s="2" t="str">
        <f>HYPERLINK("https://www.nba.com/game/...-vs-...-0021800549/play-by-play?watchFullGame=true", "TOR vs UTA - Q2 02:23.00")</f>
        <v>TOR vs UTA - Q2 02:23.00</v>
      </c>
      <c r="M4583">
        <v>2</v>
      </c>
      <c r="N4583">
        <v>17</v>
      </c>
      <c r="O4583">
        <v>4</v>
      </c>
      <c r="P4583">
        <v>17</v>
      </c>
      <c r="Q4583">
        <v>4</v>
      </c>
      <c r="R4583" t="s">
        <v>21</v>
      </c>
      <c r="S4583" t="s">
        <v>21</v>
      </c>
    </row>
    <row r="4584" spans="1:19" hidden="1" x14ac:dyDescent="0.25">
      <c r="A4584">
        <v>41600311</v>
      </c>
      <c r="B4584" t="s">
        <v>18</v>
      </c>
      <c r="C4584" t="s">
        <v>22</v>
      </c>
      <c r="D4584">
        <v>54</v>
      </c>
      <c r="E4584">
        <v>35</v>
      </c>
      <c r="F4584">
        <v>19</v>
      </c>
      <c r="G4584">
        <v>2</v>
      </c>
      <c r="H4584" s="1">
        <v>1.6782407407407408E-3</v>
      </c>
      <c r="I4584" t="s">
        <v>58</v>
      </c>
      <c r="J4584" t="s">
        <v>20</v>
      </c>
      <c r="K4584" s="2" t="str">
        <f>HYPERLINK("https://www.nba.com/stats/events?CFID=&amp;CFPARAMS=&amp;GameEventID=241&amp;GameID=0041600311&amp;Season=2016-17&amp;flag=1&amp;title=Leonard%202'%20Driving%20Layup%20(17%20PTS)", "Leonard 2' Driving Layup (17 PTS)")</f>
        <v>Leonard 2' Driving Layup (17 PTS)</v>
      </c>
      <c r="L4584" s="2" t="str">
        <f>HYPERLINK("https://www.nba.com/game/...-vs-...-0041600311/play-by-play?watchFullGame=true", "SAS vs GSW - Q2 02:25.00")</f>
        <v>SAS vs GSW - Q2 02:25.00</v>
      </c>
      <c r="M4584">
        <v>2</v>
      </c>
      <c r="N4584">
        <v>-7</v>
      </c>
      <c r="O4584">
        <v>21</v>
      </c>
      <c r="P4584">
        <v>-7</v>
      </c>
      <c r="Q4584">
        <v>21</v>
      </c>
      <c r="R4584" t="s">
        <v>21</v>
      </c>
      <c r="S4584" t="s">
        <v>21</v>
      </c>
    </row>
    <row r="4585" spans="1:19" hidden="1" x14ac:dyDescent="0.25">
      <c r="A4585">
        <v>21500013</v>
      </c>
      <c r="B4585" t="s">
        <v>18</v>
      </c>
      <c r="C4585" t="s">
        <v>22</v>
      </c>
      <c r="D4585">
        <v>25</v>
      </c>
      <c r="E4585">
        <v>22</v>
      </c>
      <c r="F4585">
        <v>3</v>
      </c>
      <c r="G4585">
        <v>1</v>
      </c>
      <c r="H4585" s="1">
        <v>1.7013888888888888E-3</v>
      </c>
      <c r="I4585">
        <v>2015</v>
      </c>
      <c r="J4585" t="s">
        <v>20</v>
      </c>
      <c r="K4585" s="2" t="str">
        <f>HYPERLINK("https://www.nba.com/stats/events?CFID=&amp;CFPARAMS=&amp;GameEventID=100&amp;GameID=0021500013&amp;Season=2015-16&amp;flag=1&amp;title=Leonard%202'%20Driving%20Layup%20(8%20PTS)%20(Ginobili%202%20AST)", "Leonard 2' Driving Layup (8 PTS) (Ginobili 2 AST)")</f>
        <v>Leonard 2' Driving Layup (8 PTS) (Ginobili 2 AST)</v>
      </c>
      <c r="L4585" s="2" t="str">
        <f>HYPERLINK("https://www.nba.com/game/...-vs-...-0021500013/play-by-play?watchFullGame=true", "SAS vs OKC - Q1 02:27.00")</f>
        <v>SAS vs OKC - Q1 02:27.00</v>
      </c>
      <c r="M4585">
        <v>2</v>
      </c>
      <c r="N4585">
        <v>17</v>
      </c>
      <c r="O4585">
        <v>0</v>
      </c>
      <c r="P4585">
        <v>17</v>
      </c>
      <c r="Q4585">
        <v>0</v>
      </c>
      <c r="R4585" t="s">
        <v>21</v>
      </c>
      <c r="S4585" t="s">
        <v>21</v>
      </c>
    </row>
    <row r="4586" spans="1:19" hidden="1" x14ac:dyDescent="0.25">
      <c r="A4586">
        <v>21800639</v>
      </c>
      <c r="B4586" t="s">
        <v>18</v>
      </c>
      <c r="C4586" t="s">
        <v>22</v>
      </c>
      <c r="D4586">
        <v>31</v>
      </c>
      <c r="E4586">
        <v>15</v>
      </c>
      <c r="F4586">
        <v>16</v>
      </c>
      <c r="G4586">
        <v>1</v>
      </c>
      <c r="H4586" s="1">
        <v>1.7476851851851852E-3</v>
      </c>
      <c r="I4586">
        <v>2018</v>
      </c>
      <c r="J4586" t="s">
        <v>48</v>
      </c>
      <c r="K4586" s="2" t="str">
        <f>HYPERLINK("https://www.nba.com/stats/events?CFID=&amp;CFPARAMS=&amp;GameEventID=124&amp;GameID=0021800639&amp;Season=2018-19&amp;flag=1&amp;title=Leonard%202'%20Driving%20Layup%20(12%20PTS)", "Leonard 2' Driving Layup (12 PTS)")</f>
        <v>Leonard 2' Driving Layup (12 PTS)</v>
      </c>
      <c r="L4586" s="2" t="str">
        <f>HYPERLINK("https://www.nba.com/game/...-vs-...-0021800639/play-by-play?watchFullGame=true", "TOR vs WAS - Q1 02:31.00")</f>
        <v>TOR vs WAS - Q1 02:31.00</v>
      </c>
      <c r="M4586">
        <v>2</v>
      </c>
      <c r="N4586">
        <v>9</v>
      </c>
      <c r="O4586">
        <v>15</v>
      </c>
      <c r="P4586">
        <v>9</v>
      </c>
      <c r="Q4586">
        <v>15</v>
      </c>
      <c r="R4586" t="s">
        <v>21</v>
      </c>
      <c r="S4586" t="s">
        <v>21</v>
      </c>
    </row>
    <row r="4587" spans="1:19" hidden="1" x14ac:dyDescent="0.25">
      <c r="A4587">
        <v>21600182</v>
      </c>
      <c r="B4587" t="s">
        <v>18</v>
      </c>
      <c r="C4587" t="s">
        <v>35</v>
      </c>
      <c r="D4587">
        <v>46</v>
      </c>
      <c r="E4587">
        <v>41</v>
      </c>
      <c r="F4587">
        <v>5</v>
      </c>
      <c r="G4587">
        <v>2</v>
      </c>
      <c r="H4587" s="1">
        <v>1.7592592592592592E-3</v>
      </c>
      <c r="I4587">
        <v>2016</v>
      </c>
      <c r="J4587" t="s">
        <v>20</v>
      </c>
      <c r="K4587" s="2" t="str">
        <f>HYPERLINK("https://www.nba.com/stats/events?CFID=&amp;CFPARAMS=&amp;GameEventID=214&amp;GameID=0021600182&amp;Season=2016-17&amp;flag=1&amp;title=Leonard%202'%20Reverse%20Layup%20(6%20PTS)", "Leonard 2' Reverse Layup (6 PTS)")</f>
        <v>Leonard 2' Reverse Layup (6 PTS)</v>
      </c>
      <c r="L4587" s="2" t="str">
        <f>HYPERLINK("https://www.nba.com/game/...-vs-...-0021600182/play-by-play?watchFullGame=true", "SAS vs LAL - Q2 02:32.00")</f>
        <v>SAS vs LAL - Q2 02:32.00</v>
      </c>
      <c r="M4587">
        <v>2</v>
      </c>
      <c r="N4587">
        <v>-7</v>
      </c>
      <c r="O4587">
        <v>16</v>
      </c>
      <c r="P4587">
        <v>-7</v>
      </c>
      <c r="Q4587">
        <v>16</v>
      </c>
      <c r="R4587" t="s">
        <v>21</v>
      </c>
      <c r="S4587" t="s">
        <v>21</v>
      </c>
    </row>
    <row r="4588" spans="1:19" hidden="1" x14ac:dyDescent="0.25">
      <c r="A4588">
        <v>21800470</v>
      </c>
      <c r="B4588" t="s">
        <v>18</v>
      </c>
      <c r="C4588" t="s">
        <v>22</v>
      </c>
      <c r="D4588">
        <v>27</v>
      </c>
      <c r="E4588">
        <v>19</v>
      </c>
      <c r="F4588">
        <v>8</v>
      </c>
      <c r="G4588">
        <v>1</v>
      </c>
      <c r="H4588" s="1">
        <v>1.7708333333333332E-3</v>
      </c>
      <c r="I4588">
        <v>2018</v>
      </c>
      <c r="J4588" t="s">
        <v>48</v>
      </c>
      <c r="K4588" s="2" t="str">
        <f>HYPERLINK("https://www.nba.com/stats/events?CFID=&amp;CFPARAMS=&amp;GameEventID=114&amp;GameID=0021800470&amp;Season=2018-19&amp;flag=1&amp;title=Leonard%202'%20Driving%20Layup%20(6%20PTS)", "Leonard 2' Driving Layup (6 PTS)")</f>
        <v>Leonard 2' Driving Layup (6 PTS)</v>
      </c>
      <c r="L4588" s="2" t="str">
        <f>HYPERLINK("https://www.nba.com/game/...-vs-...-0021800470/play-by-play?watchFullGame=true", "TOR vs CLE - Q1 02:33.00")</f>
        <v>TOR vs CLE - Q1 02:33.00</v>
      </c>
      <c r="M4588">
        <v>2</v>
      </c>
      <c r="N4588">
        <v>-3</v>
      </c>
      <c r="O4588">
        <v>24</v>
      </c>
      <c r="P4588">
        <v>-3</v>
      </c>
      <c r="Q4588">
        <v>24</v>
      </c>
      <c r="R4588" t="s">
        <v>21</v>
      </c>
      <c r="S4588" t="s">
        <v>21</v>
      </c>
    </row>
    <row r="4589" spans="1:19" hidden="1" x14ac:dyDescent="0.25">
      <c r="A4589">
        <v>21800961</v>
      </c>
      <c r="B4589" t="s">
        <v>18</v>
      </c>
      <c r="C4589" t="s">
        <v>40</v>
      </c>
      <c r="D4589">
        <v>89</v>
      </c>
      <c r="E4589">
        <v>100</v>
      </c>
      <c r="F4589">
        <v>11</v>
      </c>
      <c r="G4589">
        <v>4</v>
      </c>
      <c r="H4589" s="1">
        <v>1.8287037037037037E-3</v>
      </c>
      <c r="I4589">
        <v>2018</v>
      </c>
      <c r="J4589" t="s">
        <v>48</v>
      </c>
      <c r="K4589" s="2" t="str">
        <f>HYPERLINK("https://www.nba.com/stats/events?CFID=&amp;CFPARAMS=&amp;GameEventID=578&amp;GameID=0021800961&amp;Season=2018-19&amp;flag=1&amp;title=Leonard%202'%20Driving%20Finger%20Roll%20Layup%20(23%20PTS)", "Leonard 2' Driving Finger Roll Layup (23 PTS)")</f>
        <v>Leonard 2' Driving Finger Roll Layup (23 PTS)</v>
      </c>
      <c r="L4589" s="2" t="str">
        <f>HYPERLINK("https://www.nba.com/game/...-vs-...-0021800961/play-by-play?watchFullGame=true", "TOR vs HOU - Q4 02:38.00")</f>
        <v>TOR vs HOU - Q4 02:38.00</v>
      </c>
      <c r="M4589">
        <v>2</v>
      </c>
      <c r="N4589">
        <v>20</v>
      </c>
      <c r="O4589">
        <v>8</v>
      </c>
      <c r="P4589">
        <v>20</v>
      </c>
      <c r="Q4589">
        <v>8</v>
      </c>
      <c r="R4589" t="s">
        <v>21</v>
      </c>
      <c r="S4589" t="s">
        <v>21</v>
      </c>
    </row>
    <row r="4590" spans="1:19" hidden="1" x14ac:dyDescent="0.25">
      <c r="A4590">
        <v>21500790</v>
      </c>
      <c r="B4590" t="s">
        <v>18</v>
      </c>
      <c r="C4590" t="s">
        <v>24</v>
      </c>
      <c r="D4590">
        <v>50</v>
      </c>
      <c r="E4590">
        <v>40</v>
      </c>
      <c r="F4590">
        <v>10</v>
      </c>
      <c r="G4590">
        <v>2</v>
      </c>
      <c r="H4590" s="1">
        <v>1.8518518518518519E-3</v>
      </c>
      <c r="I4590">
        <v>2015</v>
      </c>
      <c r="J4590" t="s">
        <v>20</v>
      </c>
      <c r="K4590" s="2" t="str">
        <f>HYPERLINK("https://www.nba.com/stats/events?CFID=&amp;CFPARAMS=&amp;GameEventID=216&amp;GameID=0021500790&amp;Season=2015-16&amp;flag=1&amp;title=Leonard%202'%20Layup%20(15%20PTS)%20(Mills%203%20AST)", "Leonard 2' Layup (15 PTS) (Mills 3 AST)")</f>
        <v>Leonard 2' Layup (15 PTS) (Mills 3 AST)</v>
      </c>
      <c r="L4590" s="2" t="str">
        <f>HYPERLINK("https://www.nba.com/game/...-vs-...-0021500790/play-by-play?watchFullGame=true", "SAS vs ORL - Q2 02:40.00")</f>
        <v>SAS vs ORL - Q2 02:40.00</v>
      </c>
      <c r="M4590">
        <v>2</v>
      </c>
      <c r="N4590">
        <v>-2</v>
      </c>
      <c r="O4590">
        <v>18</v>
      </c>
      <c r="P4590">
        <v>-2</v>
      </c>
      <c r="Q4590">
        <v>18</v>
      </c>
      <c r="R4590" t="s">
        <v>21</v>
      </c>
      <c r="S4590" t="s">
        <v>21</v>
      </c>
    </row>
    <row r="4591" spans="1:19" hidden="1" x14ac:dyDescent="0.25">
      <c r="A4591">
        <v>21601161</v>
      </c>
      <c r="B4591" t="s">
        <v>18</v>
      </c>
      <c r="C4591" t="s">
        <v>51</v>
      </c>
      <c r="D4591">
        <v>29</v>
      </c>
      <c r="E4591">
        <v>30</v>
      </c>
      <c r="F4591">
        <v>1</v>
      </c>
      <c r="G4591">
        <v>2</v>
      </c>
      <c r="H4591" s="1">
        <v>1.8518518518518519E-3</v>
      </c>
      <c r="I4591">
        <v>2016</v>
      </c>
      <c r="J4591" t="s">
        <v>20</v>
      </c>
      <c r="K4591" s="2" t="str">
        <f>HYPERLINK("https://www.nba.com/stats/events?CFID=&amp;CFPARAMS=&amp;GameEventID=211&amp;GameID=0021601161&amp;Season=2016-17&amp;flag=1&amp;title=Leonard%202'%20Running%20Layup%20(7%20PTS)", "Leonard 2' Running Layup (7 PTS)")</f>
        <v>Leonard 2' Running Layup (7 PTS)</v>
      </c>
      <c r="L4591" s="2" t="str">
        <f>HYPERLINK("https://www.nba.com/game/...-vs-...-0021601161/play-by-play?watchFullGame=true", "SAS vs MEM - Q2 02:40.00")</f>
        <v>SAS vs MEM - Q2 02:40.00</v>
      </c>
      <c r="M4591">
        <v>2</v>
      </c>
      <c r="N4591">
        <v>19</v>
      </c>
      <c r="O4591">
        <v>8</v>
      </c>
      <c r="P4591">
        <v>19</v>
      </c>
      <c r="Q4591">
        <v>8</v>
      </c>
      <c r="R4591" t="s">
        <v>21</v>
      </c>
      <c r="S4591" t="s">
        <v>21</v>
      </c>
    </row>
    <row r="4592" spans="1:19" hidden="1" x14ac:dyDescent="0.25">
      <c r="A4592">
        <v>21800303</v>
      </c>
      <c r="B4592" t="s">
        <v>18</v>
      </c>
      <c r="C4592" t="s">
        <v>24</v>
      </c>
      <c r="D4592">
        <v>21</v>
      </c>
      <c r="E4592">
        <v>19</v>
      </c>
      <c r="F4592">
        <v>2</v>
      </c>
      <c r="G4592">
        <v>1</v>
      </c>
      <c r="H4592" s="1">
        <v>1.8634259259259259E-3</v>
      </c>
      <c r="I4592">
        <v>2018</v>
      </c>
      <c r="J4592" t="s">
        <v>48</v>
      </c>
      <c r="K4592" s="2" t="str">
        <f>HYPERLINK("https://www.nba.com/stats/events?CFID=&amp;CFPARAMS=&amp;GameEventID=101&amp;GameID=0021800303&amp;Season=2018-19&amp;flag=1&amp;title=Leonard%202'%20Layup%20(4%20PTS)", "Leonard 2' Layup (4 PTS)")</f>
        <v>Leonard 2' Layup (4 PTS)</v>
      </c>
      <c r="L4592" s="2" t="str">
        <f>HYPERLINK("https://www.nba.com/game/...-vs-...-0021800303/play-by-play?watchFullGame=true", "TOR vs MEM - Q1 02:41.00")</f>
        <v>TOR vs MEM - Q1 02:41.00</v>
      </c>
      <c r="M4592">
        <v>2</v>
      </c>
      <c r="N4592">
        <v>-16</v>
      </c>
      <c r="O4592">
        <v>17</v>
      </c>
      <c r="P4592">
        <v>-16</v>
      </c>
      <c r="Q4592">
        <v>17</v>
      </c>
      <c r="R4592" t="s">
        <v>21</v>
      </c>
      <c r="S4592" t="s">
        <v>21</v>
      </c>
    </row>
    <row r="4593" spans="1:19" hidden="1" x14ac:dyDescent="0.25">
      <c r="A4593">
        <v>21500872</v>
      </c>
      <c r="B4593" t="s">
        <v>18</v>
      </c>
      <c r="C4593" t="s">
        <v>32</v>
      </c>
      <c r="D4593">
        <v>99</v>
      </c>
      <c r="E4593">
        <v>85</v>
      </c>
      <c r="F4593">
        <v>14</v>
      </c>
      <c r="G4593">
        <v>4</v>
      </c>
      <c r="H4593" s="1">
        <v>1.8865740740740742E-3</v>
      </c>
      <c r="I4593">
        <v>2015</v>
      </c>
      <c r="J4593" t="s">
        <v>20</v>
      </c>
      <c r="K4593" s="2" t="str">
        <f>HYPERLINK("https://www.nba.com/stats/events?CFID=&amp;CFPARAMS=&amp;GameEventID=505&amp;GameID=0021500872&amp;Season=2015-16&amp;flag=1&amp;title=Leonard%202'%20Alley%20Oop%20Layup%20(27%20PTS)%20(Duncan%206%20AST)", "Leonard 2' Alley Oop Layup (27 PTS) (Duncan 6 AST)")</f>
        <v>Leonard 2' Alley Oop Layup (27 PTS) (Duncan 6 AST)</v>
      </c>
      <c r="L4593" s="2" t="str">
        <f>HYPERLINK("https://www.nba.com/game/...-vs-...-0021500872/play-by-play?watchFullGame=true", "SAS vs HOU - Q4 02:43.00")</f>
        <v>SAS vs HOU - Q4 02:43.00</v>
      </c>
      <c r="M4593">
        <v>2</v>
      </c>
      <c r="N4593">
        <v>-24</v>
      </c>
      <c r="O4593">
        <v>2</v>
      </c>
      <c r="P4593">
        <v>-24</v>
      </c>
      <c r="Q4593">
        <v>2</v>
      </c>
      <c r="R4593" t="s">
        <v>21</v>
      </c>
      <c r="S4593" t="s">
        <v>21</v>
      </c>
    </row>
    <row r="4594" spans="1:19" hidden="1" x14ac:dyDescent="0.25">
      <c r="A4594">
        <v>21601118</v>
      </c>
      <c r="B4594" t="s">
        <v>18</v>
      </c>
      <c r="C4594" t="s">
        <v>52</v>
      </c>
      <c r="D4594">
        <v>31</v>
      </c>
      <c r="E4594">
        <v>10</v>
      </c>
      <c r="F4594">
        <v>21</v>
      </c>
      <c r="G4594">
        <v>1</v>
      </c>
      <c r="H4594" s="1">
        <v>1.8865740740740742E-3</v>
      </c>
      <c r="I4594">
        <v>2016</v>
      </c>
      <c r="J4594" t="s">
        <v>20</v>
      </c>
      <c r="K4594" s="2" t="str">
        <f>HYPERLINK("https://www.nba.com/stats/events?CFID=&amp;CFPARAMS=&amp;GameEventID=101&amp;GameID=0021601118&amp;Season=2016-17&amp;flag=1&amp;title=Leonard%202'%20Cutting%20Layup%20Shot%20(8%20PTS)%20(Ginobili%201%20AST)", "Leonard 2' Cutting Layup Shot (8 PTS) (Ginobili 1 AST)")</f>
        <v>Leonard 2' Cutting Layup Shot (8 PTS) (Ginobili 1 AST)</v>
      </c>
      <c r="L4594" s="2" t="str">
        <f>HYPERLINK("https://www.nba.com/game/...-vs-...-0021601118/play-by-play?watchFullGame=true", "SAS vs GSW - Q1 02:43.00")</f>
        <v>SAS vs GSW - Q1 02:43.00</v>
      </c>
      <c r="M4594">
        <v>2</v>
      </c>
      <c r="N4594">
        <v>14</v>
      </c>
      <c r="O4594">
        <v>16</v>
      </c>
      <c r="P4594">
        <v>14</v>
      </c>
      <c r="Q4594">
        <v>16</v>
      </c>
      <c r="R4594" t="s">
        <v>21</v>
      </c>
      <c r="S4594" t="s">
        <v>21</v>
      </c>
    </row>
    <row r="4595" spans="1:19" hidden="1" x14ac:dyDescent="0.25">
      <c r="A4595">
        <v>21600016</v>
      </c>
      <c r="B4595" t="s">
        <v>18</v>
      </c>
      <c r="C4595" t="s">
        <v>22</v>
      </c>
      <c r="D4595">
        <v>68</v>
      </c>
      <c r="E4595">
        <v>68</v>
      </c>
      <c r="F4595">
        <v>0</v>
      </c>
      <c r="G4595">
        <v>3</v>
      </c>
      <c r="H4595" s="1">
        <v>1.9212962962962964E-3</v>
      </c>
      <c r="I4595">
        <v>2016</v>
      </c>
      <c r="J4595" t="s">
        <v>20</v>
      </c>
      <c r="K4595" s="2" t="str">
        <f>HYPERLINK("https://www.nba.com/stats/events?CFID=&amp;CFPARAMS=&amp;GameEventID=373&amp;GameID=0021600016&amp;Season=2016-17&amp;flag=1&amp;title=Leonard%202'%20Driving%20Layup%20(18%20PTS)", "Leonard 2' Driving Layup (18 PTS)")</f>
        <v>Leonard 2' Driving Layup (18 PTS)</v>
      </c>
      <c r="L4595" s="2" t="str">
        <f>HYPERLINK("https://www.nba.com/game/...-vs-...-0021600016/play-by-play?watchFullGame=true", "SAS vs SAC - Q3 02:46.00")</f>
        <v>SAS vs SAC - Q3 02:46.00</v>
      </c>
      <c r="M4595">
        <v>2</v>
      </c>
      <c r="N4595">
        <v>4</v>
      </c>
      <c r="O4595">
        <v>16</v>
      </c>
      <c r="P4595">
        <v>4</v>
      </c>
      <c r="Q4595">
        <v>16</v>
      </c>
      <c r="R4595" t="s">
        <v>21</v>
      </c>
      <c r="S4595" t="s">
        <v>21</v>
      </c>
    </row>
    <row r="4596" spans="1:19" hidden="1" x14ac:dyDescent="0.25">
      <c r="A4596">
        <v>41400167</v>
      </c>
      <c r="B4596" t="s">
        <v>18</v>
      </c>
      <c r="C4596" t="s">
        <v>24</v>
      </c>
      <c r="D4596">
        <v>105</v>
      </c>
      <c r="E4596">
        <v>102</v>
      </c>
      <c r="F4596">
        <v>3</v>
      </c>
      <c r="G4596">
        <v>4</v>
      </c>
      <c r="H4596" s="1">
        <v>1.9444444444444444E-3</v>
      </c>
      <c r="I4596" t="s">
        <v>56</v>
      </c>
      <c r="J4596" t="s">
        <v>20</v>
      </c>
      <c r="K4596" s="2" t="str">
        <f>HYPERLINK("https://www.nba.com/stats/events?CFID=&amp;CFPARAMS=&amp;GameEventID=500&amp;GameID=0041400167&amp;Season=2014-15&amp;flag=1&amp;title=Leonard%202'%20Layup%20(13%20PTS)", "Leonard 2' Layup (13 PTS)")</f>
        <v>Leonard 2' Layup (13 PTS)</v>
      </c>
      <c r="L4596" s="2" t="str">
        <f>HYPERLINK("https://www.nba.com/game/...-vs-...-0041400167/play-by-play?watchFullGame=true", "SAS vs LAC - Q4 02:48.00")</f>
        <v>SAS vs LAC - Q4 02:48.00</v>
      </c>
      <c r="M4596">
        <v>2</v>
      </c>
      <c r="N4596">
        <v>15</v>
      </c>
      <c r="O4596">
        <v>-2</v>
      </c>
      <c r="P4596">
        <v>15</v>
      </c>
      <c r="Q4596">
        <v>-2</v>
      </c>
      <c r="R4596" t="s">
        <v>21</v>
      </c>
      <c r="S4596" t="s">
        <v>21</v>
      </c>
    </row>
    <row r="4597" spans="1:19" hidden="1" x14ac:dyDescent="0.25">
      <c r="A4597">
        <v>21500275</v>
      </c>
      <c r="B4597" t="s">
        <v>18</v>
      </c>
      <c r="C4597" t="s">
        <v>44</v>
      </c>
      <c r="D4597">
        <v>23</v>
      </c>
      <c r="E4597">
        <v>15</v>
      </c>
      <c r="F4597">
        <v>8</v>
      </c>
      <c r="G4597">
        <v>1</v>
      </c>
      <c r="H4597" s="1">
        <v>1.9675925925925924E-3</v>
      </c>
      <c r="I4597">
        <v>2015</v>
      </c>
      <c r="J4597" t="s">
        <v>20</v>
      </c>
      <c r="K4597" s="2" t="str">
        <f>HYPERLINK("https://www.nba.com/stats/events?CFID=&amp;CFPARAMS=&amp;GameEventID=107&amp;GameID=0021500275&amp;Season=2015-16&amp;flag=1&amp;title=Leonard%202'%20Driving%20Reverse%20Layup%20(7%20PTS)%20(Mills%201%20AST)", "Leonard 2' Driving Reverse Layup (7 PTS) (Mills 1 AST)")</f>
        <v>Leonard 2' Driving Reverse Layup (7 PTS) (Mills 1 AST)</v>
      </c>
      <c r="L4597" s="2" t="str">
        <f>HYPERLINK("https://www.nba.com/game/...-vs-...-0021500275/play-by-play?watchFullGame=true", "SAS vs MIL - Q1 02:50.00")</f>
        <v>SAS vs MIL - Q1 02:50.00</v>
      </c>
      <c r="M4597">
        <v>2</v>
      </c>
      <c r="N4597">
        <v>19</v>
      </c>
      <c r="O4597">
        <v>-6</v>
      </c>
      <c r="P4597">
        <v>19</v>
      </c>
      <c r="Q4597">
        <v>-6</v>
      </c>
      <c r="R4597" t="s">
        <v>21</v>
      </c>
      <c r="S4597" t="s">
        <v>21</v>
      </c>
    </row>
    <row r="4598" spans="1:19" hidden="1" x14ac:dyDescent="0.25">
      <c r="A4598">
        <v>21400772</v>
      </c>
      <c r="B4598" t="s">
        <v>18</v>
      </c>
      <c r="C4598" t="s">
        <v>22</v>
      </c>
      <c r="D4598">
        <v>15</v>
      </c>
      <c r="E4598">
        <v>23</v>
      </c>
      <c r="F4598">
        <v>8</v>
      </c>
      <c r="G4598">
        <v>1</v>
      </c>
      <c r="H4598" s="1">
        <v>1.9791666666666668E-3</v>
      </c>
      <c r="I4598">
        <v>2014</v>
      </c>
      <c r="J4598" t="s">
        <v>20</v>
      </c>
      <c r="K4598" s="2" t="str">
        <f>HYPERLINK("https://www.nba.com/stats/events?CFID=&amp;CFPARAMS=&amp;GameEventID=99&amp;GameID=0021400772&amp;Season=2014-15&amp;flag=1&amp;title=Leonard%202'%20Driving%20Layup%20(4%20PTS)%20(Splitter%201%20AST)", "Leonard 2' Driving Layup (4 PTS) (Splitter 1 AST)")</f>
        <v>Leonard 2' Driving Layup (4 PTS) (Splitter 1 AST)</v>
      </c>
      <c r="L4598" s="2" t="str">
        <f>HYPERLINK("https://www.nba.com/game/...-vs-...-0021400772/play-by-play?watchFullGame=true", "SAS vs TOR - Q1 02:51.00")</f>
        <v>SAS vs TOR - Q1 02:51.00</v>
      </c>
      <c r="M4598">
        <v>2</v>
      </c>
      <c r="N4598">
        <v>23</v>
      </c>
      <c r="O4598">
        <v>1</v>
      </c>
      <c r="P4598">
        <v>23</v>
      </c>
      <c r="Q4598">
        <v>1</v>
      </c>
      <c r="R4598" t="s">
        <v>21</v>
      </c>
      <c r="S4598" t="s">
        <v>21</v>
      </c>
    </row>
    <row r="4599" spans="1:19" hidden="1" x14ac:dyDescent="0.25">
      <c r="A4599">
        <v>41600154</v>
      </c>
      <c r="B4599" t="s">
        <v>18</v>
      </c>
      <c r="C4599" t="s">
        <v>35</v>
      </c>
      <c r="D4599">
        <v>66</v>
      </c>
      <c r="E4599">
        <v>66</v>
      </c>
      <c r="F4599">
        <v>0</v>
      </c>
      <c r="G4599">
        <v>3</v>
      </c>
      <c r="H4599" s="1">
        <v>1.9907407407407408E-3</v>
      </c>
      <c r="I4599" t="s">
        <v>58</v>
      </c>
      <c r="J4599" t="s">
        <v>20</v>
      </c>
      <c r="K4599" s="2" t="str">
        <f>HYPERLINK("https://www.nba.com/stats/events?CFID=&amp;CFPARAMS=&amp;GameEventID=338&amp;GameID=0041600154&amp;Season=2016-17&amp;flag=1&amp;title=Leonard%202'%20Reverse%20Layup%20(19%20PTS)", "Leonard 2' Reverse Layup (19 PTS)")</f>
        <v>Leonard 2' Reverse Layup (19 PTS)</v>
      </c>
      <c r="L4599" s="2" t="str">
        <f>HYPERLINK("https://www.nba.com/game/...-vs-...-0041600154/play-by-play?watchFullGame=true", "SAS vs MEM - Q3 02:52.00")</f>
        <v>SAS vs MEM - Q3 02:52.00</v>
      </c>
      <c r="M4599">
        <v>2</v>
      </c>
      <c r="N4599">
        <v>12</v>
      </c>
      <c r="O4599">
        <v>11</v>
      </c>
      <c r="P4599">
        <v>12</v>
      </c>
      <c r="Q4599">
        <v>11</v>
      </c>
      <c r="R4599" t="s">
        <v>21</v>
      </c>
      <c r="S4599" t="s">
        <v>21</v>
      </c>
    </row>
    <row r="4600" spans="1:19" hidden="1" x14ac:dyDescent="0.25">
      <c r="A4600">
        <v>21500182</v>
      </c>
      <c r="B4600" t="s">
        <v>18</v>
      </c>
      <c r="C4600" t="s">
        <v>22</v>
      </c>
      <c r="D4600">
        <v>61</v>
      </c>
      <c r="E4600">
        <v>69</v>
      </c>
      <c r="F4600">
        <v>8</v>
      </c>
      <c r="G4600">
        <v>3</v>
      </c>
      <c r="H4600" s="1">
        <v>2.0254629629629629E-3</v>
      </c>
      <c r="I4600">
        <v>2015</v>
      </c>
      <c r="J4600" t="s">
        <v>20</v>
      </c>
      <c r="K4600" s="2" t="str">
        <f>HYPERLINK("https://www.nba.com/stats/events?CFID=&amp;CFPARAMS=&amp;GameEventID=398&amp;GameID=0021500182&amp;Season=2015-16&amp;flag=1&amp;title=Leonard%202'%20Driving%20Layup%20(15%20PTS)", "Leonard 2' Driving Layup (15 PTS)")</f>
        <v>Leonard 2' Driving Layup (15 PTS)</v>
      </c>
      <c r="L4600" s="2" t="str">
        <f>HYPERLINK("https://www.nba.com/game/...-vs-...-0021500182/play-by-play?watchFullGame=true", "SAS vs NOP - Q3 02:55.00")</f>
        <v>SAS vs NOP - Q3 02:55.00</v>
      </c>
      <c r="M4600">
        <v>2</v>
      </c>
      <c r="N4600">
        <v>-22</v>
      </c>
      <c r="O4600">
        <v>2</v>
      </c>
      <c r="P4600">
        <v>-22</v>
      </c>
      <c r="Q4600">
        <v>2</v>
      </c>
      <c r="R4600" t="s">
        <v>21</v>
      </c>
      <c r="S4600" t="s">
        <v>21</v>
      </c>
    </row>
    <row r="4601" spans="1:19" hidden="1" x14ac:dyDescent="0.25">
      <c r="A4601">
        <v>21300349</v>
      </c>
      <c r="B4601" t="s">
        <v>18</v>
      </c>
      <c r="C4601" t="s">
        <v>24</v>
      </c>
      <c r="D4601">
        <v>51</v>
      </c>
      <c r="E4601">
        <v>32</v>
      </c>
      <c r="F4601">
        <v>19</v>
      </c>
      <c r="G4601">
        <v>2</v>
      </c>
      <c r="H4601" s="1">
        <v>2.0486111111111113E-3</v>
      </c>
      <c r="I4601">
        <v>2013</v>
      </c>
      <c r="J4601" t="s">
        <v>20</v>
      </c>
      <c r="K4601" s="2" t="str">
        <f>HYPERLINK("https://www.nba.com/stats/events?CFID=&amp;CFPARAMS=&amp;GameEventID=198&amp;GameID=0021300349&amp;Season=2013-14&amp;flag=1&amp;title=Leonard%202'%20Layup%20(6%20PTS)%20(Duncan%202%20AST)", "Leonard 2' Layup (6 PTS) (Duncan 2 AST)")</f>
        <v>Leonard 2' Layup (6 PTS) (Duncan 2 AST)</v>
      </c>
      <c r="L4601" s="2" t="str">
        <f>HYPERLINK("https://www.nba.com/game/...-vs-...-0021300349/play-by-play?watchFullGame=true", "SAS vs UTA - Q2 02:57.00")</f>
        <v>SAS vs UTA - Q2 02:57.00</v>
      </c>
      <c r="M4601">
        <v>2</v>
      </c>
      <c r="N4601">
        <v>-15</v>
      </c>
      <c r="O4601">
        <v>1</v>
      </c>
      <c r="P4601">
        <v>-15</v>
      </c>
      <c r="Q4601">
        <v>1</v>
      </c>
      <c r="R4601" t="s">
        <v>21</v>
      </c>
      <c r="S4601" t="s">
        <v>21</v>
      </c>
    </row>
    <row r="4602" spans="1:19" hidden="1" x14ac:dyDescent="0.25">
      <c r="A4602">
        <v>41600154</v>
      </c>
      <c r="B4602" t="s">
        <v>18</v>
      </c>
      <c r="C4602" t="s">
        <v>51</v>
      </c>
      <c r="D4602">
        <v>87</v>
      </c>
      <c r="E4602">
        <v>88</v>
      </c>
      <c r="F4602">
        <v>1</v>
      </c>
      <c r="G4602">
        <v>4</v>
      </c>
      <c r="H4602" s="1">
        <v>2.0486111111111113E-3</v>
      </c>
      <c r="I4602" t="s">
        <v>58</v>
      </c>
      <c r="J4602" t="s">
        <v>20</v>
      </c>
      <c r="K4602" s="2" t="str">
        <f>HYPERLINK("https://www.nba.com/stats/events?CFID=&amp;CFPARAMS=&amp;GameEventID=466&amp;GameID=0041600154&amp;Season=2016-17&amp;flag=1&amp;title=Leonard%202'%20Running%20Layup%20(26%20PTS)", "Leonard 2' Running Layup (26 PTS)")</f>
        <v>Leonard 2' Running Layup (26 PTS)</v>
      </c>
      <c r="L4602" s="2" t="str">
        <f>HYPERLINK("https://www.nba.com/game/...-vs-...-0041600154/play-by-play?watchFullGame=true", "SAS vs MEM - Q4 02:57.00")</f>
        <v>SAS vs MEM - Q4 02:57.00</v>
      </c>
      <c r="M4602">
        <v>2</v>
      </c>
      <c r="N4602">
        <v>14</v>
      </c>
      <c r="O4602">
        <v>7</v>
      </c>
      <c r="P4602">
        <v>14</v>
      </c>
      <c r="Q4602">
        <v>7</v>
      </c>
      <c r="R4602" t="s">
        <v>21</v>
      </c>
      <c r="S4602" t="s">
        <v>21</v>
      </c>
    </row>
    <row r="4603" spans="1:19" hidden="1" x14ac:dyDescent="0.25">
      <c r="A4603">
        <v>21600508</v>
      </c>
      <c r="B4603" t="s">
        <v>18</v>
      </c>
      <c r="C4603" t="s">
        <v>44</v>
      </c>
      <c r="D4603">
        <v>21</v>
      </c>
      <c r="E4603">
        <v>16</v>
      </c>
      <c r="F4603">
        <v>5</v>
      </c>
      <c r="G4603">
        <v>1</v>
      </c>
      <c r="H4603" s="1">
        <v>2.0717592592592593E-3</v>
      </c>
      <c r="I4603">
        <v>2016</v>
      </c>
      <c r="J4603" t="s">
        <v>20</v>
      </c>
      <c r="K4603" s="2" t="str">
        <f>HYPERLINK("https://www.nba.com/stats/events?CFID=&amp;CFPARAMS=&amp;GameEventID=97&amp;GameID=0021600508&amp;Season=2016-17&amp;flag=1&amp;title=Leonard%202'%20Driving%20Reverse%20Layup%20(2%20PTS)%20(Lee%201%20AST)", "Leonard 2' Driving Reverse Layup (2 PTS) (Lee 1 AST)")</f>
        <v>Leonard 2' Driving Reverse Layup (2 PTS) (Lee 1 AST)</v>
      </c>
      <c r="L4603" s="2" t="str">
        <f>HYPERLINK("https://www.nba.com/game/...-vs-...-0021600508/play-by-play?watchFullGame=true", "SAS vs ATL - Q1 02:59.00")</f>
        <v>SAS vs ATL - Q1 02:59.00</v>
      </c>
      <c r="M4603">
        <v>2</v>
      </c>
      <c r="N4603">
        <v>15</v>
      </c>
      <c r="O4603">
        <v>2</v>
      </c>
      <c r="P4603">
        <v>15</v>
      </c>
      <c r="Q4603">
        <v>2</v>
      </c>
      <c r="R4603" t="s">
        <v>21</v>
      </c>
      <c r="S4603" t="s">
        <v>21</v>
      </c>
    </row>
    <row r="4604" spans="1:19" hidden="1" x14ac:dyDescent="0.25">
      <c r="A4604">
        <v>21700428</v>
      </c>
      <c r="B4604" t="s">
        <v>18</v>
      </c>
      <c r="C4604" t="s">
        <v>22</v>
      </c>
      <c r="D4604">
        <v>34</v>
      </c>
      <c r="E4604">
        <v>57</v>
      </c>
      <c r="F4604">
        <v>23</v>
      </c>
      <c r="G4604">
        <v>2</v>
      </c>
      <c r="H4604" s="1">
        <v>2.0949074074074073E-3</v>
      </c>
      <c r="I4604">
        <v>2017</v>
      </c>
      <c r="J4604" t="s">
        <v>20</v>
      </c>
      <c r="K4604" s="2" t="str">
        <f>HYPERLINK("https://www.nba.com/stats/events?CFID=&amp;CFPARAMS=&amp;GameEventID=276&amp;GameID=0021700428&amp;Season=2017-18&amp;flag=1&amp;title=Leonard%202'%20Driving%20Layup%20(9%20PTS)", "Leonard 2' Driving Layup (9 PTS)")</f>
        <v>Leonard 2' Driving Layup (9 PTS)</v>
      </c>
      <c r="L4604" s="2" t="str">
        <f>HYPERLINK("https://www.nba.com/game/...-vs-...-0021700428/play-by-play?watchFullGame=true", "SAS vs HOU - Q2 03:01.00")</f>
        <v>SAS vs HOU - Q2 03:01.00</v>
      </c>
      <c r="M4604">
        <v>2</v>
      </c>
      <c r="N4604">
        <v>-19</v>
      </c>
      <c r="O4604">
        <v>6</v>
      </c>
      <c r="P4604">
        <v>-19</v>
      </c>
      <c r="Q4604">
        <v>6</v>
      </c>
      <c r="R4604" t="s">
        <v>21</v>
      </c>
      <c r="S4604" t="s">
        <v>21</v>
      </c>
    </row>
    <row r="4605" spans="1:19" hidden="1" x14ac:dyDescent="0.25">
      <c r="A4605">
        <v>21801195</v>
      </c>
      <c r="B4605" t="s">
        <v>18</v>
      </c>
      <c r="C4605" t="s">
        <v>40</v>
      </c>
      <c r="D4605">
        <v>70</v>
      </c>
      <c r="E4605">
        <v>72</v>
      </c>
      <c r="F4605">
        <v>2</v>
      </c>
      <c r="G4605">
        <v>3</v>
      </c>
      <c r="H4605" s="1">
        <v>2.1527777777777778E-3</v>
      </c>
      <c r="I4605">
        <v>2018</v>
      </c>
      <c r="J4605" t="s">
        <v>48</v>
      </c>
      <c r="K4605" s="2" t="str">
        <f>HYPERLINK("https://www.nba.com/stats/events?CFID=&amp;CFPARAMS=&amp;GameEventID=408&amp;GameID=0021801195&amp;Season=2018-19&amp;flag=1&amp;title=Leonard%202'%20Driving%20Finger%20Roll%20Layup%20(13%20PTS)", "Leonard 2' Driving Finger Roll Layup (13 PTS)")</f>
        <v>Leonard 2' Driving Finger Roll Layup (13 PTS)</v>
      </c>
      <c r="L4605" s="2" t="str">
        <f>HYPERLINK("https://www.nba.com/game/...-vs-...-0021801195/play-by-play?watchFullGame=true", "TOR vs MIA - Q3 03:06.00")</f>
        <v>TOR vs MIA - Q3 03:06.00</v>
      </c>
      <c r="M4605">
        <v>2</v>
      </c>
      <c r="N4605">
        <v>20</v>
      </c>
      <c r="O4605">
        <v>3</v>
      </c>
      <c r="P4605">
        <v>20</v>
      </c>
      <c r="Q4605">
        <v>3</v>
      </c>
      <c r="R4605" t="s">
        <v>21</v>
      </c>
      <c r="S4605" t="s">
        <v>21</v>
      </c>
    </row>
    <row r="4606" spans="1:19" hidden="1" x14ac:dyDescent="0.25">
      <c r="A4606">
        <v>21600150</v>
      </c>
      <c r="B4606" t="s">
        <v>18</v>
      </c>
      <c r="C4606" t="s">
        <v>33</v>
      </c>
      <c r="D4606">
        <v>21</v>
      </c>
      <c r="E4606">
        <v>10</v>
      </c>
      <c r="F4606">
        <v>11</v>
      </c>
      <c r="G4606">
        <v>1</v>
      </c>
      <c r="H4606" s="1">
        <v>2.1643518518518518E-3</v>
      </c>
      <c r="I4606">
        <v>2016</v>
      </c>
      <c r="J4606" t="s">
        <v>20</v>
      </c>
      <c r="K4606" s="2" t="str">
        <f>HYPERLINK("https://www.nba.com/stats/events?CFID=&amp;CFPARAMS=&amp;GameEventID=80&amp;GameID=0021600150&amp;Season=2016-17&amp;flag=1&amp;title=Leonard%202'%20Putback%20Layup%20(6%20PTS)", "Leonard 2' Putback Layup (6 PTS)")</f>
        <v>Leonard 2' Putback Layup (6 PTS)</v>
      </c>
      <c r="L4606" s="2" t="str">
        <f>HYPERLINK("https://www.nba.com/game/...-vs-...-0021600150/play-by-play?watchFullGame=true", "SAS vs MIA - Q1 03:07.00")</f>
        <v>SAS vs MIA - Q1 03:07.00</v>
      </c>
      <c r="M4606">
        <v>2</v>
      </c>
      <c r="N4606">
        <v>2</v>
      </c>
      <c r="O4606">
        <v>21</v>
      </c>
      <c r="P4606">
        <v>2</v>
      </c>
      <c r="Q4606">
        <v>21</v>
      </c>
      <c r="R4606" t="s">
        <v>21</v>
      </c>
      <c r="S4606" t="s">
        <v>21</v>
      </c>
    </row>
    <row r="4607" spans="1:19" hidden="1" x14ac:dyDescent="0.25">
      <c r="A4607">
        <v>21501063</v>
      </c>
      <c r="B4607" t="s">
        <v>18</v>
      </c>
      <c r="C4607" t="s">
        <v>22</v>
      </c>
      <c r="D4607">
        <v>49</v>
      </c>
      <c r="E4607">
        <v>43</v>
      </c>
      <c r="F4607">
        <v>6</v>
      </c>
      <c r="G4607">
        <v>2</v>
      </c>
      <c r="H4607" s="1">
        <v>2.1759259259259258E-3</v>
      </c>
      <c r="I4607">
        <v>2015</v>
      </c>
      <c r="J4607" t="s">
        <v>20</v>
      </c>
      <c r="K4607" s="2" t="str">
        <f>HYPERLINK("https://www.nba.com/stats/events?CFID=&amp;CFPARAMS=&amp;GameEventID=203&amp;GameID=0021501063&amp;Season=2015-16&amp;flag=1&amp;title=Leonard%202'%20Driving%20Layup%20(17%20PTS)%20(Duncan%203%20AST)", "Leonard 2' Driving Layup (17 PTS) (Duncan 3 AST)")</f>
        <v>Leonard 2' Driving Layup (17 PTS) (Duncan 3 AST)</v>
      </c>
      <c r="L4607" s="2" t="str">
        <f>HYPERLINK("https://www.nba.com/game/...-vs-...-0021501063/play-by-play?watchFullGame=true", "SAS vs MIA - Q2 03:08.00")</f>
        <v>SAS vs MIA - Q2 03:08.00</v>
      </c>
      <c r="M4607">
        <v>2</v>
      </c>
      <c r="N4607">
        <v>22</v>
      </c>
      <c r="O4607">
        <v>8</v>
      </c>
      <c r="P4607">
        <v>22</v>
      </c>
      <c r="Q4607">
        <v>8</v>
      </c>
      <c r="R4607" t="s">
        <v>21</v>
      </c>
      <c r="S4607" t="s">
        <v>21</v>
      </c>
    </row>
    <row r="4608" spans="1:19" hidden="1" x14ac:dyDescent="0.25">
      <c r="A4608">
        <v>41200236</v>
      </c>
      <c r="B4608" t="s">
        <v>18</v>
      </c>
      <c r="C4608" t="s">
        <v>24</v>
      </c>
      <c r="D4608">
        <v>16</v>
      </c>
      <c r="E4608">
        <v>15</v>
      </c>
      <c r="F4608">
        <v>1</v>
      </c>
      <c r="G4608">
        <v>1</v>
      </c>
      <c r="H4608" s="1">
        <v>2.1875000000000002E-3</v>
      </c>
      <c r="I4608" t="s">
        <v>53</v>
      </c>
      <c r="J4608" t="s">
        <v>20</v>
      </c>
      <c r="K4608" s="2" t="str">
        <f>HYPERLINK("https://www.nba.com/stats/events?CFID=&amp;CFPARAMS=&amp;GameEventID=66&amp;GameID=0041200236&amp;Season=2012-13&amp;flag=1&amp;title=Leonard%202'%20Layup%20(4%20PTS)%20(Ginobili%203%20AST)", "Leonard 2' Layup (4 PTS) (Ginobili 3 AST)")</f>
        <v>Leonard 2' Layup (4 PTS) (Ginobili 3 AST)</v>
      </c>
      <c r="L4608" s="2" t="str">
        <f>HYPERLINK("https://www.nba.com/game/...-vs-...-0041200236/play-by-play?watchFullGame=true", "SAS vs GSW - Q1 03:09.00")</f>
        <v>SAS vs GSW - Q1 03:09.00</v>
      </c>
      <c r="M4608">
        <v>2</v>
      </c>
      <c r="N4608">
        <v>9</v>
      </c>
      <c r="O4608">
        <v>20</v>
      </c>
      <c r="P4608">
        <v>9</v>
      </c>
      <c r="Q4608">
        <v>20</v>
      </c>
      <c r="R4608" t="s">
        <v>21</v>
      </c>
      <c r="S4608" t="s">
        <v>21</v>
      </c>
    </row>
    <row r="4609" spans="1:19" hidden="1" x14ac:dyDescent="0.25">
      <c r="A4609">
        <v>41800113</v>
      </c>
      <c r="B4609" t="s">
        <v>18</v>
      </c>
      <c r="C4609" t="s">
        <v>51</v>
      </c>
      <c r="D4609">
        <v>94</v>
      </c>
      <c r="E4609">
        <v>85</v>
      </c>
      <c r="F4609">
        <v>9</v>
      </c>
      <c r="G4609">
        <v>4</v>
      </c>
      <c r="H4609" s="1">
        <v>2.2337962962962962E-3</v>
      </c>
      <c r="I4609" t="s">
        <v>60</v>
      </c>
      <c r="J4609" t="s">
        <v>48</v>
      </c>
      <c r="K4609" s="2" t="str">
        <f>HYPERLINK("https://www.nba.com/stats/events?CFID=&amp;CFPARAMS=&amp;GameEventID=586&amp;GameID=0041800113&amp;Season=2018-19&amp;flag=1&amp;title=Leonard%202'%20Running%20Layup%20(14%20PTS)", "Leonard 2' Running Layup (14 PTS)")</f>
        <v>Leonard 2' Running Layup (14 PTS)</v>
      </c>
      <c r="L4609" s="2" t="str">
        <f>HYPERLINK("https://www.nba.com/game/...-vs-...-0041800113/play-by-play?watchFullGame=true", "TOR vs ORL - Q4 03:13.00")</f>
        <v>TOR vs ORL - Q4 03:13.00</v>
      </c>
      <c r="M4609">
        <v>2</v>
      </c>
      <c r="N4609">
        <v>-4</v>
      </c>
      <c r="O4609">
        <v>22</v>
      </c>
      <c r="P4609">
        <v>-4</v>
      </c>
      <c r="Q4609">
        <v>22</v>
      </c>
      <c r="R4609" t="s">
        <v>21</v>
      </c>
      <c r="S4609" t="s">
        <v>21</v>
      </c>
    </row>
    <row r="4610" spans="1:19" hidden="1" x14ac:dyDescent="0.25">
      <c r="A4610">
        <v>21400241</v>
      </c>
      <c r="B4610" t="s">
        <v>18</v>
      </c>
      <c r="C4610" t="s">
        <v>22</v>
      </c>
      <c r="D4610">
        <v>68</v>
      </c>
      <c r="E4610">
        <v>67</v>
      </c>
      <c r="F4610">
        <v>1</v>
      </c>
      <c r="G4610">
        <v>3</v>
      </c>
      <c r="H4610" s="1">
        <v>2.2800925925925927E-3</v>
      </c>
      <c r="I4610">
        <v>2014</v>
      </c>
      <c r="J4610" t="s">
        <v>20</v>
      </c>
      <c r="K4610" s="2" t="str">
        <f>HYPERLINK("https://www.nba.com/stats/events?CFID=&amp;CFPARAMS=&amp;GameEventID=316&amp;GameID=0021400241&amp;Season=2014-15&amp;flag=1&amp;title=Leonard%202'%20Driving%20Layup%20(9%20PTS)", "Leonard 2' Driving Layup (9 PTS)")</f>
        <v>Leonard 2' Driving Layup (9 PTS)</v>
      </c>
      <c r="L4610" s="2" t="str">
        <f>HYPERLINK("https://www.nba.com/game/...-vs-...-0021400241/play-by-play?watchFullGame=true", "SAS vs BOS - Q3 03:17.00")</f>
        <v>SAS vs BOS - Q3 03:17.00</v>
      </c>
      <c r="M4610">
        <v>2</v>
      </c>
      <c r="N4610">
        <v>20</v>
      </c>
      <c r="O4610">
        <v>6</v>
      </c>
      <c r="P4610">
        <v>20</v>
      </c>
      <c r="Q4610">
        <v>6</v>
      </c>
      <c r="R4610" t="s">
        <v>21</v>
      </c>
      <c r="S4610" t="s">
        <v>21</v>
      </c>
    </row>
    <row r="4611" spans="1:19" hidden="1" x14ac:dyDescent="0.25">
      <c r="A4611">
        <v>21400314</v>
      </c>
      <c r="B4611" t="s">
        <v>18</v>
      </c>
      <c r="C4611" t="s">
        <v>24</v>
      </c>
      <c r="D4611">
        <v>84</v>
      </c>
      <c r="E4611">
        <v>93</v>
      </c>
      <c r="F4611">
        <v>9</v>
      </c>
      <c r="G4611">
        <v>4</v>
      </c>
      <c r="H4611" s="1">
        <v>2.2916666666666667E-3</v>
      </c>
      <c r="I4611">
        <v>2014</v>
      </c>
      <c r="J4611" t="s">
        <v>20</v>
      </c>
      <c r="K4611" s="2" t="str">
        <f>HYPERLINK("https://www.nba.com/stats/events?CFID=&amp;CFPARAMS=&amp;GameEventID=443&amp;GameID=0021400314&amp;Season=2014-15&amp;flag=1&amp;title=Leonard%202'%20Layup%20(15%20PTS)", "Leonard 2' Layup (15 PTS)")</f>
        <v>Leonard 2' Layup (15 PTS)</v>
      </c>
      <c r="L4611" s="2" t="str">
        <f>HYPERLINK("https://www.nba.com/game/...-vs-...-0021400314/play-by-play?watchFullGame=true", "SAS vs UTA - Q4 03:18.00")</f>
        <v>SAS vs UTA - Q4 03:18.00</v>
      </c>
      <c r="M4611">
        <v>2</v>
      </c>
      <c r="N4611">
        <v>13</v>
      </c>
      <c r="O4611">
        <v>9</v>
      </c>
      <c r="P4611">
        <v>13</v>
      </c>
      <c r="Q4611">
        <v>9</v>
      </c>
      <c r="R4611" t="s">
        <v>21</v>
      </c>
      <c r="S4611" t="s">
        <v>21</v>
      </c>
    </row>
    <row r="4612" spans="1:19" hidden="1" x14ac:dyDescent="0.25">
      <c r="A4612">
        <v>21800206</v>
      </c>
      <c r="B4612" t="s">
        <v>18</v>
      </c>
      <c r="C4612" t="s">
        <v>22</v>
      </c>
      <c r="D4612">
        <v>99</v>
      </c>
      <c r="E4612">
        <v>100</v>
      </c>
      <c r="F4612">
        <v>1</v>
      </c>
      <c r="G4612">
        <v>4</v>
      </c>
      <c r="H4612" s="1">
        <v>2.3032407407407407E-3</v>
      </c>
      <c r="I4612">
        <v>2018</v>
      </c>
      <c r="J4612" t="s">
        <v>48</v>
      </c>
      <c r="K4612" s="2" t="str">
        <f>HYPERLINK("https://www.nba.com/stats/events?CFID=&amp;CFPARAMS=&amp;GameEventID=608&amp;GameID=0021800206&amp;Season=2018-19&amp;flag=1&amp;title=Leonard%202'%20Driving%20Layup%20(23%20PTS)", "Leonard 2' Driving Layup (23 PTS)")</f>
        <v>Leonard 2' Driving Layup (23 PTS)</v>
      </c>
      <c r="L4612" s="2" t="str">
        <f>HYPERLINK("https://www.nba.com/game/...-vs-...-0021800206/play-by-play?watchFullGame=true", "TOR vs DET - Q4 03:19.00")</f>
        <v>TOR vs DET - Q4 03:19.00</v>
      </c>
      <c r="M4612">
        <v>2</v>
      </c>
      <c r="N4612">
        <v>-15</v>
      </c>
      <c r="O4612">
        <v>-10</v>
      </c>
      <c r="P4612">
        <v>-15</v>
      </c>
      <c r="Q4612">
        <v>-10</v>
      </c>
      <c r="R4612" t="s">
        <v>21</v>
      </c>
      <c r="S4612" t="s">
        <v>21</v>
      </c>
    </row>
    <row r="4613" spans="1:19" hidden="1" x14ac:dyDescent="0.25">
      <c r="A4613">
        <v>21500945</v>
      </c>
      <c r="B4613" t="s">
        <v>18</v>
      </c>
      <c r="C4613" t="s">
        <v>22</v>
      </c>
      <c r="D4613">
        <v>49</v>
      </c>
      <c r="E4613">
        <v>45</v>
      </c>
      <c r="F4613">
        <v>4</v>
      </c>
      <c r="G4613">
        <v>2</v>
      </c>
      <c r="H4613" s="1">
        <v>2.3148148148148147E-3</v>
      </c>
      <c r="I4613">
        <v>2015</v>
      </c>
      <c r="J4613" t="s">
        <v>20</v>
      </c>
      <c r="K4613" s="2" t="str">
        <f>HYPERLINK("https://www.nba.com/stats/events?CFID=&amp;CFPARAMS=&amp;GameEventID=204&amp;GameID=0021500945&amp;Season=2015-16&amp;flag=1&amp;title=Leonard%202'%20Driving%20Layup%20(6%20PTS)%20(Aldridge%202%20AST)", "Leonard 2' Driving Layup (6 PTS) (Aldridge 2 AST)")</f>
        <v>Leonard 2' Driving Layup (6 PTS) (Aldridge 2 AST)</v>
      </c>
      <c r="L4613" s="2" t="str">
        <f>HYPERLINK("https://www.nba.com/game/...-vs-...-0021500945/play-by-play?watchFullGame=true", "SAS vs MIN - Q2 03:20.00")</f>
        <v>SAS vs MIN - Q2 03:20.00</v>
      </c>
      <c r="M4613">
        <v>2</v>
      </c>
      <c r="N4613">
        <v>2</v>
      </c>
      <c r="O4613">
        <v>21</v>
      </c>
      <c r="P4613">
        <v>2</v>
      </c>
      <c r="Q4613">
        <v>21</v>
      </c>
      <c r="R4613" t="s">
        <v>21</v>
      </c>
      <c r="S4613" t="s">
        <v>21</v>
      </c>
    </row>
    <row r="4614" spans="1:19" hidden="1" x14ac:dyDescent="0.25">
      <c r="A4614">
        <v>21801023</v>
      </c>
      <c r="B4614" t="s">
        <v>18</v>
      </c>
      <c r="C4614" t="s">
        <v>22</v>
      </c>
      <c r="D4614">
        <v>51</v>
      </c>
      <c r="E4614">
        <v>50</v>
      </c>
      <c r="F4614">
        <v>1</v>
      </c>
      <c r="G4614">
        <v>2</v>
      </c>
      <c r="H4614" s="1">
        <v>2.3495370370370371E-3</v>
      </c>
      <c r="I4614">
        <v>2018</v>
      </c>
      <c r="J4614" t="s">
        <v>48</v>
      </c>
      <c r="K4614" s="2" t="str">
        <f>HYPERLINK("https://www.nba.com/stats/events?CFID=&amp;CFPARAMS=&amp;GameEventID=309&amp;GameID=0021801023&amp;Season=2018-19&amp;flag=1&amp;title=Leonard%202'%20Driving%20Layup%20(10%20PTS)%20(Siakam%204%20AST)", "Leonard 2' Driving Layup (10 PTS) (Siakam 4 AST)")</f>
        <v>Leonard 2' Driving Layup (10 PTS) (Siakam 4 AST)</v>
      </c>
      <c r="L4614" s="2" t="str">
        <f>HYPERLINK("https://www.nba.com/game/...-vs-...-0021801023/play-by-play?watchFullGame=true", "TOR vs LAL - Q2 03:23.00")</f>
        <v>TOR vs LAL - Q2 03:23.00</v>
      </c>
      <c r="M4614">
        <v>2</v>
      </c>
      <c r="N4614">
        <v>-16</v>
      </c>
      <c r="O4614">
        <v>12</v>
      </c>
      <c r="P4614">
        <v>-16</v>
      </c>
      <c r="Q4614">
        <v>12</v>
      </c>
      <c r="R4614" t="s">
        <v>21</v>
      </c>
      <c r="S4614" t="s">
        <v>21</v>
      </c>
    </row>
    <row r="4615" spans="1:19" hidden="1" x14ac:dyDescent="0.25">
      <c r="A4615">
        <v>21601209</v>
      </c>
      <c r="B4615" t="s">
        <v>18</v>
      </c>
      <c r="C4615" t="s">
        <v>40</v>
      </c>
      <c r="D4615">
        <v>40</v>
      </c>
      <c r="E4615">
        <v>43</v>
      </c>
      <c r="F4615">
        <v>3</v>
      </c>
      <c r="G4615">
        <v>2</v>
      </c>
      <c r="H4615" s="1">
        <v>2.3726851851851851E-3</v>
      </c>
      <c r="I4615">
        <v>2016</v>
      </c>
      <c r="J4615" t="s">
        <v>20</v>
      </c>
      <c r="K4615" s="2" t="str">
        <f>HYPERLINK("https://www.nba.com/stats/events?CFID=&amp;CFPARAMS=&amp;GameEventID=213&amp;GameID=0021601209&amp;Season=2016-17&amp;flag=1&amp;title=Leonard%202'%20Driving%20Finger%20Roll%20Layup%20(9%20PTS)", "Leonard 2' Driving Finger Roll Layup (9 PTS)")</f>
        <v>Leonard 2' Driving Finger Roll Layup (9 PTS)</v>
      </c>
      <c r="L4615" s="2" t="str">
        <f>HYPERLINK("https://www.nba.com/game/...-vs-...-0021601209/play-by-play?watchFullGame=true", "SAS vs POR - Q2 03:25.00")</f>
        <v>SAS vs POR - Q2 03:25.00</v>
      </c>
      <c r="M4615">
        <v>2</v>
      </c>
      <c r="N4615">
        <v>-1</v>
      </c>
      <c r="O4615">
        <v>18</v>
      </c>
      <c r="P4615">
        <v>-1</v>
      </c>
      <c r="Q4615">
        <v>18</v>
      </c>
      <c r="R4615" t="s">
        <v>21</v>
      </c>
      <c r="S4615" t="s">
        <v>21</v>
      </c>
    </row>
    <row r="4616" spans="1:19" hidden="1" x14ac:dyDescent="0.25">
      <c r="A4616">
        <v>21600762</v>
      </c>
      <c r="B4616" t="s">
        <v>18</v>
      </c>
      <c r="C4616" t="s">
        <v>52</v>
      </c>
      <c r="D4616">
        <v>82</v>
      </c>
      <c r="E4616">
        <v>59</v>
      </c>
      <c r="F4616">
        <v>23</v>
      </c>
      <c r="G4616">
        <v>3</v>
      </c>
      <c r="H4616" s="1">
        <v>2.3842592592592591E-3</v>
      </c>
      <c r="I4616">
        <v>2016</v>
      </c>
      <c r="J4616" t="s">
        <v>20</v>
      </c>
      <c r="K4616" s="2" t="str">
        <f>HYPERLINK("https://www.nba.com/stats/events?CFID=&amp;CFPARAMS=&amp;GameEventID=353&amp;GameID=0021600762&amp;Season=2016-17&amp;flag=1&amp;title=Leonard%202'%20Cutting%20Layup%20Shot%20(17%20PTS)%20(Lee%204%20AST)", "Leonard 2' Cutting Layup Shot (17 PTS) (Lee 4 AST)")</f>
        <v>Leonard 2' Cutting Layup Shot (17 PTS) (Lee 4 AST)</v>
      </c>
      <c r="L4616" s="2" t="str">
        <f>HYPERLINK("https://www.nba.com/game/...-vs-...-0021600762/play-by-play?watchFullGame=true", "SAS vs DEN - Q3 03:26.00")</f>
        <v>SAS vs DEN - Q3 03:26.00</v>
      </c>
      <c r="M4616">
        <v>2</v>
      </c>
      <c r="N4616">
        <v>0</v>
      </c>
      <c r="O4616">
        <v>16</v>
      </c>
      <c r="P4616">
        <v>0</v>
      </c>
      <c r="Q4616">
        <v>16</v>
      </c>
      <c r="R4616" t="s">
        <v>21</v>
      </c>
      <c r="S4616" t="s">
        <v>21</v>
      </c>
    </row>
    <row r="4617" spans="1:19" hidden="1" x14ac:dyDescent="0.25">
      <c r="A4617">
        <v>21400361</v>
      </c>
      <c r="B4617" t="s">
        <v>18</v>
      </c>
      <c r="C4617" t="s">
        <v>22</v>
      </c>
      <c r="D4617">
        <v>16</v>
      </c>
      <c r="E4617">
        <v>16</v>
      </c>
      <c r="F4617">
        <v>0</v>
      </c>
      <c r="G4617">
        <v>1</v>
      </c>
      <c r="H4617" s="1">
        <v>2.4074074074074076E-3</v>
      </c>
      <c r="I4617">
        <v>2014</v>
      </c>
      <c r="J4617" t="s">
        <v>20</v>
      </c>
      <c r="K4617" s="2" t="str">
        <f>HYPERLINK("https://www.nba.com/stats/events?CFID=&amp;CFPARAMS=&amp;GameEventID=72&amp;GameID=0021400361&amp;Season=2014-15&amp;flag=1&amp;title=Leonard%202'%20Driving%20Layup%20(2%20PTS)", "Leonard 2' Driving Layup (2 PTS)")</f>
        <v>Leonard 2' Driving Layup (2 PTS)</v>
      </c>
      <c r="L4617" s="2" t="str">
        <f>HYPERLINK("https://www.nba.com/game/...-vs-...-0021400361/play-by-play?watchFullGame=true", "SAS vs POR - Q1 03:28.00")</f>
        <v>SAS vs POR - Q1 03:28.00</v>
      </c>
      <c r="M4617">
        <v>2</v>
      </c>
      <c r="N4617">
        <v>21</v>
      </c>
      <c r="O4617">
        <v>0</v>
      </c>
      <c r="P4617">
        <v>21</v>
      </c>
      <c r="Q4617">
        <v>0</v>
      </c>
      <c r="R4617" t="s">
        <v>21</v>
      </c>
      <c r="S4617" t="s">
        <v>21</v>
      </c>
    </row>
    <row r="4618" spans="1:19" hidden="1" x14ac:dyDescent="0.25">
      <c r="A4618">
        <v>21300013</v>
      </c>
      <c r="B4618" t="s">
        <v>18</v>
      </c>
      <c r="C4618" t="s">
        <v>24</v>
      </c>
      <c r="D4618">
        <v>94</v>
      </c>
      <c r="E4618">
        <v>84</v>
      </c>
      <c r="F4618">
        <v>10</v>
      </c>
      <c r="G4618">
        <v>4</v>
      </c>
      <c r="H4618" s="1">
        <v>2.4189814814814816E-3</v>
      </c>
      <c r="I4618">
        <v>2013</v>
      </c>
      <c r="J4618" t="s">
        <v>20</v>
      </c>
      <c r="K4618" s="2" t="str">
        <f>HYPERLINK("https://www.nba.com/stats/events?CFID=&amp;CFPARAMS=&amp;GameEventID=456&amp;GameID=0021300013&amp;Season=2013-14&amp;flag=1&amp;title=Leonard%202'%20Layup%20(11%20PTS)", "Leonard 2' Layup (11 PTS)")</f>
        <v>Leonard 2' Layup (11 PTS)</v>
      </c>
      <c r="L4618" s="2" t="str">
        <f>HYPERLINK("https://www.nba.com/game/...-vs-...-0021300013/play-by-play?watchFullGame=true", "SAS vs MEM - Q4 03:29.00")</f>
        <v>SAS vs MEM - Q4 03:29.00</v>
      </c>
      <c r="M4618">
        <v>2</v>
      </c>
      <c r="N4618">
        <v>-16</v>
      </c>
      <c r="O4618">
        <v>15</v>
      </c>
      <c r="P4618">
        <v>-16</v>
      </c>
      <c r="Q4618">
        <v>15</v>
      </c>
      <c r="R4618" t="s">
        <v>21</v>
      </c>
      <c r="S4618" t="s">
        <v>21</v>
      </c>
    </row>
    <row r="4619" spans="1:19" hidden="1" x14ac:dyDescent="0.25">
      <c r="A4619">
        <v>21800549</v>
      </c>
      <c r="B4619" t="s">
        <v>18</v>
      </c>
      <c r="C4619" t="s">
        <v>44</v>
      </c>
      <c r="D4619">
        <v>113</v>
      </c>
      <c r="E4619">
        <v>105</v>
      </c>
      <c r="F4619">
        <v>8</v>
      </c>
      <c r="G4619">
        <v>4</v>
      </c>
      <c r="H4619" s="1">
        <v>2.4305555555555556E-3</v>
      </c>
      <c r="I4619">
        <v>2018</v>
      </c>
      <c r="J4619" t="s">
        <v>48</v>
      </c>
      <c r="K4619" s="2" t="str">
        <f>HYPERLINK("https://www.nba.com/stats/events?CFID=&amp;CFPARAMS=&amp;GameEventID=597&amp;GameID=0021800549&amp;Season=2018-19&amp;flag=1&amp;title=Leonard%202'%20Driving%20Reverse%20Layup%20(40%20PTS)", "Leonard 2' Driving Reverse Layup (40 PTS)")</f>
        <v>Leonard 2' Driving Reverse Layup (40 PTS)</v>
      </c>
      <c r="L4619" s="2" t="str">
        <f>HYPERLINK("https://www.nba.com/game/...-vs-...-0021800549/play-by-play?watchFullGame=true", "TOR vs UTA - Q4 03:30.00")</f>
        <v>TOR vs UTA - Q4 03:30.00</v>
      </c>
      <c r="M4619">
        <v>2</v>
      </c>
      <c r="N4619">
        <v>-14</v>
      </c>
      <c r="O4619">
        <v>8</v>
      </c>
      <c r="P4619">
        <v>-14</v>
      </c>
      <c r="Q4619">
        <v>8</v>
      </c>
      <c r="R4619" t="s">
        <v>21</v>
      </c>
      <c r="S4619" t="s">
        <v>21</v>
      </c>
    </row>
    <row r="4620" spans="1:19" hidden="1" x14ac:dyDescent="0.25">
      <c r="A4620">
        <v>21800371</v>
      </c>
      <c r="B4620" t="s">
        <v>18</v>
      </c>
      <c r="C4620" t="s">
        <v>22</v>
      </c>
      <c r="D4620">
        <v>73</v>
      </c>
      <c r="E4620">
        <v>74</v>
      </c>
      <c r="F4620">
        <v>1</v>
      </c>
      <c r="G4620">
        <v>3</v>
      </c>
      <c r="H4620" s="1">
        <v>2.4652777777777776E-3</v>
      </c>
      <c r="I4620">
        <v>2018</v>
      </c>
      <c r="J4620" t="s">
        <v>48</v>
      </c>
      <c r="K4620" s="2" t="str">
        <f>HYPERLINK("https://www.nba.com/stats/events?CFID=&amp;CFPARAMS=&amp;GameEventID=437&amp;GameID=0021800371&amp;Season=2018-19&amp;flag=1&amp;title=Leonard%202'%20Driving%20Layup%20(19%20PTS)", "Leonard 2' Driving Layup (19 PTS)")</f>
        <v>Leonard 2' Driving Layup (19 PTS)</v>
      </c>
      <c r="L4620" s="2" t="str">
        <f>HYPERLINK("https://www.nba.com/game/...-vs-...-0021800371/play-by-play?watchFullGame=true", "TOR vs BKN - Q3 03:33.00")</f>
        <v>TOR vs BKN - Q3 03:33.00</v>
      </c>
      <c r="M4620">
        <v>2</v>
      </c>
      <c r="N4620">
        <v>-17</v>
      </c>
      <c r="O4620">
        <v>18</v>
      </c>
      <c r="P4620">
        <v>-17</v>
      </c>
      <c r="Q4620">
        <v>18</v>
      </c>
      <c r="R4620" t="s">
        <v>21</v>
      </c>
      <c r="S4620" t="s">
        <v>21</v>
      </c>
    </row>
    <row r="4621" spans="1:19" hidden="1" x14ac:dyDescent="0.25">
      <c r="A4621">
        <v>21401071</v>
      </c>
      <c r="B4621" t="s">
        <v>18</v>
      </c>
      <c r="C4621" t="s">
        <v>24</v>
      </c>
      <c r="D4621">
        <v>57</v>
      </c>
      <c r="E4621">
        <v>41</v>
      </c>
      <c r="F4621">
        <v>16</v>
      </c>
      <c r="G4621">
        <v>2</v>
      </c>
      <c r="H4621" s="1">
        <v>2.476851851851852E-3</v>
      </c>
      <c r="I4621">
        <v>2014</v>
      </c>
      <c r="J4621" t="s">
        <v>20</v>
      </c>
      <c r="K4621" s="2" t="str">
        <f>HYPERLINK("https://www.nba.com/stats/events?CFID=&amp;CFPARAMS=&amp;GameEventID=206&amp;GameID=0021401071&amp;Season=2014-15&amp;flag=1&amp;title=Leonard%202'%20Layup%20(8%20PTS)%20(Duncan%201%20AST)", "Leonard 2' Layup (8 PTS) (Duncan 1 AST)")</f>
        <v>Leonard 2' Layup (8 PTS) (Duncan 1 AST)</v>
      </c>
      <c r="L4621" s="2" t="str">
        <f>HYPERLINK("https://www.nba.com/game/...-vs-...-0021401071/play-by-play?watchFullGame=true", "SAS vs OKC - Q2 03:34.00")</f>
        <v>SAS vs OKC - Q2 03:34.00</v>
      </c>
      <c r="M4621">
        <v>2</v>
      </c>
      <c r="N4621">
        <v>6</v>
      </c>
      <c r="O4621">
        <v>20</v>
      </c>
      <c r="P4621">
        <v>6</v>
      </c>
      <c r="Q4621">
        <v>20</v>
      </c>
      <c r="R4621" t="s">
        <v>21</v>
      </c>
      <c r="S4621" t="s">
        <v>21</v>
      </c>
    </row>
    <row r="4622" spans="1:19" hidden="1" x14ac:dyDescent="0.25">
      <c r="A4622">
        <v>41800406</v>
      </c>
      <c r="B4622" t="s">
        <v>18</v>
      </c>
      <c r="C4622" t="s">
        <v>52</v>
      </c>
      <c r="D4622">
        <v>78</v>
      </c>
      <c r="E4622">
        <v>80</v>
      </c>
      <c r="F4622">
        <v>2</v>
      </c>
      <c r="G4622">
        <v>3</v>
      </c>
      <c r="H4622" s="1">
        <v>2.5231481481481481E-3</v>
      </c>
      <c r="I4622" t="s">
        <v>60</v>
      </c>
      <c r="J4622" t="s">
        <v>48</v>
      </c>
      <c r="K4622" s="2" t="str">
        <f>HYPERLINK("https://www.nba.com/stats/events?CFID=&amp;CFPARAMS=&amp;GameEventID=416&amp;GameID=0041800406&amp;Season=2018-19&amp;flag=1&amp;title=Leonard%202'%20Cutting%20Layup%20Shot%20(17%20PTS)%20(Ibaka%202%20AST)", "Leonard 2' Cutting Layup Shot (17 PTS) (Ibaka 2 AST)")</f>
        <v>Leonard 2' Cutting Layup Shot (17 PTS) (Ibaka 2 AST)</v>
      </c>
      <c r="L4622" s="2" t="str">
        <f>HYPERLINK("https://www.nba.com/game/...-vs-...-0041800406/play-by-play?watchFullGame=true", "TOR vs GSW - Q3 03:38.00")</f>
        <v>TOR vs GSW - Q3 03:38.00</v>
      </c>
      <c r="M4622">
        <v>2</v>
      </c>
      <c r="N4622">
        <v>14</v>
      </c>
      <c r="O4622">
        <v>19</v>
      </c>
      <c r="P4622">
        <v>14</v>
      </c>
      <c r="Q4622">
        <v>19</v>
      </c>
      <c r="R4622" t="s">
        <v>21</v>
      </c>
      <c r="S4622" t="s">
        <v>21</v>
      </c>
    </row>
    <row r="4623" spans="1:19" hidden="1" x14ac:dyDescent="0.25">
      <c r="A4623">
        <v>21800055</v>
      </c>
      <c r="B4623" t="s">
        <v>18</v>
      </c>
      <c r="C4623" t="s">
        <v>40</v>
      </c>
      <c r="D4623">
        <v>104</v>
      </c>
      <c r="E4623">
        <v>91</v>
      </c>
      <c r="F4623">
        <v>13</v>
      </c>
      <c r="G4623">
        <v>4</v>
      </c>
      <c r="H4623" s="1">
        <v>2.5347222222222221E-3</v>
      </c>
      <c r="I4623">
        <v>2018</v>
      </c>
      <c r="J4623" t="s">
        <v>48</v>
      </c>
      <c r="K4623" s="2" t="str">
        <f>HYPERLINK("https://www.nba.com/stats/events?CFID=&amp;CFPARAMS=&amp;GameEventID=592&amp;GameID=0021800055&amp;Season=2018-19&amp;flag=1&amp;title=Leonard%202'%20Driving%20Finger%20Roll%20Layup%20(29%20PTS)", "Leonard 2' Driving Finger Roll Layup (29 PTS)")</f>
        <v>Leonard 2' Driving Finger Roll Layup (29 PTS)</v>
      </c>
      <c r="L4623" s="2" t="str">
        <f>HYPERLINK("https://www.nba.com/game/...-vs-...-0021800055/play-by-play?watchFullGame=true", "TOR vs MIN - Q4 03:39.00")</f>
        <v>TOR vs MIN - Q4 03:39.00</v>
      </c>
      <c r="M4623">
        <v>2</v>
      </c>
      <c r="N4623">
        <v>12</v>
      </c>
      <c r="O4623">
        <v>13</v>
      </c>
      <c r="P4623">
        <v>12</v>
      </c>
      <c r="Q4623">
        <v>13</v>
      </c>
      <c r="R4623" t="s">
        <v>21</v>
      </c>
      <c r="S4623" t="s">
        <v>21</v>
      </c>
    </row>
    <row r="4624" spans="1:19" hidden="1" x14ac:dyDescent="0.25">
      <c r="A4624">
        <v>21400853</v>
      </c>
      <c r="B4624" t="s">
        <v>18</v>
      </c>
      <c r="C4624" t="s">
        <v>24</v>
      </c>
      <c r="D4624">
        <v>62</v>
      </c>
      <c r="E4624">
        <v>72</v>
      </c>
      <c r="F4624">
        <v>10</v>
      </c>
      <c r="G4624">
        <v>3</v>
      </c>
      <c r="H4624" s="1">
        <v>2.5578703703703705E-3</v>
      </c>
      <c r="I4624">
        <v>2014</v>
      </c>
      <c r="J4624" t="s">
        <v>20</v>
      </c>
      <c r="K4624" s="2" t="str">
        <f>HYPERLINK("https://www.nba.com/stats/events?CFID=&amp;CFPARAMS=&amp;GameEventID=278&amp;GameID=0021400853&amp;Season=2014-15&amp;flag=1&amp;title=Leonard%202'%20Layup%20(9%20PTS)", "Leonard 2' Layup (9 PTS)")</f>
        <v>Leonard 2' Layup (9 PTS)</v>
      </c>
      <c r="L4624" s="2" t="str">
        <f>HYPERLINK("https://www.nba.com/game/...-vs-...-0021400853/play-by-play?watchFullGame=true", "SAS vs POR - Q3 03:41.00")</f>
        <v>SAS vs POR - Q3 03:41.00</v>
      </c>
      <c r="M4624">
        <v>2</v>
      </c>
      <c r="N4624">
        <v>-18</v>
      </c>
      <c r="O4624">
        <v>4</v>
      </c>
      <c r="P4624">
        <v>-18</v>
      </c>
      <c r="Q4624">
        <v>4</v>
      </c>
      <c r="R4624" t="s">
        <v>21</v>
      </c>
      <c r="S4624" t="s">
        <v>21</v>
      </c>
    </row>
    <row r="4625" spans="1:19" hidden="1" x14ac:dyDescent="0.25">
      <c r="A4625">
        <v>21600003</v>
      </c>
      <c r="B4625" t="s">
        <v>18</v>
      </c>
      <c r="C4625" t="s">
        <v>24</v>
      </c>
      <c r="D4625">
        <v>50</v>
      </c>
      <c r="E4625">
        <v>34</v>
      </c>
      <c r="F4625">
        <v>16</v>
      </c>
      <c r="G4625">
        <v>2</v>
      </c>
      <c r="H4625" s="1">
        <v>2.627314814814815E-3</v>
      </c>
      <c r="I4625">
        <v>2016</v>
      </c>
      <c r="J4625" t="s">
        <v>20</v>
      </c>
      <c r="K4625" s="2" t="str">
        <f>HYPERLINK("https://www.nba.com/stats/events?CFID=&amp;CFPARAMS=&amp;GameEventID=215&amp;GameID=0021600003&amp;Season=2016-17&amp;flag=1&amp;title=Leonard%202'%20Layup%20(14%20PTS)", "Leonard 2' Layup (14 PTS)")</f>
        <v>Leonard 2' Layup (14 PTS)</v>
      </c>
      <c r="L4625" s="2" t="str">
        <f>HYPERLINK("https://www.nba.com/game/...-vs-...-0021600003/play-by-play?watchFullGame=true", "SAS vs GSW - Q2 03:47.00")</f>
        <v>SAS vs GSW - Q2 03:47.00</v>
      </c>
      <c r="M4625">
        <v>2</v>
      </c>
      <c r="N4625">
        <v>-9</v>
      </c>
      <c r="O4625">
        <v>16</v>
      </c>
      <c r="P4625">
        <v>-9</v>
      </c>
      <c r="Q4625">
        <v>16</v>
      </c>
      <c r="R4625" t="s">
        <v>21</v>
      </c>
      <c r="S4625" t="s">
        <v>21</v>
      </c>
    </row>
    <row r="4626" spans="1:19" hidden="1" x14ac:dyDescent="0.25">
      <c r="A4626">
        <v>21801180</v>
      </c>
      <c r="B4626" t="s">
        <v>18</v>
      </c>
      <c r="C4626" t="s">
        <v>22</v>
      </c>
      <c r="D4626">
        <v>49</v>
      </c>
      <c r="E4626">
        <v>48</v>
      </c>
      <c r="F4626">
        <v>1</v>
      </c>
      <c r="G4626">
        <v>2</v>
      </c>
      <c r="H4626" s="1">
        <v>2.627314814814815E-3</v>
      </c>
      <c r="I4626">
        <v>2018</v>
      </c>
      <c r="J4626" t="s">
        <v>48</v>
      </c>
      <c r="K4626" s="2" t="str">
        <f>HYPERLINK("https://www.nba.com/stats/events?CFID=&amp;CFPARAMS=&amp;GameEventID=275&amp;GameID=0021801180&amp;Season=2018-19&amp;flag=1&amp;title=Leonard%202'%20Driving%20Layup%20(12%20PTS)", "Leonard 2' Driving Layup (12 PTS)")</f>
        <v>Leonard 2' Driving Layup (12 PTS)</v>
      </c>
      <c r="L4626" s="2" t="str">
        <f>HYPERLINK("https://www.nba.com/game/...-vs-...-0021801180/play-by-play?watchFullGame=true", "TOR vs CHA - Q2 03:47.00")</f>
        <v>TOR vs CHA - Q2 03:47.00</v>
      </c>
      <c r="M4626">
        <v>2</v>
      </c>
      <c r="N4626">
        <v>-4</v>
      </c>
      <c r="O4626">
        <v>15</v>
      </c>
      <c r="P4626">
        <v>-4</v>
      </c>
      <c r="Q4626">
        <v>15</v>
      </c>
      <c r="R4626" t="s">
        <v>21</v>
      </c>
      <c r="S4626" t="s">
        <v>21</v>
      </c>
    </row>
    <row r="4627" spans="1:19" hidden="1" x14ac:dyDescent="0.25">
      <c r="A4627">
        <v>41200154</v>
      </c>
      <c r="B4627" t="s">
        <v>18</v>
      </c>
      <c r="C4627" t="s">
        <v>24</v>
      </c>
      <c r="D4627">
        <v>69</v>
      </c>
      <c r="E4627">
        <v>49</v>
      </c>
      <c r="F4627">
        <v>20</v>
      </c>
      <c r="G4627">
        <v>3</v>
      </c>
      <c r="H4627" s="1">
        <v>2.638888888888889E-3</v>
      </c>
      <c r="I4627" t="s">
        <v>53</v>
      </c>
      <c r="J4627" t="s">
        <v>20</v>
      </c>
      <c r="K4627" s="2" t="str">
        <f>HYPERLINK("https://www.nba.com/stats/events?CFID=&amp;CFPARAMS=&amp;GameEventID=329&amp;GameID=0041200154&amp;Season=2012-13&amp;flag=1&amp;title=Leonard%202'%20Layup%20(9%20PTS)", "Leonard 2' Layup (9 PTS)")</f>
        <v>Leonard 2' Layup (9 PTS)</v>
      </c>
      <c r="L4627" s="2" t="str">
        <f>HYPERLINK("https://www.nba.com/game/...-vs-...-0041200154/play-by-play?watchFullGame=true", "SAS vs LAL - Q3 03:48.00")</f>
        <v>SAS vs LAL - Q3 03:48.00</v>
      </c>
      <c r="M4627">
        <v>2</v>
      </c>
      <c r="N4627">
        <v>0</v>
      </c>
      <c r="O4627">
        <v>19</v>
      </c>
      <c r="P4627">
        <v>0</v>
      </c>
      <c r="Q4627">
        <v>19</v>
      </c>
      <c r="R4627" t="s">
        <v>21</v>
      </c>
      <c r="S4627" t="s">
        <v>21</v>
      </c>
    </row>
    <row r="4628" spans="1:19" hidden="1" x14ac:dyDescent="0.25">
      <c r="A4628">
        <v>21400624</v>
      </c>
      <c r="B4628" t="s">
        <v>18</v>
      </c>
      <c r="C4628" t="s">
        <v>24</v>
      </c>
      <c r="D4628">
        <v>71</v>
      </c>
      <c r="E4628">
        <v>65</v>
      </c>
      <c r="F4628">
        <v>6</v>
      </c>
      <c r="G4628">
        <v>3</v>
      </c>
      <c r="H4628" s="1">
        <v>2.685185185185185E-3</v>
      </c>
      <c r="I4628">
        <v>2014</v>
      </c>
      <c r="J4628" t="s">
        <v>20</v>
      </c>
      <c r="K4628" s="2" t="str">
        <f>HYPERLINK("https://www.nba.com/stats/events?CFID=&amp;CFPARAMS=&amp;GameEventID=359&amp;GameID=0021400624&amp;Season=2014-15&amp;flag=1&amp;title=Leonard%202'%20Layup%20(11%20PTS)%20(Ginobili%204%20AST)", "Leonard 2' Layup (11 PTS) (Ginobili 4 AST)")</f>
        <v>Leonard 2' Layup (11 PTS) (Ginobili 4 AST)</v>
      </c>
      <c r="L4628" s="2" t="str">
        <f>HYPERLINK("https://www.nba.com/game/...-vs-...-0021400624/play-by-play?watchFullGame=true", "SAS vs DEN - Q3 03:52.00")</f>
        <v>SAS vs DEN - Q3 03:52.00</v>
      </c>
      <c r="M4628">
        <v>2</v>
      </c>
      <c r="N4628">
        <v>-7</v>
      </c>
      <c r="O4628">
        <v>14</v>
      </c>
      <c r="P4628">
        <v>-7</v>
      </c>
      <c r="Q4628">
        <v>14</v>
      </c>
      <c r="R4628" t="s">
        <v>21</v>
      </c>
      <c r="S4628" t="s">
        <v>21</v>
      </c>
    </row>
    <row r="4629" spans="1:19" hidden="1" x14ac:dyDescent="0.25">
      <c r="A4629">
        <v>21800639</v>
      </c>
      <c r="B4629" t="s">
        <v>18</v>
      </c>
      <c r="C4629" t="s">
        <v>31</v>
      </c>
      <c r="D4629">
        <v>87</v>
      </c>
      <c r="E4629">
        <v>70</v>
      </c>
      <c r="F4629">
        <v>17</v>
      </c>
      <c r="G4629">
        <v>3</v>
      </c>
      <c r="H4629" s="1">
        <v>2.685185185185185E-3</v>
      </c>
      <c r="I4629">
        <v>2018</v>
      </c>
      <c r="J4629" t="s">
        <v>48</v>
      </c>
      <c r="K4629" s="2" t="str">
        <f>HYPERLINK("https://www.nba.com/stats/events?CFID=&amp;CFPARAMS=&amp;GameEventID=463&amp;GameID=0021800639&amp;Season=2018-19&amp;flag=1&amp;title=Leonard%202'%20Driving%20Hook%20Shot%20(24%20PTS)", "Leonard 2' Driving Hook Shot (24 PTS)")</f>
        <v>Leonard 2' Driving Hook Shot (24 PTS)</v>
      </c>
      <c r="L4629" s="2" t="str">
        <f>HYPERLINK("https://www.nba.com/game/...-vs-...-0021800639/play-by-play?watchFullGame=true", "TOR vs WAS - Q3 03:52.00")</f>
        <v>TOR vs WAS - Q3 03:52.00</v>
      </c>
      <c r="M4629">
        <v>2</v>
      </c>
      <c r="N4629">
        <v>-6</v>
      </c>
      <c r="O4629">
        <v>20</v>
      </c>
      <c r="P4629">
        <v>-6</v>
      </c>
      <c r="Q4629">
        <v>20</v>
      </c>
      <c r="R4629" t="s">
        <v>21</v>
      </c>
      <c r="S4629" t="s">
        <v>21</v>
      </c>
    </row>
    <row r="4630" spans="1:19" hidden="1" x14ac:dyDescent="0.25">
      <c r="A4630">
        <v>21500013</v>
      </c>
      <c r="B4630" t="s">
        <v>18</v>
      </c>
      <c r="C4630" t="s">
        <v>24</v>
      </c>
      <c r="D4630">
        <v>72</v>
      </c>
      <c r="E4630">
        <v>66</v>
      </c>
      <c r="F4630">
        <v>6</v>
      </c>
      <c r="G4630">
        <v>3</v>
      </c>
      <c r="H4630" s="1">
        <v>2.6967592592592594E-3</v>
      </c>
      <c r="I4630">
        <v>2015</v>
      </c>
      <c r="J4630" t="s">
        <v>20</v>
      </c>
      <c r="K4630" s="2" t="str">
        <f>HYPERLINK("https://www.nba.com/stats/events?CFID=&amp;CFPARAMS=&amp;GameEventID=347&amp;GameID=0021500013&amp;Season=2015-16&amp;flag=1&amp;title=Leonard%202'%20Layup%20(19%20PTS)%20(Ginobili%205%20AST)", "Leonard 2' Layup (19 PTS) (Ginobili 5 AST)")</f>
        <v>Leonard 2' Layup (19 PTS) (Ginobili 5 AST)</v>
      </c>
      <c r="L4630" s="2" t="str">
        <f>HYPERLINK("https://www.nba.com/game/...-vs-...-0021500013/play-by-play?watchFullGame=true", "SAS vs OKC - Q3 03:53.00")</f>
        <v>SAS vs OKC - Q3 03:53.00</v>
      </c>
      <c r="M4630">
        <v>2</v>
      </c>
      <c r="N4630">
        <v>2</v>
      </c>
      <c r="O4630">
        <v>18</v>
      </c>
      <c r="P4630">
        <v>2</v>
      </c>
      <c r="Q4630">
        <v>18</v>
      </c>
      <c r="R4630" t="s">
        <v>21</v>
      </c>
      <c r="S4630" t="s">
        <v>21</v>
      </c>
    </row>
    <row r="4631" spans="1:19" hidden="1" x14ac:dyDescent="0.25">
      <c r="A4631">
        <v>21301102</v>
      </c>
      <c r="B4631" t="s">
        <v>18</v>
      </c>
      <c r="C4631" t="s">
        <v>33</v>
      </c>
      <c r="D4631">
        <v>64</v>
      </c>
      <c r="E4631">
        <v>50</v>
      </c>
      <c r="F4631">
        <v>14</v>
      </c>
      <c r="G4631">
        <v>3</v>
      </c>
      <c r="H4631" s="1">
        <v>2.7199074074074074E-3</v>
      </c>
      <c r="I4631">
        <v>2013</v>
      </c>
      <c r="J4631" t="s">
        <v>20</v>
      </c>
      <c r="K4631" s="2" t="str">
        <f>HYPERLINK("https://www.nba.com/stats/events?CFID=&amp;CFPARAMS=&amp;GameEventID=321&amp;GameID=0021301102&amp;Season=2013-14&amp;flag=1&amp;title=Leonard%202'%20Putback%20Layup%20(9%20PTS)", "Leonard 2' Putback Layup (9 PTS)")</f>
        <v>Leonard 2' Putback Layup (9 PTS)</v>
      </c>
      <c r="L4631" s="2" t="str">
        <f>HYPERLINK("https://www.nba.com/game/...-vs-...-0021301102/play-by-play?watchFullGame=true", "SAS vs IND - Q3 03:55.00")</f>
        <v>SAS vs IND - Q3 03:55.00</v>
      </c>
      <c r="M4631">
        <v>2</v>
      </c>
      <c r="N4631">
        <v>18</v>
      </c>
      <c r="O4631">
        <v>3</v>
      </c>
      <c r="P4631">
        <v>18</v>
      </c>
      <c r="Q4631">
        <v>3</v>
      </c>
      <c r="R4631" t="s">
        <v>21</v>
      </c>
      <c r="S4631" t="s">
        <v>21</v>
      </c>
    </row>
    <row r="4632" spans="1:19" hidden="1" x14ac:dyDescent="0.25">
      <c r="A4632">
        <v>41500236</v>
      </c>
      <c r="B4632" t="s">
        <v>18</v>
      </c>
      <c r="C4632" t="s">
        <v>22</v>
      </c>
      <c r="D4632">
        <v>18</v>
      </c>
      <c r="E4632">
        <v>13</v>
      </c>
      <c r="F4632">
        <v>5</v>
      </c>
      <c r="G4632">
        <v>1</v>
      </c>
      <c r="H4632" s="1">
        <v>2.7430555555555554E-3</v>
      </c>
      <c r="I4632" t="s">
        <v>57</v>
      </c>
      <c r="J4632" t="s">
        <v>20</v>
      </c>
      <c r="K4632" s="2" t="str">
        <f>HYPERLINK("https://www.nba.com/stats/events?CFID=&amp;CFPARAMS=&amp;GameEventID=60&amp;GameID=0041500236&amp;Season=2015-16&amp;flag=1&amp;title=Leonard%202'%20Driving%20Layup%20(4%20PTS)", "Leonard 2' Driving Layup (4 PTS)")</f>
        <v>Leonard 2' Driving Layup (4 PTS)</v>
      </c>
      <c r="L4632" s="2" t="str">
        <f>HYPERLINK("https://www.nba.com/game/...-vs-...-0041500236/play-by-play?watchFullGame=true", "SAS vs OKC - Q1 03:57.00")</f>
        <v>SAS vs OKC - Q1 03:57.00</v>
      </c>
      <c r="M4632">
        <v>2</v>
      </c>
      <c r="N4632">
        <v>9</v>
      </c>
      <c r="O4632">
        <v>18</v>
      </c>
      <c r="P4632">
        <v>9</v>
      </c>
      <c r="Q4632">
        <v>18</v>
      </c>
      <c r="R4632" t="s">
        <v>21</v>
      </c>
      <c r="S4632" t="s">
        <v>21</v>
      </c>
    </row>
    <row r="4633" spans="1:19" hidden="1" x14ac:dyDescent="0.25">
      <c r="A4633">
        <v>21600605</v>
      </c>
      <c r="B4633" t="s">
        <v>18</v>
      </c>
      <c r="C4633" t="s">
        <v>22</v>
      </c>
      <c r="D4633">
        <v>98</v>
      </c>
      <c r="E4633">
        <v>98</v>
      </c>
      <c r="F4633">
        <v>0</v>
      </c>
      <c r="G4633">
        <v>4</v>
      </c>
      <c r="H4633" s="1">
        <v>2.7777777777777779E-3</v>
      </c>
      <c r="I4633">
        <v>2016</v>
      </c>
      <c r="J4633" t="s">
        <v>20</v>
      </c>
      <c r="K4633" s="2" t="str">
        <f>HYPERLINK("https://www.nba.com/stats/events?CFID=&amp;CFPARAMS=&amp;GameEventID=498&amp;GameID=0021600605&amp;Season=2016-17&amp;flag=1&amp;title=Leonard%202'%20Driving%20Layup%20(33%20PTS)", "Leonard 2' Driving Layup (33 PTS)")</f>
        <v>Leonard 2' Driving Layup (33 PTS)</v>
      </c>
      <c r="L4633" s="2" t="str">
        <f>HYPERLINK("https://www.nba.com/game/...-vs-...-0021600605/play-by-play?watchFullGame=true", "SAS vs PHX - Q4 04:00.00")</f>
        <v>SAS vs PHX - Q4 04:00.00</v>
      </c>
      <c r="M4633">
        <v>2</v>
      </c>
      <c r="N4633">
        <v>14</v>
      </c>
      <c r="O4633">
        <v>8</v>
      </c>
      <c r="P4633">
        <v>14</v>
      </c>
      <c r="Q4633">
        <v>8</v>
      </c>
      <c r="R4633" t="s">
        <v>21</v>
      </c>
      <c r="S4633" t="s">
        <v>21</v>
      </c>
    </row>
    <row r="4634" spans="1:19" hidden="1" x14ac:dyDescent="0.25">
      <c r="A4634">
        <v>21600834</v>
      </c>
      <c r="B4634" t="s">
        <v>18</v>
      </c>
      <c r="C4634" t="s">
        <v>22</v>
      </c>
      <c r="D4634">
        <v>18</v>
      </c>
      <c r="E4634">
        <v>8</v>
      </c>
      <c r="F4634">
        <v>10</v>
      </c>
      <c r="G4634">
        <v>1</v>
      </c>
      <c r="H4634" s="1">
        <v>2.7893518518518519E-3</v>
      </c>
      <c r="I4634">
        <v>2016</v>
      </c>
      <c r="J4634" t="s">
        <v>20</v>
      </c>
      <c r="K4634" s="2" t="str">
        <f>HYPERLINK("https://www.nba.com/stats/events?CFID=&amp;CFPARAMS=&amp;GameEventID=64&amp;GameID=0021600834&amp;Season=2016-17&amp;flag=1&amp;title=Leonard%202'%20Driving%20Layup%20(4%20PTS)", "Leonard 2' Driving Layup (4 PTS)")</f>
        <v>Leonard 2' Driving Layup (4 PTS)</v>
      </c>
      <c r="L4634" s="2" t="str">
        <f>HYPERLINK("https://www.nba.com/game/...-vs-...-0021600834/play-by-play?watchFullGame=true", "SAS vs ORL - Q1 04:01.00")</f>
        <v>SAS vs ORL - Q1 04:01.00</v>
      </c>
      <c r="M4634">
        <v>2</v>
      </c>
      <c r="N4634">
        <v>7</v>
      </c>
      <c r="O4634">
        <v>18</v>
      </c>
      <c r="P4634">
        <v>7</v>
      </c>
      <c r="Q4634">
        <v>18</v>
      </c>
      <c r="R4634" t="s">
        <v>21</v>
      </c>
      <c r="S4634" t="s">
        <v>21</v>
      </c>
    </row>
    <row r="4635" spans="1:19" hidden="1" x14ac:dyDescent="0.25">
      <c r="A4635">
        <v>41200233</v>
      </c>
      <c r="B4635" t="s">
        <v>18</v>
      </c>
      <c r="C4635" t="s">
        <v>35</v>
      </c>
      <c r="D4635">
        <v>93</v>
      </c>
      <c r="E4635">
        <v>83</v>
      </c>
      <c r="F4635">
        <v>10</v>
      </c>
      <c r="G4635">
        <v>4</v>
      </c>
      <c r="H4635" s="1">
        <v>2.7893518518518519E-3</v>
      </c>
      <c r="I4635" t="s">
        <v>53</v>
      </c>
      <c r="J4635" t="s">
        <v>20</v>
      </c>
      <c r="K4635" s="2" t="str">
        <f>HYPERLINK("https://www.nba.com/stats/events?CFID=&amp;CFPARAMS=&amp;GameEventID=458&amp;GameID=0041200233&amp;Season=2012-13&amp;flag=1&amp;title=Leonard%202'%20Reverse%20Layup%20(14%20PTS)%20(Ginobili%204%20AST)", "Leonard 2' Reverse Layup (14 PTS) (Ginobili 4 AST)")</f>
        <v>Leonard 2' Reverse Layup (14 PTS) (Ginobili 4 AST)</v>
      </c>
      <c r="L4635" s="2" t="str">
        <f>HYPERLINK("https://www.nba.com/game/...-vs-...-0041200233/play-by-play?watchFullGame=true", "SAS vs GSW - Q4 04:01.00")</f>
        <v>SAS vs GSW - Q4 04:01.00</v>
      </c>
      <c r="M4635">
        <v>2</v>
      </c>
      <c r="N4635">
        <v>17</v>
      </c>
      <c r="O4635">
        <v>12</v>
      </c>
      <c r="P4635">
        <v>17</v>
      </c>
      <c r="Q4635">
        <v>12</v>
      </c>
      <c r="R4635" t="s">
        <v>21</v>
      </c>
      <c r="S4635" t="s">
        <v>21</v>
      </c>
    </row>
    <row r="4636" spans="1:19" hidden="1" x14ac:dyDescent="0.25">
      <c r="A4636">
        <v>21800290</v>
      </c>
      <c r="B4636" t="s">
        <v>18</v>
      </c>
      <c r="C4636" t="s">
        <v>51</v>
      </c>
      <c r="D4636">
        <v>24</v>
      </c>
      <c r="E4636">
        <v>15</v>
      </c>
      <c r="F4636">
        <v>9</v>
      </c>
      <c r="G4636">
        <v>1</v>
      </c>
      <c r="H4636" s="1">
        <v>2.8009259259259259E-3</v>
      </c>
      <c r="I4636">
        <v>2018</v>
      </c>
      <c r="J4636" t="s">
        <v>48</v>
      </c>
      <c r="K4636" s="2" t="str">
        <f>HYPERLINK("https://www.nba.com/stats/events?CFID=&amp;CFPARAMS=&amp;GameEventID=89&amp;GameID=0021800290&amp;Season=2018-19&amp;flag=1&amp;title=Leonard%202'%20Running%20Layup%20(11%20PTS)%20(Lowry%204%20AST)", "Leonard 2' Running Layup (11 PTS) (Lowry 4 AST)")</f>
        <v>Leonard 2' Running Layup (11 PTS) (Lowry 4 AST)</v>
      </c>
      <c r="L4636" s="2" t="str">
        <f>HYPERLINK("https://www.nba.com/game/...-vs-...-0021800290/play-by-play?watchFullGame=true", "TOR vs MIA - Q1 04:02.00")</f>
        <v>TOR vs MIA - Q1 04:02.00</v>
      </c>
      <c r="M4636">
        <v>2</v>
      </c>
      <c r="N4636">
        <v>-2</v>
      </c>
      <c r="O4636">
        <v>17</v>
      </c>
      <c r="P4636">
        <v>-2</v>
      </c>
      <c r="Q4636">
        <v>17</v>
      </c>
      <c r="R4636" t="s">
        <v>21</v>
      </c>
      <c r="S4636" t="s">
        <v>21</v>
      </c>
    </row>
    <row r="4637" spans="1:19" hidden="1" x14ac:dyDescent="0.25">
      <c r="A4637">
        <v>21800930</v>
      </c>
      <c r="B4637" t="s">
        <v>18</v>
      </c>
      <c r="C4637" t="s">
        <v>49</v>
      </c>
      <c r="D4637">
        <v>103</v>
      </c>
      <c r="E4637">
        <v>98</v>
      </c>
      <c r="F4637">
        <v>5</v>
      </c>
      <c r="G4637">
        <v>4</v>
      </c>
      <c r="H4637" s="1">
        <v>2.8124999999999999E-3</v>
      </c>
      <c r="I4637">
        <v>2018</v>
      </c>
      <c r="J4637" t="s">
        <v>48</v>
      </c>
      <c r="K4637" s="2" t="str">
        <f>HYPERLINK("https://www.nba.com/stats/events?CFID=&amp;CFPARAMS=&amp;GameEventID=568&amp;GameID=0021800930&amp;Season=2018-19&amp;flag=1&amp;title=Leonard%202'%20Driving%20Floating%20Bank%20Jump%20Shot%20(29%20PTS)", "Leonard 2' Driving Floating Bank Jump Shot (29 PTS)")</f>
        <v>Leonard 2' Driving Floating Bank Jump Shot (29 PTS)</v>
      </c>
      <c r="L4637" s="2" t="str">
        <f>HYPERLINK("https://www.nba.com/game/...-vs-...-0021800930/play-by-play?watchFullGame=true", "TOR vs POR - Q4 04:03.00")</f>
        <v>TOR vs POR - Q4 04:03.00</v>
      </c>
      <c r="M4637">
        <v>2</v>
      </c>
      <c r="N4637">
        <v>18</v>
      </c>
      <c r="O4637">
        <v>6</v>
      </c>
      <c r="P4637">
        <v>18</v>
      </c>
      <c r="Q4637">
        <v>6</v>
      </c>
      <c r="R4637" t="s">
        <v>21</v>
      </c>
      <c r="S4637" t="s">
        <v>21</v>
      </c>
    </row>
    <row r="4638" spans="1:19" hidden="1" x14ac:dyDescent="0.25">
      <c r="A4638">
        <v>21600994</v>
      </c>
      <c r="B4638" t="s">
        <v>18</v>
      </c>
      <c r="C4638" t="s">
        <v>40</v>
      </c>
      <c r="D4638">
        <v>40</v>
      </c>
      <c r="E4638">
        <v>29</v>
      </c>
      <c r="F4638">
        <v>11</v>
      </c>
      <c r="G4638">
        <v>2</v>
      </c>
      <c r="H4638" s="1">
        <v>2.8819444444444444E-3</v>
      </c>
      <c r="I4638">
        <v>2016</v>
      </c>
      <c r="J4638" t="s">
        <v>20</v>
      </c>
      <c r="K4638" s="2" t="str">
        <f>HYPERLINK("https://www.nba.com/stats/events?CFID=&amp;CFPARAMS=&amp;GameEventID=219&amp;GameID=0021600994&amp;Season=2016-17&amp;flag=1&amp;title=Leonard%202'%20Driving%20Finger%20Roll%20Layup%20(15%20PTS)%20(Green%201%20AST)", "Leonard 2' Driving Finger Roll Layup (15 PTS) (Green 1 AST)")</f>
        <v>Leonard 2' Driving Finger Roll Layup (15 PTS) (Green 1 AST)</v>
      </c>
      <c r="L4638" s="2" t="str">
        <f>HYPERLINK("https://www.nba.com/game/...-vs-...-0021600994/play-by-play?watchFullGame=true", "SAS vs ATL - Q2 04:09.00")</f>
        <v>SAS vs ATL - Q2 04:09.00</v>
      </c>
      <c r="M4638">
        <v>2</v>
      </c>
      <c r="N4638">
        <v>9</v>
      </c>
      <c r="O4638">
        <v>21</v>
      </c>
      <c r="P4638">
        <v>9</v>
      </c>
      <c r="Q4638">
        <v>21</v>
      </c>
      <c r="R4638" t="s">
        <v>21</v>
      </c>
      <c r="S4638" t="s">
        <v>21</v>
      </c>
    </row>
    <row r="4639" spans="1:19" hidden="1" x14ac:dyDescent="0.25">
      <c r="A4639">
        <v>21500939</v>
      </c>
      <c r="B4639" t="s">
        <v>18</v>
      </c>
      <c r="C4639" t="s">
        <v>24</v>
      </c>
      <c r="D4639">
        <v>53</v>
      </c>
      <c r="E4639">
        <v>59</v>
      </c>
      <c r="F4639">
        <v>6</v>
      </c>
      <c r="G4639">
        <v>3</v>
      </c>
      <c r="H4639" s="1">
        <v>2.8819444444444444E-3</v>
      </c>
      <c r="I4639">
        <v>2015</v>
      </c>
      <c r="J4639" t="s">
        <v>20</v>
      </c>
      <c r="K4639" s="2" t="str">
        <f>HYPERLINK("https://www.nba.com/stats/events?CFID=&amp;CFPARAMS=&amp;GameEventID=328&amp;GameID=0021500939&amp;Season=2015-16&amp;flag=1&amp;title=Leonard%202'%20Layup%20(15%20PTS)", "Leonard 2' Layup (15 PTS)")</f>
        <v>Leonard 2' Layup (15 PTS)</v>
      </c>
      <c r="L4639" s="2" t="str">
        <f>HYPERLINK("https://www.nba.com/game/...-vs-...-0021500939/play-by-play?watchFullGame=true", "SAS vs IND - Q3 04:09.00")</f>
        <v>SAS vs IND - Q3 04:09.00</v>
      </c>
      <c r="M4639">
        <v>2</v>
      </c>
      <c r="N4639">
        <v>20</v>
      </c>
      <c r="O4639">
        <v>2</v>
      </c>
      <c r="P4639">
        <v>20</v>
      </c>
      <c r="Q4639">
        <v>2</v>
      </c>
      <c r="R4639" t="s">
        <v>21</v>
      </c>
      <c r="S4639" t="s">
        <v>21</v>
      </c>
    </row>
    <row r="4640" spans="1:19" hidden="1" x14ac:dyDescent="0.25">
      <c r="A4640">
        <v>21600387</v>
      </c>
      <c r="B4640" t="s">
        <v>18</v>
      </c>
      <c r="C4640" t="s">
        <v>50</v>
      </c>
      <c r="D4640">
        <v>46</v>
      </c>
      <c r="E4640">
        <v>42</v>
      </c>
      <c r="F4640">
        <v>4</v>
      </c>
      <c r="G4640">
        <v>2</v>
      </c>
      <c r="H4640" s="1">
        <v>9.3749999999999997E-4</v>
      </c>
      <c r="I4640">
        <v>2016</v>
      </c>
      <c r="J4640" t="s">
        <v>20</v>
      </c>
      <c r="K4640" s="2" t="str">
        <f>HYPERLINK("https://www.nba.com/stats/events?CFID=&amp;CFPARAMS=&amp;GameEventID=230&amp;GameID=0021600387&amp;Season=2016-17&amp;flag=1&amp;title=Leonard%201'%20Running%20Dunk%20(9%20PTS)", "Leonard 1' Running Dunk (9 PTS)")</f>
        <v>Leonard 1' Running Dunk (9 PTS)</v>
      </c>
      <c r="L4640" s="2" t="str">
        <f>HYPERLINK("https://www.nba.com/game/...-vs-...-0021600387/play-by-play?watchFullGame=true", "SAS vs PHX - Q2 01:21.00")</f>
        <v>SAS vs PHX - Q2 01:21.00</v>
      </c>
      <c r="M4640">
        <v>1</v>
      </c>
      <c r="N4640">
        <v>-6</v>
      </c>
      <c r="O4640">
        <v>3</v>
      </c>
      <c r="P4640">
        <v>-6</v>
      </c>
      <c r="Q4640">
        <v>3</v>
      </c>
      <c r="R4640" t="s">
        <v>21</v>
      </c>
      <c r="S4640" t="s">
        <v>21</v>
      </c>
    </row>
    <row r="4641" spans="1:19" hidden="1" x14ac:dyDescent="0.25">
      <c r="A4641">
        <v>21800041</v>
      </c>
      <c r="B4641" t="s">
        <v>18</v>
      </c>
      <c r="C4641" t="s">
        <v>50</v>
      </c>
      <c r="D4641">
        <v>87</v>
      </c>
      <c r="E4641">
        <v>68</v>
      </c>
      <c r="F4641">
        <v>19</v>
      </c>
      <c r="G4641">
        <v>3</v>
      </c>
      <c r="H4641" s="1">
        <v>2.6967592592592594E-3</v>
      </c>
      <c r="I4641">
        <v>2018</v>
      </c>
      <c r="J4641" t="s">
        <v>48</v>
      </c>
      <c r="K4641" s="2" t="str">
        <f>HYPERLINK("https://www.nba.com/stats/events?CFID=&amp;CFPARAMS=&amp;GameEventID=414&amp;GameID=0021800041&amp;Season=2018-19&amp;flag=1&amp;title=Leonard%201'%20Running%20Dunk%20(22%20PTS)%20(Lowry%2012%20AST)", "Leonard 1' Running Dunk (22 PTS) (Lowry 12 AST)")</f>
        <v>Leonard 1' Running Dunk (22 PTS) (Lowry 12 AST)</v>
      </c>
      <c r="L4641" s="2" t="str">
        <f>HYPERLINK("https://www.nba.com/game/...-vs-...-0021800041/play-by-play?watchFullGame=true", "TOR vs CHA - Q3 03:53.00")</f>
        <v>TOR vs CHA - Q3 03:53.00</v>
      </c>
      <c r="M4641">
        <v>1</v>
      </c>
      <c r="N4641">
        <v>-6</v>
      </c>
      <c r="O4641">
        <v>10</v>
      </c>
      <c r="P4641">
        <v>-6</v>
      </c>
      <c r="Q4641">
        <v>10</v>
      </c>
      <c r="R4641" t="s">
        <v>21</v>
      </c>
      <c r="S4641" t="s">
        <v>21</v>
      </c>
    </row>
    <row r="4642" spans="1:19" hidden="1" x14ac:dyDescent="0.25">
      <c r="A4642">
        <v>21800909</v>
      </c>
      <c r="B4642" t="s">
        <v>18</v>
      </c>
      <c r="C4642" t="s">
        <v>25</v>
      </c>
      <c r="D4642">
        <v>50</v>
      </c>
      <c r="E4642">
        <v>37</v>
      </c>
      <c r="F4642">
        <v>13</v>
      </c>
      <c r="G4642">
        <v>2</v>
      </c>
      <c r="H4642" s="1">
        <v>4.0277777777777777E-3</v>
      </c>
      <c r="I4642">
        <v>2018</v>
      </c>
      <c r="J4642" t="s">
        <v>48</v>
      </c>
      <c r="K4642" s="2" t="str">
        <f>HYPERLINK("https://www.nba.com/stats/events?CFID=&amp;CFPARAMS=&amp;GameEventID=262&amp;GameID=0021800909&amp;Season=2018-19&amp;flag=1&amp;title=Leonard%201'%20Driving%20Dunk%20(6%20PTS)", "Leonard 1' Driving Dunk (6 PTS)")</f>
        <v>Leonard 1' Driving Dunk (6 PTS)</v>
      </c>
      <c r="L4642" s="2" t="str">
        <f>HYPERLINK("https://www.nba.com/game/...-vs-...-0021800909/play-by-play?watchFullGame=true", "TOR vs BOS - Q2 05:48.00")</f>
        <v>TOR vs BOS - Q2 05:48.00</v>
      </c>
      <c r="M4642">
        <v>1</v>
      </c>
      <c r="N4642">
        <v>-6</v>
      </c>
      <c r="O4642">
        <v>-4</v>
      </c>
      <c r="P4642">
        <v>-6</v>
      </c>
      <c r="Q4642">
        <v>-4</v>
      </c>
      <c r="R4642" t="s">
        <v>21</v>
      </c>
      <c r="S4642" t="s">
        <v>21</v>
      </c>
    </row>
    <row r="4643" spans="1:19" hidden="1" x14ac:dyDescent="0.25">
      <c r="A4643">
        <v>21601193</v>
      </c>
      <c r="B4643" t="s">
        <v>18</v>
      </c>
      <c r="C4643" t="s">
        <v>40</v>
      </c>
      <c r="D4643">
        <v>15</v>
      </c>
      <c r="E4643">
        <v>15</v>
      </c>
      <c r="F4643">
        <v>0</v>
      </c>
      <c r="G4643">
        <v>1</v>
      </c>
      <c r="H4643" s="1">
        <v>3.0555555555555557E-3</v>
      </c>
      <c r="I4643">
        <v>2016</v>
      </c>
      <c r="J4643" t="s">
        <v>20</v>
      </c>
      <c r="K4643" s="2" t="str">
        <f>HYPERLINK("https://www.nba.com/stats/events?CFID=&amp;CFPARAMS=&amp;GameEventID=72&amp;GameID=0021601193&amp;Season=2016-17&amp;flag=1&amp;title=Leonard%202'%20Driving%20Finger%20Roll%20Layup%20(5%20PTS)", "Leonard 2' Driving Finger Roll Layup (5 PTS)")</f>
        <v>Leonard 2' Driving Finger Roll Layup (5 PTS)</v>
      </c>
      <c r="L4643" s="2" t="str">
        <f>HYPERLINK("https://www.nba.com/game/...-vs-...-0021601193/play-by-play?watchFullGame=true", "SAS vs LAC - Q1 04:24.00")</f>
        <v>SAS vs LAC - Q1 04:24.00</v>
      </c>
      <c r="M4643">
        <v>2</v>
      </c>
      <c r="N4643">
        <v>17</v>
      </c>
      <c r="O4643">
        <v>-1</v>
      </c>
      <c r="P4643">
        <v>17</v>
      </c>
      <c r="Q4643">
        <v>-1</v>
      </c>
      <c r="R4643" t="s">
        <v>21</v>
      </c>
      <c r="S4643" t="s">
        <v>21</v>
      </c>
    </row>
    <row r="4644" spans="1:19" hidden="1" x14ac:dyDescent="0.25">
      <c r="A4644">
        <v>41800301</v>
      </c>
      <c r="B4644" t="s">
        <v>18</v>
      </c>
      <c r="C4644" t="s">
        <v>22</v>
      </c>
      <c r="D4644">
        <v>76</v>
      </c>
      <c r="E4644">
        <v>66</v>
      </c>
      <c r="F4644">
        <v>10</v>
      </c>
      <c r="G4644">
        <v>3</v>
      </c>
      <c r="H4644" s="1">
        <v>3.0671296296296297E-3</v>
      </c>
      <c r="I4644" t="s">
        <v>60</v>
      </c>
      <c r="J4644" t="s">
        <v>48</v>
      </c>
      <c r="K4644" s="2" t="str">
        <f>HYPERLINK("https://www.nba.com/stats/events?CFID=&amp;CFPARAMS=&amp;GameEventID=432&amp;GameID=0041800301&amp;Season=2018-19&amp;flag=1&amp;title=Leonard%202'%20Driving%20Layup%20(25%20PTS)", "Leonard 2' Driving Layup (25 PTS)")</f>
        <v>Leonard 2' Driving Layup (25 PTS)</v>
      </c>
      <c r="L4644" s="2" t="str">
        <f>HYPERLINK("https://www.nba.com/game/...-vs-...-0041800301/play-by-play?watchFullGame=true", "TOR vs MIL - Q3 04:25.00")</f>
        <v>TOR vs MIL - Q3 04:25.00</v>
      </c>
      <c r="M4644">
        <v>2</v>
      </c>
      <c r="N4644">
        <v>-6</v>
      </c>
      <c r="O4644">
        <v>22</v>
      </c>
      <c r="P4644">
        <v>-6</v>
      </c>
      <c r="Q4644">
        <v>22</v>
      </c>
      <c r="R4644" t="s">
        <v>21</v>
      </c>
      <c r="S4644" t="s">
        <v>21</v>
      </c>
    </row>
    <row r="4645" spans="1:19" hidden="1" x14ac:dyDescent="0.25">
      <c r="A4645">
        <v>21500431</v>
      </c>
      <c r="B4645" t="s">
        <v>18</v>
      </c>
      <c r="C4645" t="s">
        <v>40</v>
      </c>
      <c r="D4645">
        <v>96</v>
      </c>
      <c r="E4645">
        <v>75</v>
      </c>
      <c r="F4645">
        <v>21</v>
      </c>
      <c r="G4645">
        <v>4</v>
      </c>
      <c r="H4645" s="1">
        <v>3.0902777777777777E-3</v>
      </c>
      <c r="I4645">
        <v>2015</v>
      </c>
      <c r="J4645" t="s">
        <v>20</v>
      </c>
      <c r="K4645" s="2" t="str">
        <f>HYPERLINK("https://www.nba.com/stats/events?CFID=&amp;CFPARAMS=&amp;GameEventID=432&amp;GameID=0021500431&amp;Season=2015-16&amp;flag=1&amp;title=Leonard%202'%20Driving%20Finger%20Roll%20Layup%20(19%20PTS)", "Leonard 2' Driving Finger Roll Layup (19 PTS)")</f>
        <v>Leonard 2' Driving Finger Roll Layup (19 PTS)</v>
      </c>
      <c r="L4645" s="2" t="str">
        <f>HYPERLINK("https://www.nba.com/game/...-vs-...-0021500431/play-by-play?watchFullGame=true", "SAS vs MIN - Q4 04:27.00")</f>
        <v>SAS vs MIN - Q4 04:27.00</v>
      </c>
      <c r="M4645">
        <v>2</v>
      </c>
      <c r="N4645">
        <v>-14</v>
      </c>
      <c r="O4645">
        <v>11</v>
      </c>
      <c r="P4645">
        <v>-14</v>
      </c>
      <c r="Q4645">
        <v>11</v>
      </c>
      <c r="R4645" t="s">
        <v>21</v>
      </c>
      <c r="S4645" t="s">
        <v>21</v>
      </c>
    </row>
    <row r="4646" spans="1:19" hidden="1" x14ac:dyDescent="0.25">
      <c r="A4646">
        <v>21500909</v>
      </c>
      <c r="B4646" t="s">
        <v>18</v>
      </c>
      <c r="C4646" t="s">
        <v>22</v>
      </c>
      <c r="D4646">
        <v>18</v>
      </c>
      <c r="E4646">
        <v>17</v>
      </c>
      <c r="F4646">
        <v>1</v>
      </c>
      <c r="G4646">
        <v>1</v>
      </c>
      <c r="H4646" s="1">
        <v>3.1018518518518517E-3</v>
      </c>
      <c r="I4646">
        <v>2015</v>
      </c>
      <c r="J4646" t="s">
        <v>20</v>
      </c>
      <c r="K4646" s="2" t="str">
        <f>HYPERLINK("https://www.nba.com/stats/events?CFID=&amp;CFPARAMS=&amp;GameEventID=65&amp;GameID=0021500909&amp;Season=2015-16&amp;flag=1&amp;title=Leonard%202'%20Driving%20Layup%20(7%20PTS)%20(Diaw%201%20AST)", "Leonard 2' Driving Layup (7 PTS) (Diaw 1 AST)")</f>
        <v>Leonard 2' Driving Layup (7 PTS) (Diaw 1 AST)</v>
      </c>
      <c r="L4646" s="2" t="str">
        <f>HYPERLINK("https://www.nba.com/game/...-vs-...-0021500909/play-by-play?watchFullGame=true", "SAS vs NOP - Q1 04:28.00")</f>
        <v>SAS vs NOP - Q1 04:28.00</v>
      </c>
      <c r="M4646">
        <v>2</v>
      </c>
      <c r="N4646">
        <v>9</v>
      </c>
      <c r="O4646">
        <v>16</v>
      </c>
      <c r="P4646">
        <v>9</v>
      </c>
      <c r="Q4646">
        <v>16</v>
      </c>
      <c r="R4646" t="s">
        <v>21</v>
      </c>
      <c r="S4646" t="s">
        <v>21</v>
      </c>
    </row>
    <row r="4647" spans="1:19" hidden="1" x14ac:dyDescent="0.25">
      <c r="A4647">
        <v>21800055</v>
      </c>
      <c r="B4647" t="s">
        <v>18</v>
      </c>
      <c r="C4647" t="s">
        <v>25</v>
      </c>
      <c r="D4647">
        <v>35</v>
      </c>
      <c r="E4647">
        <v>27</v>
      </c>
      <c r="F4647">
        <v>8</v>
      </c>
      <c r="G4647">
        <v>2</v>
      </c>
      <c r="H4647" s="1">
        <v>5.37037037037037E-3</v>
      </c>
      <c r="I4647">
        <v>2018</v>
      </c>
      <c r="J4647" t="s">
        <v>48</v>
      </c>
      <c r="K4647" s="2" t="str">
        <f>HYPERLINK("https://www.nba.com/stats/events?CFID=&amp;CFPARAMS=&amp;GameEventID=216&amp;GameID=0021800055&amp;Season=2018-19&amp;flag=1&amp;title=Leonard%201'%20Driving%20Dunk%20(16%20PTS)", "Leonard 1' Driving Dunk (16 PTS)")</f>
        <v>Leonard 1' Driving Dunk (16 PTS)</v>
      </c>
      <c r="L4647" s="2" t="str">
        <f>HYPERLINK("https://www.nba.com/game/...-vs-...-0021800055/play-by-play?watchFullGame=true", "TOR vs MIN - Q2 07:44.00")</f>
        <v>TOR vs MIN - Q2 07:44.00</v>
      </c>
      <c r="M4647">
        <v>1</v>
      </c>
      <c r="N4647">
        <v>-6</v>
      </c>
      <c r="O4647">
        <v>13</v>
      </c>
      <c r="P4647">
        <v>-6</v>
      </c>
      <c r="Q4647">
        <v>13</v>
      </c>
      <c r="R4647" t="s">
        <v>21</v>
      </c>
      <c r="S4647" t="s">
        <v>21</v>
      </c>
    </row>
    <row r="4648" spans="1:19" hidden="1" x14ac:dyDescent="0.25">
      <c r="A4648">
        <v>21600309</v>
      </c>
      <c r="B4648" t="s">
        <v>18</v>
      </c>
      <c r="C4648" t="s">
        <v>69</v>
      </c>
      <c r="D4648">
        <v>89</v>
      </c>
      <c r="E4648">
        <v>90</v>
      </c>
      <c r="F4648">
        <v>1</v>
      </c>
      <c r="G4648">
        <v>4</v>
      </c>
      <c r="H4648" s="1">
        <v>3.1481481481481482E-3</v>
      </c>
      <c r="I4648">
        <v>2016</v>
      </c>
      <c r="J4648" t="s">
        <v>20</v>
      </c>
      <c r="K4648" s="2" t="str">
        <f>HYPERLINK("https://www.nba.com/stats/events?CFID=&amp;CFPARAMS=&amp;GameEventID=526&amp;GameID=0021600309&amp;Season=2016-17&amp;flag=1&amp;title=Leonard%202'%20Driving%20Bank%20Hook%20Shot%20(17%20PTS)%20(Ginobili%201%20AST)", "Leonard 2' Driving Bank Hook Shot (17 PTS) (Ginobili 1 AST)")</f>
        <v>Leonard 2' Driving Bank Hook Shot (17 PTS) (Ginobili 1 AST)</v>
      </c>
      <c r="L4648" s="2" t="str">
        <f>HYPERLINK("https://www.nba.com/game/...-vs-...-0021600309/play-by-play?watchFullGame=true", "SAS vs MIL - Q4 04:32.00")</f>
        <v>SAS vs MIL - Q4 04:32.00</v>
      </c>
      <c r="M4648">
        <v>2</v>
      </c>
      <c r="N4648">
        <v>19</v>
      </c>
      <c r="O4648">
        <v>16</v>
      </c>
      <c r="P4648">
        <v>19</v>
      </c>
      <c r="Q4648">
        <v>16</v>
      </c>
      <c r="R4648" t="s">
        <v>21</v>
      </c>
      <c r="S4648" t="s">
        <v>21</v>
      </c>
    </row>
    <row r="4649" spans="1:19" hidden="1" x14ac:dyDescent="0.25">
      <c r="A4649">
        <v>21801083</v>
      </c>
      <c r="B4649" t="s">
        <v>18</v>
      </c>
      <c r="C4649" t="s">
        <v>25</v>
      </c>
      <c r="D4649">
        <v>41</v>
      </c>
      <c r="E4649">
        <v>32</v>
      </c>
      <c r="F4649">
        <v>9</v>
      </c>
      <c r="G4649">
        <v>2</v>
      </c>
      <c r="H4649" s="1">
        <v>5.4976851851851853E-3</v>
      </c>
      <c r="I4649">
        <v>2018</v>
      </c>
      <c r="J4649" t="s">
        <v>48</v>
      </c>
      <c r="K4649" s="2" t="str">
        <f>HYPERLINK("https://www.nba.com/stats/events?CFID=&amp;CFPARAMS=&amp;GameEventID=193&amp;GameID=0021801083&amp;Season=2018-19&amp;flag=1&amp;title=Leonard%201'%20Driving%20Dunk%20(7%20PTS)", "Leonard 1' Driving Dunk (7 PTS)")</f>
        <v>Leonard 1' Driving Dunk (7 PTS)</v>
      </c>
      <c r="L4649" s="2" t="str">
        <f>HYPERLINK("https://www.nba.com/game/...-vs-...-0021801083/play-by-play?watchFullGame=true", "TOR vs OKC - Q2 07:55.00")</f>
        <v>TOR vs OKC - Q2 07:55.00</v>
      </c>
      <c r="M4649">
        <v>1</v>
      </c>
      <c r="N4649">
        <v>-6</v>
      </c>
      <c r="O4649">
        <v>10</v>
      </c>
      <c r="P4649">
        <v>-6</v>
      </c>
      <c r="Q4649">
        <v>10</v>
      </c>
      <c r="R4649" t="s">
        <v>21</v>
      </c>
      <c r="S4649" t="s">
        <v>21</v>
      </c>
    </row>
    <row r="4650" spans="1:19" hidden="1" x14ac:dyDescent="0.25">
      <c r="A4650">
        <v>21800459</v>
      </c>
      <c r="B4650" t="s">
        <v>18</v>
      </c>
      <c r="C4650" t="s">
        <v>22</v>
      </c>
      <c r="D4650">
        <v>90</v>
      </c>
      <c r="E4650">
        <v>92</v>
      </c>
      <c r="F4650">
        <v>2</v>
      </c>
      <c r="G4650">
        <v>4</v>
      </c>
      <c r="H4650" s="1">
        <v>3.2407407407407406E-3</v>
      </c>
      <c r="I4650">
        <v>2018</v>
      </c>
      <c r="J4650" t="s">
        <v>48</v>
      </c>
      <c r="K4650" s="2" t="str">
        <f>HYPERLINK("https://www.nba.com/stats/events?CFID=&amp;CFPARAMS=&amp;GameEventID=608&amp;GameID=0021800459&amp;Season=2018-19&amp;flag=1&amp;title=Leonard%202'%20Driving%20Layup%20(26%20PTS)", "Leonard 2' Driving Layup (26 PTS)")</f>
        <v>Leonard 2' Driving Layup (26 PTS)</v>
      </c>
      <c r="L4650" s="2" t="str">
        <f>HYPERLINK("https://www.nba.com/game/...-vs-...-0021800459/play-by-play?watchFullGame=true", "TOR vs IND - Q4 04:40.00")</f>
        <v>TOR vs IND - Q4 04:40.00</v>
      </c>
      <c r="M4650">
        <v>2</v>
      </c>
      <c r="N4650">
        <v>-11</v>
      </c>
      <c r="O4650">
        <v>-16</v>
      </c>
      <c r="P4650">
        <v>-11</v>
      </c>
      <c r="Q4650">
        <v>-16</v>
      </c>
      <c r="R4650" t="s">
        <v>21</v>
      </c>
      <c r="S4650" t="s">
        <v>21</v>
      </c>
    </row>
    <row r="4651" spans="1:19" hidden="1" x14ac:dyDescent="0.25">
      <c r="A4651">
        <v>41800402</v>
      </c>
      <c r="B4651" t="s">
        <v>18</v>
      </c>
      <c r="C4651" t="s">
        <v>51</v>
      </c>
      <c r="D4651">
        <v>64</v>
      </c>
      <c r="E4651">
        <v>74</v>
      </c>
      <c r="F4651">
        <v>10</v>
      </c>
      <c r="G4651">
        <v>3</v>
      </c>
      <c r="H4651" s="1">
        <v>3.2638888888888891E-3</v>
      </c>
      <c r="I4651" t="s">
        <v>60</v>
      </c>
      <c r="J4651" t="s">
        <v>48</v>
      </c>
      <c r="K4651" s="2" t="str">
        <f>HYPERLINK("https://www.nba.com/stats/events?CFID=&amp;CFPARAMS=&amp;GameEventID=474&amp;GameID=0041800402&amp;Season=2018-19&amp;flag=1&amp;title=Leonard%202'%20Running%20Layup%20(18%20PTS)", "Leonard 2' Running Layup (18 PTS)")</f>
        <v>Leonard 2' Running Layup (18 PTS)</v>
      </c>
      <c r="L4651" s="2" t="str">
        <f>HYPERLINK("https://www.nba.com/game/...-vs-...-0041800402/play-by-play?watchFullGame=true", "TOR vs GSW - Q3 04:42.00")</f>
        <v>TOR vs GSW - Q3 04:42.00</v>
      </c>
      <c r="M4651">
        <v>2</v>
      </c>
      <c r="N4651">
        <v>13</v>
      </c>
      <c r="O4651">
        <v>10</v>
      </c>
      <c r="P4651">
        <v>13</v>
      </c>
      <c r="Q4651">
        <v>10</v>
      </c>
      <c r="R4651" t="s">
        <v>21</v>
      </c>
      <c r="S4651" t="s">
        <v>21</v>
      </c>
    </row>
    <row r="4652" spans="1:19" hidden="1" x14ac:dyDescent="0.25">
      <c r="A4652">
        <v>21600639</v>
      </c>
      <c r="B4652" t="s">
        <v>18</v>
      </c>
      <c r="C4652" t="s">
        <v>24</v>
      </c>
      <c r="D4652">
        <v>15</v>
      </c>
      <c r="E4652">
        <v>14</v>
      </c>
      <c r="F4652">
        <v>1</v>
      </c>
      <c r="G4652">
        <v>1</v>
      </c>
      <c r="H4652" s="1">
        <v>3.2638888888888891E-3</v>
      </c>
      <c r="I4652">
        <v>2016</v>
      </c>
      <c r="J4652" t="s">
        <v>20</v>
      </c>
      <c r="K4652" s="2" t="str">
        <f>HYPERLINK("https://www.nba.com/stats/events?CFID=&amp;CFPARAMS=&amp;GameEventID=61&amp;GameID=0021600639&amp;Season=2016-17&amp;flag=1&amp;title=Leonard%202'%20Layup%20(5%20PTS)%20(Aldridge%202%20AST)", "Leonard 2' Layup (5 PTS) (Aldridge 2 AST)")</f>
        <v>Leonard 2' Layup (5 PTS) (Aldridge 2 AST)</v>
      </c>
      <c r="L4652" s="2" t="str">
        <f>HYPERLINK("https://www.nba.com/game/...-vs-...-0021600639/play-by-play?watchFullGame=true", "SAS vs DEN - Q1 04:42.00")</f>
        <v>SAS vs DEN - Q1 04:42.00</v>
      </c>
      <c r="M4652">
        <v>2</v>
      </c>
      <c r="N4652">
        <v>20</v>
      </c>
      <c r="O4652">
        <v>-1</v>
      </c>
      <c r="P4652">
        <v>20</v>
      </c>
      <c r="Q4652">
        <v>-1</v>
      </c>
      <c r="R4652" t="s">
        <v>21</v>
      </c>
      <c r="S4652" t="s">
        <v>21</v>
      </c>
    </row>
    <row r="4653" spans="1:19" hidden="1" x14ac:dyDescent="0.25">
      <c r="A4653">
        <v>21501177</v>
      </c>
      <c r="B4653" t="s">
        <v>18</v>
      </c>
      <c r="C4653" t="s">
        <v>22</v>
      </c>
      <c r="D4653">
        <v>52</v>
      </c>
      <c r="E4653">
        <v>71</v>
      </c>
      <c r="F4653">
        <v>19</v>
      </c>
      <c r="G4653">
        <v>3</v>
      </c>
      <c r="H4653" s="1">
        <v>3.3680555555555556E-3</v>
      </c>
      <c r="I4653">
        <v>2015</v>
      </c>
      <c r="J4653" t="s">
        <v>20</v>
      </c>
      <c r="K4653" s="2" t="str">
        <f>HYPERLINK("https://www.nba.com/stats/events?CFID=&amp;CFPARAMS=&amp;GameEventID=300&amp;GameID=0021501177&amp;Season=2015-16&amp;flag=1&amp;title=Leonard%202'%20Driving%20Layup%20(18%20PTS)%20(Aldridge%202%20AST)", "Leonard 2' Driving Layup (18 PTS) (Aldridge 2 AST)")</f>
        <v>Leonard 2' Driving Layup (18 PTS) (Aldridge 2 AST)</v>
      </c>
      <c r="L4653" s="2" t="str">
        <f>HYPERLINK("https://www.nba.com/game/...-vs-...-0021501177/play-by-play?watchFullGame=true", "SAS vs GSW - Q3 04:51.00")</f>
        <v>SAS vs GSW - Q3 04:51.00</v>
      </c>
      <c r="M4653">
        <v>2</v>
      </c>
      <c r="N4653">
        <v>14</v>
      </c>
      <c r="O4653">
        <v>16</v>
      </c>
      <c r="P4653">
        <v>14</v>
      </c>
      <c r="Q4653">
        <v>16</v>
      </c>
      <c r="R4653" t="s">
        <v>21</v>
      </c>
      <c r="S4653" t="s">
        <v>21</v>
      </c>
    </row>
    <row r="4654" spans="1:19" hidden="1" x14ac:dyDescent="0.25">
      <c r="A4654">
        <v>21801195</v>
      </c>
      <c r="B4654" t="s">
        <v>18</v>
      </c>
      <c r="C4654" t="s">
        <v>35</v>
      </c>
      <c r="D4654">
        <v>17</v>
      </c>
      <c r="E4654">
        <v>14</v>
      </c>
      <c r="F4654">
        <v>3</v>
      </c>
      <c r="G4654">
        <v>1</v>
      </c>
      <c r="H4654" s="1">
        <v>3.3796296296296296E-3</v>
      </c>
      <c r="I4654">
        <v>2018</v>
      </c>
      <c r="J4654" t="s">
        <v>48</v>
      </c>
      <c r="K4654" s="2" t="str">
        <f>HYPERLINK("https://www.nba.com/stats/events?CFID=&amp;CFPARAMS=&amp;GameEventID=92&amp;GameID=0021801195&amp;Season=2018-19&amp;flag=1&amp;title=Leonard%202'%20Reverse%20Layup%20(2%20PTS)%20(Gasol%201%20AST)", "Leonard 2' Reverse Layup (2 PTS) (Gasol 1 AST)")</f>
        <v>Leonard 2' Reverse Layup (2 PTS) (Gasol 1 AST)</v>
      </c>
      <c r="L4654" s="2" t="str">
        <f>HYPERLINK("https://www.nba.com/game/...-vs-...-0021801195/play-by-play?watchFullGame=true", "TOR vs MIA - Q1 04:52.00")</f>
        <v>TOR vs MIA - Q1 04:52.00</v>
      </c>
      <c r="M4654">
        <v>2</v>
      </c>
      <c r="N4654">
        <v>-17</v>
      </c>
      <c r="O4654">
        <v>11</v>
      </c>
      <c r="P4654">
        <v>-17</v>
      </c>
      <c r="Q4654">
        <v>11</v>
      </c>
      <c r="R4654" t="s">
        <v>21</v>
      </c>
      <c r="S4654" t="s">
        <v>21</v>
      </c>
    </row>
    <row r="4655" spans="1:19" hidden="1" x14ac:dyDescent="0.25">
      <c r="A4655">
        <v>41800305</v>
      </c>
      <c r="B4655" t="s">
        <v>18</v>
      </c>
      <c r="C4655" t="s">
        <v>22</v>
      </c>
      <c r="D4655">
        <v>11</v>
      </c>
      <c r="E4655">
        <v>20</v>
      </c>
      <c r="F4655">
        <v>9</v>
      </c>
      <c r="G4655">
        <v>1</v>
      </c>
      <c r="H4655" s="1">
        <v>3.4027777777777776E-3</v>
      </c>
      <c r="I4655" t="s">
        <v>60</v>
      </c>
      <c r="J4655" t="s">
        <v>48</v>
      </c>
      <c r="K4655" s="2" t="str">
        <f>HYPERLINK("https://www.nba.com/stats/events?CFID=&amp;CFPARAMS=&amp;GameEventID=98&amp;GameID=0041800305&amp;Season=2018-19&amp;flag=1&amp;title=Leonard%202'%20Driving%20Layup%20(8%20PTS)", "Leonard 2' Driving Layup (8 PTS)")</f>
        <v>Leonard 2' Driving Layup (8 PTS)</v>
      </c>
      <c r="L4655" s="2" t="str">
        <f>HYPERLINK("https://www.nba.com/game/...-vs-...-0041800305/play-by-play?watchFullGame=true", "TOR vs MIL - Q1 04:54.00")</f>
        <v>TOR vs MIL - Q1 04:54.00</v>
      </c>
      <c r="M4655">
        <v>2</v>
      </c>
      <c r="N4655">
        <v>1</v>
      </c>
      <c r="O4655">
        <v>20</v>
      </c>
      <c r="P4655">
        <v>1</v>
      </c>
      <c r="Q4655">
        <v>20</v>
      </c>
      <c r="R4655" t="s">
        <v>21</v>
      </c>
      <c r="S4655" t="s">
        <v>21</v>
      </c>
    </row>
    <row r="4656" spans="1:19" hidden="1" x14ac:dyDescent="0.25">
      <c r="A4656">
        <v>21500103</v>
      </c>
      <c r="B4656" t="s">
        <v>18</v>
      </c>
      <c r="C4656" t="s">
        <v>22</v>
      </c>
      <c r="D4656">
        <v>66</v>
      </c>
      <c r="E4656">
        <v>55</v>
      </c>
      <c r="F4656">
        <v>11</v>
      </c>
      <c r="G4656">
        <v>3</v>
      </c>
      <c r="H4656" s="1">
        <v>3.4027777777777776E-3</v>
      </c>
      <c r="I4656">
        <v>2015</v>
      </c>
      <c r="J4656" t="s">
        <v>20</v>
      </c>
      <c r="K4656" s="2" t="str">
        <f>HYPERLINK("https://www.nba.com/stats/events?CFID=&amp;CFPARAMS=&amp;GameEventID=320&amp;GameID=0021500103&amp;Season=2015-16&amp;flag=1&amp;title=Leonard%202'%20Driving%20Layup%20(17%20PTS)%20(Green%204%20AST)", "Leonard 2' Driving Layup (17 PTS) (Green 4 AST)")</f>
        <v>Leonard 2' Driving Layup (17 PTS) (Green 4 AST)</v>
      </c>
      <c r="L4656" s="2" t="str">
        <f>HYPERLINK("https://www.nba.com/game/...-vs-...-0021500103/play-by-play?watchFullGame=true", "SAS vs SAC - Q3 04:54.00")</f>
        <v>SAS vs SAC - Q3 04:54.00</v>
      </c>
      <c r="M4656">
        <v>2</v>
      </c>
      <c r="N4656">
        <v>15</v>
      </c>
      <c r="O4656">
        <v>7</v>
      </c>
      <c r="P4656">
        <v>15</v>
      </c>
      <c r="Q4656">
        <v>7</v>
      </c>
      <c r="R4656" t="s">
        <v>21</v>
      </c>
      <c r="S4656" t="s">
        <v>21</v>
      </c>
    </row>
    <row r="4657" spans="1:19" hidden="1" x14ac:dyDescent="0.25">
      <c r="A4657">
        <v>21400191</v>
      </c>
      <c r="B4657" t="s">
        <v>18</v>
      </c>
      <c r="C4657" t="s">
        <v>24</v>
      </c>
      <c r="D4657">
        <v>44</v>
      </c>
      <c r="E4657">
        <v>27</v>
      </c>
      <c r="F4657">
        <v>17</v>
      </c>
      <c r="G4657">
        <v>2</v>
      </c>
      <c r="H4657" s="1">
        <v>3.4027777777777776E-3</v>
      </c>
      <c r="I4657">
        <v>2014</v>
      </c>
      <c r="J4657" t="s">
        <v>20</v>
      </c>
      <c r="K4657" s="2" t="str">
        <f>HYPERLINK("https://www.nba.com/stats/events?CFID=&amp;CFPARAMS=&amp;GameEventID=172&amp;GameID=0021400191&amp;Season=2014-15&amp;flag=1&amp;title=Leonard%202'%20Layup%20(8%20PTS)%20(Duncan%205%20AST)", "Leonard 2' Layup (8 PTS) (Duncan 5 AST)")</f>
        <v>Leonard 2' Layup (8 PTS) (Duncan 5 AST)</v>
      </c>
      <c r="L4657" s="2" t="str">
        <f>HYPERLINK("https://www.nba.com/game/...-vs-...-0021400191/play-by-play?watchFullGame=true", "SAS vs BKN - Q2 04:54.00")</f>
        <v>SAS vs BKN - Q2 04:54.00</v>
      </c>
      <c r="M4657">
        <v>2</v>
      </c>
      <c r="N4657">
        <v>18</v>
      </c>
      <c r="O4657">
        <v>12</v>
      </c>
      <c r="P4657">
        <v>18</v>
      </c>
      <c r="Q4657">
        <v>12</v>
      </c>
      <c r="R4657" t="s">
        <v>21</v>
      </c>
      <c r="S4657" t="s">
        <v>21</v>
      </c>
    </row>
    <row r="4658" spans="1:19" hidden="1" x14ac:dyDescent="0.25">
      <c r="A4658">
        <v>41300225</v>
      </c>
      <c r="B4658" t="s">
        <v>18</v>
      </c>
      <c r="C4658" t="s">
        <v>35</v>
      </c>
      <c r="D4658">
        <v>12</v>
      </c>
      <c r="E4658">
        <v>8</v>
      </c>
      <c r="F4658">
        <v>4</v>
      </c>
      <c r="G4658">
        <v>1</v>
      </c>
      <c r="H4658" s="1">
        <v>3.5069444444444445E-3</v>
      </c>
      <c r="I4658" t="s">
        <v>55</v>
      </c>
      <c r="J4658" t="s">
        <v>20</v>
      </c>
      <c r="K4658" s="2" t="str">
        <f>HYPERLINK("https://www.nba.com/stats/events?CFID=&amp;CFPARAMS=&amp;GameEventID=64&amp;GameID=0041300225&amp;Season=2013-14&amp;flag=1&amp;title=Leonard%202'%20Reverse%20Layup%20(4%20PTS)%20(Duncan%201%20AST)", "Leonard 2' Reverse Layup (4 PTS) (Duncan 1 AST)")</f>
        <v>Leonard 2' Reverse Layup (4 PTS) (Duncan 1 AST)</v>
      </c>
      <c r="L4658" s="2" t="str">
        <f>HYPERLINK("https://www.nba.com/game/...-vs-...-0041300225/play-by-play?watchFullGame=true", "SAS vs POR - Q1 05:03.00")</f>
        <v>SAS vs POR - Q1 05:03.00</v>
      </c>
      <c r="M4658">
        <v>2</v>
      </c>
      <c r="N4658">
        <v>23</v>
      </c>
      <c r="O4658">
        <v>-8</v>
      </c>
      <c r="P4658">
        <v>23</v>
      </c>
      <c r="Q4658">
        <v>-8</v>
      </c>
      <c r="R4658" t="s">
        <v>21</v>
      </c>
      <c r="S4658" t="s">
        <v>21</v>
      </c>
    </row>
    <row r="4659" spans="1:19" hidden="1" x14ac:dyDescent="0.25">
      <c r="A4659">
        <v>41300311</v>
      </c>
      <c r="B4659" t="s">
        <v>18</v>
      </c>
      <c r="C4659" t="s">
        <v>24</v>
      </c>
      <c r="D4659">
        <v>106</v>
      </c>
      <c r="E4659">
        <v>93</v>
      </c>
      <c r="F4659">
        <v>13</v>
      </c>
      <c r="G4659">
        <v>4</v>
      </c>
      <c r="H4659" s="1">
        <v>3.5300925925925925E-3</v>
      </c>
      <c r="I4659" t="s">
        <v>55</v>
      </c>
      <c r="J4659" t="s">
        <v>20</v>
      </c>
      <c r="K4659" s="2" t="str">
        <f>HYPERLINK("https://www.nba.com/stats/events?CFID=&amp;CFPARAMS=&amp;GameEventID=441&amp;GameID=0041300311&amp;Season=2013-14&amp;flag=1&amp;title=Leonard%202'%20Layup%20(16%20PTS)", "Leonard 2' Layup (16 PTS)")</f>
        <v>Leonard 2' Layup (16 PTS)</v>
      </c>
      <c r="L4659" s="2" t="str">
        <f>HYPERLINK("https://www.nba.com/game/...-vs-...-0041300311/play-by-play?watchFullGame=true", "SAS vs OKC - Q4 05:05.00")</f>
        <v>SAS vs OKC - Q4 05:05.00</v>
      </c>
      <c r="M4659">
        <v>2</v>
      </c>
      <c r="N4659">
        <v>-7</v>
      </c>
      <c r="O4659">
        <v>19</v>
      </c>
      <c r="P4659">
        <v>-7</v>
      </c>
      <c r="Q4659">
        <v>19</v>
      </c>
      <c r="R4659" t="s">
        <v>21</v>
      </c>
      <c r="S4659" t="s">
        <v>21</v>
      </c>
    </row>
    <row r="4660" spans="1:19" hidden="1" x14ac:dyDescent="0.25">
      <c r="A4660">
        <v>21401150</v>
      </c>
      <c r="B4660" t="s">
        <v>18</v>
      </c>
      <c r="C4660" t="s">
        <v>24</v>
      </c>
      <c r="D4660">
        <v>75</v>
      </c>
      <c r="E4660">
        <v>59</v>
      </c>
      <c r="F4660">
        <v>16</v>
      </c>
      <c r="G4660">
        <v>3</v>
      </c>
      <c r="H4660" s="1">
        <v>3.5995370370370369E-3</v>
      </c>
      <c r="I4660">
        <v>2014</v>
      </c>
      <c r="J4660" t="s">
        <v>20</v>
      </c>
      <c r="K4660" s="2" t="str">
        <f>HYPERLINK("https://www.nba.com/stats/events?CFID=&amp;CFPARAMS=&amp;GameEventID=294&amp;GameID=0021401150&amp;Season=2014-15&amp;flag=1&amp;title=Leonard%202'%20Layup%20(23%20PTS)", "Leonard 2' Layup (23 PTS)")</f>
        <v>Leonard 2' Layup (23 PTS)</v>
      </c>
      <c r="L4660" s="2" t="str">
        <f>HYPERLINK("https://www.nba.com/game/...-vs-...-0021401150/play-by-play?watchFullGame=true", "SAS vs GSW - Q3 05:11.00")</f>
        <v>SAS vs GSW - Q3 05:11.00</v>
      </c>
      <c r="M4660">
        <v>2</v>
      </c>
      <c r="N4660">
        <v>15</v>
      </c>
      <c r="O4660">
        <v>-2</v>
      </c>
      <c r="P4660">
        <v>15</v>
      </c>
      <c r="Q4660">
        <v>-2</v>
      </c>
      <c r="R4660" t="s">
        <v>21</v>
      </c>
      <c r="S4660" t="s">
        <v>21</v>
      </c>
    </row>
    <row r="4661" spans="1:19" hidden="1" x14ac:dyDescent="0.25">
      <c r="A4661">
        <v>21500790</v>
      </c>
      <c r="B4661" t="s">
        <v>18</v>
      </c>
      <c r="C4661" t="s">
        <v>24</v>
      </c>
      <c r="D4661">
        <v>41</v>
      </c>
      <c r="E4661">
        <v>37</v>
      </c>
      <c r="F4661">
        <v>4</v>
      </c>
      <c r="G4661">
        <v>2</v>
      </c>
      <c r="H4661" s="1">
        <v>3.6574074074074074E-3</v>
      </c>
      <c r="I4661">
        <v>2015</v>
      </c>
      <c r="J4661" t="s">
        <v>20</v>
      </c>
      <c r="K4661" s="2" t="str">
        <f>HYPERLINK("https://www.nba.com/stats/events?CFID=&amp;CFPARAMS=&amp;GameEventID=184&amp;GameID=0021500790&amp;Season=2015-16&amp;flag=1&amp;title=Leonard%202'%20Layup%20(11%20PTS)%20(Duncan%202%20AST)", "Leonard 2' Layup (11 PTS) (Duncan 2 AST)")</f>
        <v>Leonard 2' Layup (11 PTS) (Duncan 2 AST)</v>
      </c>
      <c r="L4661" s="2" t="str">
        <f>HYPERLINK("https://www.nba.com/game/...-vs-...-0021500790/play-by-play?watchFullGame=true", "SAS vs ORL - Q2 05:16.00")</f>
        <v>SAS vs ORL - Q2 05:16.00</v>
      </c>
      <c r="M4661">
        <v>2</v>
      </c>
      <c r="N4661">
        <v>-11</v>
      </c>
      <c r="O4661">
        <v>21</v>
      </c>
      <c r="P4661">
        <v>-11</v>
      </c>
      <c r="Q4661">
        <v>21</v>
      </c>
      <c r="R4661" t="s">
        <v>21</v>
      </c>
      <c r="S4661" t="s">
        <v>21</v>
      </c>
    </row>
    <row r="4662" spans="1:19" hidden="1" x14ac:dyDescent="0.25">
      <c r="A4662">
        <v>41200154</v>
      </c>
      <c r="B4662" t="s">
        <v>18</v>
      </c>
      <c r="C4662" t="s">
        <v>24</v>
      </c>
      <c r="D4662">
        <v>97</v>
      </c>
      <c r="E4662">
        <v>78</v>
      </c>
      <c r="F4662">
        <v>19</v>
      </c>
      <c r="G4662">
        <v>4</v>
      </c>
      <c r="H4662" s="1">
        <v>3.6574074074074074E-3</v>
      </c>
      <c r="I4662" t="s">
        <v>53</v>
      </c>
      <c r="J4662" t="s">
        <v>20</v>
      </c>
      <c r="K4662" s="2" t="str">
        <f>HYPERLINK("https://www.nba.com/stats/events?CFID=&amp;CFPARAMS=&amp;GameEventID=437&amp;GameID=0041200154&amp;Season=2012-13&amp;flag=1&amp;title=Leonard%202'%20Layup%20(13%20PTS)%20(Duncan%202%20AST)", "Leonard 2' Layup (13 PTS) (Duncan 2 AST)")</f>
        <v>Leonard 2' Layup (13 PTS) (Duncan 2 AST)</v>
      </c>
      <c r="L4662" s="2" t="str">
        <f>HYPERLINK("https://www.nba.com/game/...-vs-...-0041200154/play-by-play?watchFullGame=true", "SAS vs LAL - Q4 05:16.00")</f>
        <v>SAS vs LAL - Q4 05:16.00</v>
      </c>
      <c r="M4662">
        <v>2</v>
      </c>
      <c r="N4662">
        <v>-10</v>
      </c>
      <c r="O4662">
        <v>14</v>
      </c>
      <c r="P4662">
        <v>-10</v>
      </c>
      <c r="Q4662">
        <v>14</v>
      </c>
      <c r="R4662" t="s">
        <v>21</v>
      </c>
      <c r="S4662" t="s">
        <v>21</v>
      </c>
    </row>
    <row r="4663" spans="1:19" hidden="1" x14ac:dyDescent="0.25">
      <c r="A4663">
        <v>21601042</v>
      </c>
      <c r="B4663" t="s">
        <v>18</v>
      </c>
      <c r="C4663" t="s">
        <v>24</v>
      </c>
      <c r="D4663">
        <v>8</v>
      </c>
      <c r="E4663">
        <v>16</v>
      </c>
      <c r="F4663">
        <v>8</v>
      </c>
      <c r="G4663">
        <v>1</v>
      </c>
      <c r="H4663" s="1">
        <v>3.6805555555555554E-3</v>
      </c>
      <c r="I4663">
        <v>2016</v>
      </c>
      <c r="J4663" t="s">
        <v>20</v>
      </c>
      <c r="K4663" s="2" t="str">
        <f>HYPERLINK("https://www.nba.com/stats/events?CFID=&amp;CFPARAMS=&amp;GameEventID=65&amp;GameID=0021601042&amp;Season=2016-17&amp;flag=1&amp;title=Leonard%202'%20Layup%20(2%20PTS)%20(Simmons%201%20AST)", "Leonard 2' Layup (2 PTS) (Simmons 1 AST)")</f>
        <v>Leonard 2' Layup (2 PTS) (Simmons 1 AST)</v>
      </c>
      <c r="L4663" s="2" t="str">
        <f>HYPERLINK("https://www.nba.com/game/...-vs-...-0021601042/play-by-play?watchFullGame=true", "SAS vs SAC - Q1 05:18.00")</f>
        <v>SAS vs SAC - Q1 05:18.00</v>
      </c>
      <c r="M4663">
        <v>2</v>
      </c>
      <c r="N4663">
        <v>15</v>
      </c>
      <c r="O4663">
        <v>8</v>
      </c>
      <c r="P4663">
        <v>15</v>
      </c>
      <c r="Q4663">
        <v>8</v>
      </c>
      <c r="R4663" t="s">
        <v>21</v>
      </c>
      <c r="S4663" t="s">
        <v>21</v>
      </c>
    </row>
    <row r="4664" spans="1:19" hidden="1" x14ac:dyDescent="0.25">
      <c r="A4664">
        <v>21800216</v>
      </c>
      <c r="B4664" t="s">
        <v>18</v>
      </c>
      <c r="C4664" t="s">
        <v>22</v>
      </c>
      <c r="D4664">
        <v>42</v>
      </c>
      <c r="E4664">
        <v>46</v>
      </c>
      <c r="F4664">
        <v>4</v>
      </c>
      <c r="G4664">
        <v>2</v>
      </c>
      <c r="H4664" s="1">
        <v>3.6805555555555554E-3</v>
      </c>
      <c r="I4664">
        <v>2018</v>
      </c>
      <c r="J4664" t="s">
        <v>48</v>
      </c>
      <c r="K4664" s="2" t="str">
        <f>HYPERLINK("https://www.nba.com/stats/events?CFID=&amp;CFPARAMS=&amp;GameEventID=254&amp;GameID=0021800216&amp;Season=2018-19&amp;flag=1&amp;title=Leonard%202'%20Driving%20Layup%20(10%20PTS)", "Leonard 2' Driving Layup (10 PTS)")</f>
        <v>Leonard 2' Driving Layup (10 PTS)</v>
      </c>
      <c r="L4664" s="2" t="str">
        <f>HYPERLINK("https://www.nba.com/game/...-vs-...-0021800216/play-by-play?watchFullGame=true", "TOR vs BOS - Q2 05:18.00")</f>
        <v>TOR vs BOS - Q2 05:18.00</v>
      </c>
      <c r="M4664">
        <v>2</v>
      </c>
      <c r="N4664">
        <v>16</v>
      </c>
      <c r="O4664">
        <v>15</v>
      </c>
      <c r="P4664">
        <v>16</v>
      </c>
      <c r="Q4664">
        <v>15</v>
      </c>
      <c r="R4664" t="s">
        <v>21</v>
      </c>
      <c r="S4664" t="s">
        <v>21</v>
      </c>
    </row>
    <row r="4665" spans="1:19" hidden="1" x14ac:dyDescent="0.25">
      <c r="A4665">
        <v>41800405</v>
      </c>
      <c r="B4665" t="s">
        <v>18</v>
      </c>
      <c r="C4665" t="s">
        <v>51</v>
      </c>
      <c r="D4665">
        <v>18</v>
      </c>
      <c r="E4665">
        <v>19</v>
      </c>
      <c r="F4665">
        <v>1</v>
      </c>
      <c r="G4665">
        <v>1</v>
      </c>
      <c r="H4665" s="1">
        <v>3.7152777777777778E-3</v>
      </c>
      <c r="I4665" t="s">
        <v>60</v>
      </c>
      <c r="J4665" t="s">
        <v>48</v>
      </c>
      <c r="K4665" s="2" t="str">
        <f>HYPERLINK("https://www.nba.com/stats/events?CFID=&amp;CFPARAMS=&amp;GameEventID=85&amp;GameID=0041800405&amp;Season=2018-19&amp;flag=1&amp;title=Leonard%202'%20Running%20Layup%20(4%20PTS)%20(Lowry%203%20AST)", "Leonard 2' Running Layup (4 PTS) (Lowry 3 AST)")</f>
        <v>Leonard 2' Running Layup (4 PTS) (Lowry 3 AST)</v>
      </c>
      <c r="L4665" s="2" t="str">
        <f>HYPERLINK("https://www.nba.com/game/...-vs-...-0041800405/play-by-play?watchFullGame=true", "TOR vs GSW - Q1 05:21.00")</f>
        <v>TOR vs GSW - Q1 05:21.00</v>
      </c>
      <c r="M4665">
        <v>2</v>
      </c>
      <c r="N4665">
        <v>16</v>
      </c>
      <c r="O4665">
        <v>-1</v>
      </c>
      <c r="P4665">
        <v>16</v>
      </c>
      <c r="Q4665">
        <v>-1</v>
      </c>
      <c r="R4665" t="s">
        <v>21</v>
      </c>
      <c r="S4665" t="s">
        <v>21</v>
      </c>
    </row>
    <row r="4666" spans="1:19" hidden="1" x14ac:dyDescent="0.25">
      <c r="A4666">
        <v>21801098</v>
      </c>
      <c r="B4666" t="s">
        <v>18</v>
      </c>
      <c r="C4666" t="s">
        <v>67</v>
      </c>
      <c r="D4666">
        <v>45</v>
      </c>
      <c r="E4666">
        <v>51</v>
      </c>
      <c r="F4666">
        <v>6</v>
      </c>
      <c r="G4666">
        <v>2</v>
      </c>
      <c r="H4666" s="1">
        <v>3.7268518518518519E-3</v>
      </c>
      <c r="I4666">
        <v>2018</v>
      </c>
      <c r="J4666" t="s">
        <v>48</v>
      </c>
      <c r="K4666" s="2" t="str">
        <f>HYPERLINK("https://www.nba.com/stats/events?CFID=&amp;CFPARAMS=&amp;GameEventID=253&amp;GameID=0021801098&amp;Season=2018-19&amp;flag=1&amp;title=Leonard%202'%20Turnaround%20Hook%20Shot%20(9%20PTS)", "Leonard 2' Turnaround Hook Shot (9 PTS)")</f>
        <v>Leonard 2' Turnaround Hook Shot (9 PTS)</v>
      </c>
      <c r="L4666" s="2" t="str">
        <f>HYPERLINK("https://www.nba.com/game/...-vs-...-0021801098/play-by-play?watchFullGame=true", "TOR vs CHA - Q2 05:22.00")</f>
        <v>TOR vs CHA - Q2 05:22.00</v>
      </c>
      <c r="M4666">
        <v>2</v>
      </c>
      <c r="N4666">
        <v>14</v>
      </c>
      <c r="O4666">
        <v>7</v>
      </c>
      <c r="P4666">
        <v>14</v>
      </c>
      <c r="Q4666">
        <v>7</v>
      </c>
      <c r="R4666" t="s">
        <v>21</v>
      </c>
      <c r="S4666" t="s">
        <v>21</v>
      </c>
    </row>
    <row r="4667" spans="1:19" hidden="1" x14ac:dyDescent="0.25">
      <c r="A4667">
        <v>21500546</v>
      </c>
      <c r="B4667" t="s">
        <v>18</v>
      </c>
      <c r="C4667" t="s">
        <v>22</v>
      </c>
      <c r="D4667">
        <v>15</v>
      </c>
      <c r="E4667">
        <v>13</v>
      </c>
      <c r="F4667">
        <v>2</v>
      </c>
      <c r="G4667">
        <v>1</v>
      </c>
      <c r="H4667" s="1">
        <v>3.7962962962962963E-3</v>
      </c>
      <c r="I4667">
        <v>2015</v>
      </c>
      <c r="J4667" t="s">
        <v>20</v>
      </c>
      <c r="K4667" s="2" t="str">
        <f>HYPERLINK("https://www.nba.com/stats/events?CFID=&amp;CFPARAMS=&amp;GameEventID=74&amp;GameID=0021500546&amp;Season=2015-16&amp;flag=1&amp;title=Leonard%202'%20Driving%20Layup%20(6%20PTS)", "Leonard 2' Driving Layup (6 PTS)")</f>
        <v>Leonard 2' Driving Layup (6 PTS)</v>
      </c>
      <c r="L4667" s="2" t="str">
        <f>HYPERLINK("https://www.nba.com/game/...-vs-...-0021500546/play-by-play?watchFullGame=true", "SAS vs NYK - Q1 05:28.00")</f>
        <v>SAS vs NYK - Q1 05:28.00</v>
      </c>
      <c r="M4667">
        <v>2</v>
      </c>
      <c r="N4667">
        <v>-19</v>
      </c>
      <c r="O4667">
        <v>8</v>
      </c>
      <c r="P4667">
        <v>-19</v>
      </c>
      <c r="Q4667">
        <v>8</v>
      </c>
      <c r="R4667" t="s">
        <v>21</v>
      </c>
      <c r="S4667" t="s">
        <v>21</v>
      </c>
    </row>
    <row r="4668" spans="1:19" hidden="1" x14ac:dyDescent="0.25">
      <c r="A4668">
        <v>21400595</v>
      </c>
      <c r="B4668" t="s">
        <v>18</v>
      </c>
      <c r="C4668" t="s">
        <v>32</v>
      </c>
      <c r="D4668">
        <v>110</v>
      </c>
      <c r="E4668">
        <v>87</v>
      </c>
      <c r="F4668">
        <v>23</v>
      </c>
      <c r="G4668">
        <v>4</v>
      </c>
      <c r="H4668" s="1">
        <v>3.7962962962962963E-3</v>
      </c>
      <c r="I4668">
        <v>2014</v>
      </c>
      <c r="J4668" t="s">
        <v>20</v>
      </c>
      <c r="K4668" s="2" t="str">
        <f>HYPERLINK("https://www.nba.com/stats/events?CFID=&amp;CFPARAMS=&amp;GameEventID=451&amp;GameID=0021400595&amp;Season=2014-15&amp;flag=1&amp;title=Leonard%202'%20Alley%20Oop%20Layup%20(20%20PTS)%20(Duncan%206%20AST)", "Leonard 2' Alley Oop Layup (20 PTS) (Duncan 6 AST)")</f>
        <v>Leonard 2' Alley Oop Layup (20 PTS) (Duncan 6 AST)</v>
      </c>
      <c r="L4668" s="2" t="str">
        <f>HYPERLINK("https://www.nba.com/game/...-vs-...-0021400595/play-by-play?watchFullGame=true", "SAS vs POR - Q4 05:28.00")</f>
        <v>SAS vs POR - Q4 05:28.00</v>
      </c>
      <c r="M4668">
        <v>2</v>
      </c>
      <c r="N4668">
        <v>-15</v>
      </c>
      <c r="O4668">
        <v>3</v>
      </c>
      <c r="P4668">
        <v>-15</v>
      </c>
      <c r="Q4668">
        <v>3</v>
      </c>
      <c r="R4668" t="s">
        <v>21</v>
      </c>
      <c r="S4668" t="s">
        <v>21</v>
      </c>
    </row>
    <row r="4669" spans="1:19" hidden="1" x14ac:dyDescent="0.25">
      <c r="A4669">
        <v>21800332</v>
      </c>
      <c r="B4669" t="s">
        <v>18</v>
      </c>
      <c r="C4669" t="s">
        <v>33</v>
      </c>
      <c r="D4669">
        <v>10</v>
      </c>
      <c r="E4669">
        <v>12</v>
      </c>
      <c r="F4669">
        <v>2</v>
      </c>
      <c r="G4669">
        <v>1</v>
      </c>
      <c r="H4669" s="1">
        <v>3.7962962962962963E-3</v>
      </c>
      <c r="I4669">
        <v>2018</v>
      </c>
      <c r="J4669" t="s">
        <v>48</v>
      </c>
      <c r="K4669" s="2" t="str">
        <f>HYPERLINK("https://www.nba.com/stats/events?CFID=&amp;CFPARAMS=&amp;GameEventID=67&amp;GameID=0021800332&amp;Season=2018-19&amp;flag=1&amp;title=Leonard%202'%20Putback%20Layup%20(4%20PTS)", "Leonard 2' Putback Layup (4 PTS)")</f>
        <v>Leonard 2' Putback Layup (4 PTS)</v>
      </c>
      <c r="L4669" s="2" t="str">
        <f>HYPERLINK("https://www.nba.com/game/...-vs-...-0021800332/play-by-play?watchFullGame=true", "TOR vs CLE - Q1 05:28.00")</f>
        <v>TOR vs CLE - Q1 05:28.00</v>
      </c>
      <c r="M4669">
        <v>2</v>
      </c>
      <c r="N4669">
        <v>2</v>
      </c>
      <c r="O4669">
        <v>16</v>
      </c>
      <c r="P4669">
        <v>2</v>
      </c>
      <c r="Q4669">
        <v>16</v>
      </c>
      <c r="R4669" t="s">
        <v>21</v>
      </c>
      <c r="S4669" t="s">
        <v>21</v>
      </c>
    </row>
    <row r="4670" spans="1:19" hidden="1" x14ac:dyDescent="0.25">
      <c r="A4670">
        <v>21800876</v>
      </c>
      <c r="B4670" t="s">
        <v>18</v>
      </c>
      <c r="C4670" t="s">
        <v>33</v>
      </c>
      <c r="D4670">
        <v>36</v>
      </c>
      <c r="E4670">
        <v>39</v>
      </c>
      <c r="F4670">
        <v>3</v>
      </c>
      <c r="G4670">
        <v>2</v>
      </c>
      <c r="H4670" s="1">
        <v>3.8078703703703703E-3</v>
      </c>
      <c r="I4670">
        <v>2018</v>
      </c>
      <c r="J4670" t="s">
        <v>48</v>
      </c>
      <c r="K4670" s="2" t="str">
        <f>HYPERLINK("https://www.nba.com/stats/events?CFID=&amp;CFPARAMS=&amp;GameEventID=272&amp;GameID=0021800876&amp;Season=2018-19&amp;flag=1&amp;title=Leonard%202'%20Putback%20Layup%20(4%20PTS)", "Leonard 2' Putback Layup (4 PTS)")</f>
        <v>Leonard 2' Putback Layup (4 PTS)</v>
      </c>
      <c r="L4670" s="2" t="str">
        <f>HYPERLINK("https://www.nba.com/game/...-vs-...-0021800876/play-by-play?watchFullGame=true", "TOR vs SAS - Q2 05:29.00")</f>
        <v>TOR vs SAS - Q2 05:29.00</v>
      </c>
      <c r="M4670">
        <v>2</v>
      </c>
      <c r="N4670">
        <v>23</v>
      </c>
      <c r="O4670">
        <v>5</v>
      </c>
      <c r="P4670">
        <v>23</v>
      </c>
      <c r="Q4670">
        <v>5</v>
      </c>
      <c r="R4670" t="s">
        <v>21</v>
      </c>
      <c r="S4670" t="s">
        <v>21</v>
      </c>
    </row>
    <row r="4671" spans="1:19" hidden="1" x14ac:dyDescent="0.25">
      <c r="A4671">
        <v>21400772</v>
      </c>
      <c r="B4671" t="s">
        <v>18</v>
      </c>
      <c r="C4671" t="s">
        <v>40</v>
      </c>
      <c r="D4671">
        <v>9</v>
      </c>
      <c r="E4671">
        <v>15</v>
      </c>
      <c r="F4671">
        <v>6</v>
      </c>
      <c r="G4671">
        <v>1</v>
      </c>
      <c r="H4671" s="1">
        <v>3.8425925925925928E-3</v>
      </c>
      <c r="I4671">
        <v>2014</v>
      </c>
      <c r="J4671" t="s">
        <v>20</v>
      </c>
      <c r="K4671" s="2" t="str">
        <f>HYPERLINK("https://www.nba.com/stats/events?CFID=&amp;CFPARAMS=&amp;GameEventID=73&amp;GameID=0021400772&amp;Season=2014-15&amp;flag=1&amp;title=Leonard%202'%20Driving%20Finger%20Roll%20Layup%20(2%20PTS)%20(Ginobili%201%20AST)", "Leonard 2' Driving Finger Roll Layup (2 PTS) (Ginobili 1 AST)")</f>
        <v>Leonard 2' Driving Finger Roll Layup (2 PTS) (Ginobili 1 AST)</v>
      </c>
      <c r="L4671" s="2" t="str">
        <f>HYPERLINK("https://www.nba.com/game/...-vs-...-0021400772/play-by-play?watchFullGame=true", "SAS vs TOR - Q1 05:32.00")</f>
        <v>SAS vs TOR - Q1 05:32.00</v>
      </c>
      <c r="M4671">
        <v>2</v>
      </c>
      <c r="N4671">
        <v>-16</v>
      </c>
      <c r="O4671">
        <v>15</v>
      </c>
      <c r="P4671">
        <v>-16</v>
      </c>
      <c r="Q4671">
        <v>15</v>
      </c>
      <c r="R4671" t="s">
        <v>21</v>
      </c>
      <c r="S4671" t="s">
        <v>21</v>
      </c>
    </row>
    <row r="4672" spans="1:19" hidden="1" x14ac:dyDescent="0.25">
      <c r="A4672">
        <v>21801023</v>
      </c>
      <c r="B4672" t="s">
        <v>18</v>
      </c>
      <c r="C4672" t="s">
        <v>24</v>
      </c>
      <c r="D4672">
        <v>46</v>
      </c>
      <c r="E4672">
        <v>42</v>
      </c>
      <c r="F4672">
        <v>4</v>
      </c>
      <c r="G4672">
        <v>2</v>
      </c>
      <c r="H4672" s="1">
        <v>3.9120370370370368E-3</v>
      </c>
      <c r="I4672">
        <v>2018</v>
      </c>
      <c r="J4672" t="s">
        <v>48</v>
      </c>
      <c r="K4672" s="2" t="str">
        <f>HYPERLINK("https://www.nba.com/stats/events?CFID=&amp;CFPARAMS=&amp;GameEventID=265&amp;GameID=0021801023&amp;Season=2018-19&amp;flag=1&amp;title=Leonard%202'%20Layup%20(8%20PTS)", "Leonard 2' Layup (8 PTS)")</f>
        <v>Leonard 2' Layup (8 PTS)</v>
      </c>
      <c r="L4672" s="2" t="str">
        <f>HYPERLINK("https://www.nba.com/game/...-vs-...-0021801023/play-by-play?watchFullGame=true", "TOR vs LAL - Q2 05:38.00")</f>
        <v>TOR vs LAL - Q2 05:38.00</v>
      </c>
      <c r="M4672">
        <v>2</v>
      </c>
      <c r="N4672">
        <v>-18</v>
      </c>
      <c r="O4672">
        <v>12</v>
      </c>
      <c r="P4672">
        <v>-18</v>
      </c>
      <c r="Q4672">
        <v>12</v>
      </c>
      <c r="R4672" t="s">
        <v>21</v>
      </c>
      <c r="S4672" t="s">
        <v>21</v>
      </c>
    </row>
    <row r="4673" spans="1:19" hidden="1" x14ac:dyDescent="0.25">
      <c r="A4673">
        <v>41200233</v>
      </c>
      <c r="B4673" t="s">
        <v>18</v>
      </c>
      <c r="C4673" t="s">
        <v>22</v>
      </c>
      <c r="D4673">
        <v>90</v>
      </c>
      <c r="E4673">
        <v>79</v>
      </c>
      <c r="F4673">
        <v>11</v>
      </c>
      <c r="G4673">
        <v>4</v>
      </c>
      <c r="H4673" s="1">
        <v>3.9236111111111112E-3</v>
      </c>
      <c r="I4673" t="s">
        <v>53</v>
      </c>
      <c r="J4673" t="s">
        <v>20</v>
      </c>
      <c r="K4673" s="2" t="str">
        <f>HYPERLINK("https://www.nba.com/stats/events?CFID=&amp;CFPARAMS=&amp;GameEventID=438&amp;GameID=0041200233&amp;Season=2012-13&amp;flag=1&amp;title=Leonard%202'%20Driving%20Layup%20(11%20PTS)%20(Neal%202%20AST)", "Leonard 2' Driving Layup (11 PTS) (Neal 2 AST)")</f>
        <v>Leonard 2' Driving Layup (11 PTS) (Neal 2 AST)</v>
      </c>
      <c r="L4673" s="2" t="str">
        <f>HYPERLINK("https://www.nba.com/game/...-vs-...-0041200233/play-by-play?watchFullGame=true", "SAS vs GSW - Q4 05:39.00")</f>
        <v>SAS vs GSW - Q4 05:39.00</v>
      </c>
      <c r="M4673">
        <v>2</v>
      </c>
      <c r="N4673">
        <v>18</v>
      </c>
      <c r="O4673">
        <v>7</v>
      </c>
      <c r="P4673">
        <v>18</v>
      </c>
      <c r="Q4673">
        <v>7</v>
      </c>
      <c r="R4673" t="s">
        <v>21</v>
      </c>
      <c r="S4673" t="s">
        <v>21</v>
      </c>
    </row>
    <row r="4674" spans="1:19" hidden="1" x14ac:dyDescent="0.25">
      <c r="A4674">
        <v>41800406</v>
      </c>
      <c r="B4674" t="s">
        <v>18</v>
      </c>
      <c r="C4674" t="s">
        <v>44</v>
      </c>
      <c r="D4674">
        <v>21</v>
      </c>
      <c r="E4674">
        <v>15</v>
      </c>
      <c r="F4674">
        <v>6</v>
      </c>
      <c r="G4674">
        <v>1</v>
      </c>
      <c r="H4674" s="1">
        <v>3.9699074074074072E-3</v>
      </c>
      <c r="I4674" t="s">
        <v>60</v>
      </c>
      <c r="J4674" t="s">
        <v>48</v>
      </c>
      <c r="K4674" s="2" t="str">
        <f>HYPERLINK("https://www.nba.com/stats/events?CFID=&amp;CFPARAMS=&amp;GameEventID=80&amp;GameID=0041800406&amp;Season=2018-19&amp;flag=1&amp;title=Leonard%202'%20Driving%20Reverse%20Layup%20(2%20PTS)", "Leonard 2' Driving Reverse Layup (2 PTS)")</f>
        <v>Leonard 2' Driving Reverse Layup (2 PTS)</v>
      </c>
      <c r="L4674" s="2" t="str">
        <f>HYPERLINK("https://www.nba.com/game/...-vs-...-0041800406/play-by-play?watchFullGame=true", "TOR vs GSW - Q1 05:43.00")</f>
        <v>TOR vs GSW - Q1 05:43.00</v>
      </c>
      <c r="M4674">
        <v>2</v>
      </c>
      <c r="N4674">
        <v>-22</v>
      </c>
      <c r="O4674">
        <v>2</v>
      </c>
      <c r="P4674">
        <v>-22</v>
      </c>
      <c r="Q4674">
        <v>2</v>
      </c>
      <c r="R4674" t="s">
        <v>21</v>
      </c>
      <c r="S4674" t="s">
        <v>21</v>
      </c>
    </row>
    <row r="4675" spans="1:19" hidden="1" x14ac:dyDescent="0.25">
      <c r="A4675">
        <v>21801044</v>
      </c>
      <c r="B4675" t="s">
        <v>18</v>
      </c>
      <c r="C4675" t="s">
        <v>22</v>
      </c>
      <c r="D4675">
        <v>32</v>
      </c>
      <c r="E4675">
        <v>40</v>
      </c>
      <c r="F4675">
        <v>8</v>
      </c>
      <c r="G4675">
        <v>2</v>
      </c>
      <c r="H4675" s="1">
        <v>3.9814814814814817E-3</v>
      </c>
      <c r="I4675">
        <v>2018</v>
      </c>
      <c r="J4675" t="s">
        <v>48</v>
      </c>
      <c r="K4675" s="2" t="str">
        <f>HYPERLINK("https://www.nba.com/stats/events?CFID=&amp;CFPARAMS=&amp;GameEventID=213&amp;GameID=0021801044&amp;Season=2018-19&amp;flag=1&amp;title=Leonard%202'%20Driving%20Layup%20(9%20PTS)", "Leonard 2' Driving Layup (9 PTS)")</f>
        <v>Leonard 2' Driving Layup (9 PTS)</v>
      </c>
      <c r="L4675" s="2" t="str">
        <f>HYPERLINK("https://www.nba.com/game/...-vs-...-0021801044/play-by-play?watchFullGame=true", "TOR vs DET - Q2 05:44.00")</f>
        <v>TOR vs DET - Q2 05:44.00</v>
      </c>
      <c r="M4675">
        <v>2</v>
      </c>
      <c r="N4675">
        <v>0</v>
      </c>
      <c r="O4675">
        <v>23</v>
      </c>
      <c r="P4675">
        <v>0</v>
      </c>
      <c r="Q4675">
        <v>23</v>
      </c>
      <c r="R4675" t="s">
        <v>21</v>
      </c>
      <c r="S4675" t="s">
        <v>21</v>
      </c>
    </row>
    <row r="4676" spans="1:19" hidden="1" x14ac:dyDescent="0.25">
      <c r="A4676">
        <v>21800828</v>
      </c>
      <c r="B4676" t="s">
        <v>18</v>
      </c>
      <c r="C4676" t="s">
        <v>22</v>
      </c>
      <c r="D4676">
        <v>36</v>
      </c>
      <c r="E4676">
        <v>33</v>
      </c>
      <c r="F4676">
        <v>3</v>
      </c>
      <c r="G4676">
        <v>2</v>
      </c>
      <c r="H4676" s="1">
        <v>4.0277777777777777E-3</v>
      </c>
      <c r="I4676">
        <v>2018</v>
      </c>
      <c r="J4676" t="s">
        <v>48</v>
      </c>
      <c r="K4676" s="2" t="str">
        <f>HYPERLINK("https://www.nba.com/stats/events?CFID=&amp;CFPARAMS=&amp;GameEventID=255&amp;GameID=0021800828&amp;Season=2018-19&amp;flag=1&amp;title=Leonard%202'%20Driving%20Layup%20(6%20PTS)%20(Ibaka%203%20AST)", "Leonard 2' Driving Layup (6 PTS) (Ibaka 3 AST)")</f>
        <v>Leonard 2' Driving Layup (6 PTS) (Ibaka 3 AST)</v>
      </c>
      <c r="L4676" s="2" t="str">
        <f>HYPERLINK("https://www.nba.com/game/...-vs-...-0021800828/play-by-play?watchFullGame=true", "TOR vs NYK - Q2 05:48.00")</f>
        <v>TOR vs NYK - Q2 05:48.00</v>
      </c>
      <c r="M4676">
        <v>2</v>
      </c>
      <c r="N4676">
        <v>-3</v>
      </c>
      <c r="O4676">
        <v>15</v>
      </c>
      <c r="P4676">
        <v>-3</v>
      </c>
      <c r="Q4676">
        <v>15</v>
      </c>
      <c r="R4676" t="s">
        <v>21</v>
      </c>
      <c r="S4676" t="s">
        <v>21</v>
      </c>
    </row>
    <row r="4677" spans="1:19" hidden="1" x14ac:dyDescent="0.25">
      <c r="A4677">
        <v>21800206</v>
      </c>
      <c r="B4677" t="s">
        <v>18</v>
      </c>
      <c r="C4677" t="s">
        <v>22</v>
      </c>
      <c r="D4677">
        <v>97</v>
      </c>
      <c r="E4677">
        <v>93</v>
      </c>
      <c r="F4677">
        <v>4</v>
      </c>
      <c r="G4677">
        <v>4</v>
      </c>
      <c r="H4677" s="1">
        <v>4.0277777777777777E-3</v>
      </c>
      <c r="I4677">
        <v>2018</v>
      </c>
      <c r="J4677" t="s">
        <v>48</v>
      </c>
      <c r="K4677" s="2" t="str">
        <f>HYPERLINK("https://www.nba.com/stats/events?CFID=&amp;CFPARAMS=&amp;GameEventID=575&amp;GameID=0021800206&amp;Season=2018-19&amp;flag=1&amp;title=Leonard%202'%20Driving%20Layup%20(21%20PTS)%20(Lowry%207%20AST)", "Leonard 2' Driving Layup (21 PTS) (Lowry 7 AST)")</f>
        <v>Leonard 2' Driving Layup (21 PTS) (Lowry 7 AST)</v>
      </c>
      <c r="L4677" s="2" t="str">
        <f>HYPERLINK("https://www.nba.com/game/...-vs-...-0021800206/play-by-play?watchFullGame=true", "TOR vs DET - Q4 05:48.00")</f>
        <v>TOR vs DET - Q4 05:48.00</v>
      </c>
      <c r="M4677">
        <v>2</v>
      </c>
      <c r="N4677">
        <v>16</v>
      </c>
      <c r="O4677">
        <v>8</v>
      </c>
      <c r="P4677">
        <v>16</v>
      </c>
      <c r="Q4677">
        <v>8</v>
      </c>
      <c r="R4677" t="s">
        <v>21</v>
      </c>
      <c r="S4677" t="s">
        <v>21</v>
      </c>
    </row>
    <row r="4678" spans="1:19" hidden="1" x14ac:dyDescent="0.25">
      <c r="A4678">
        <v>41800216</v>
      </c>
      <c r="B4678" t="s">
        <v>18</v>
      </c>
      <c r="C4678" t="s">
        <v>40</v>
      </c>
      <c r="D4678">
        <v>12</v>
      </c>
      <c r="E4678">
        <v>13</v>
      </c>
      <c r="F4678">
        <v>1</v>
      </c>
      <c r="G4678">
        <v>1</v>
      </c>
      <c r="H4678" s="1">
        <v>4.0277777777777777E-3</v>
      </c>
      <c r="I4678" t="s">
        <v>60</v>
      </c>
      <c r="J4678" t="s">
        <v>48</v>
      </c>
      <c r="K4678" s="2" t="str">
        <f>HYPERLINK("https://www.nba.com/stats/events?CFID=&amp;CFPARAMS=&amp;GameEventID=71&amp;GameID=0041800216&amp;Season=2018-19&amp;flag=1&amp;title=Leonard%202'%20Driving%20Finger%20Roll%20Layup%20(2%20PTS)%20(Siakam%202%20AST)", "Leonard 2' Driving Finger Roll Layup (2 PTS) (Siakam 2 AST)")</f>
        <v>Leonard 2' Driving Finger Roll Layup (2 PTS) (Siakam 2 AST)</v>
      </c>
      <c r="L4678" s="2" t="str">
        <f>HYPERLINK("https://www.nba.com/game/...-vs-...-0041800216/play-by-play?watchFullGame=true", "TOR vs PHI - Q1 05:48.00")</f>
        <v>TOR vs PHI - Q1 05:48.00</v>
      </c>
      <c r="M4678">
        <v>2</v>
      </c>
      <c r="N4678">
        <v>16</v>
      </c>
      <c r="O4678">
        <v>8</v>
      </c>
      <c r="P4678">
        <v>16</v>
      </c>
      <c r="Q4678">
        <v>8</v>
      </c>
      <c r="R4678" t="s">
        <v>21</v>
      </c>
      <c r="S4678" t="s">
        <v>21</v>
      </c>
    </row>
    <row r="4679" spans="1:19" hidden="1" x14ac:dyDescent="0.25">
      <c r="A4679">
        <v>41500236</v>
      </c>
      <c r="B4679" t="s">
        <v>18</v>
      </c>
      <c r="C4679" t="s">
        <v>22</v>
      </c>
      <c r="D4679">
        <v>82</v>
      </c>
      <c r="E4679">
        <v>97</v>
      </c>
      <c r="F4679">
        <v>15</v>
      </c>
      <c r="G4679">
        <v>4</v>
      </c>
      <c r="H4679" s="1">
        <v>4.0972222222222226E-3</v>
      </c>
      <c r="I4679" t="s">
        <v>57</v>
      </c>
      <c r="J4679" t="s">
        <v>20</v>
      </c>
      <c r="K4679" s="2" t="str">
        <f>HYPERLINK("https://www.nba.com/stats/events?CFID=&amp;CFPARAMS=&amp;GameEventID=458&amp;GameID=0041500236&amp;Season=2015-16&amp;flag=1&amp;title=Leonard%202'%20Driving%20Layup%20(22%20PTS)", "Leonard 2' Driving Layup (22 PTS)")</f>
        <v>Leonard 2' Driving Layup (22 PTS)</v>
      </c>
      <c r="L4679" s="2" t="str">
        <f>HYPERLINK("https://www.nba.com/game/...-vs-...-0041500236/play-by-play?watchFullGame=true", "SAS vs OKC - Q4 05:54.00")</f>
        <v>SAS vs OKC - Q4 05:54.00</v>
      </c>
      <c r="M4679">
        <v>2</v>
      </c>
      <c r="N4679">
        <v>15</v>
      </c>
      <c r="O4679">
        <v>2</v>
      </c>
      <c r="P4679">
        <v>15</v>
      </c>
      <c r="Q4679">
        <v>2</v>
      </c>
      <c r="R4679" t="s">
        <v>21</v>
      </c>
      <c r="S4679" t="s">
        <v>21</v>
      </c>
    </row>
    <row r="4680" spans="1:19" hidden="1" x14ac:dyDescent="0.25">
      <c r="A4680">
        <v>21401071</v>
      </c>
      <c r="B4680" t="s">
        <v>18</v>
      </c>
      <c r="C4680" t="s">
        <v>27</v>
      </c>
      <c r="D4680">
        <v>51</v>
      </c>
      <c r="E4680">
        <v>37</v>
      </c>
      <c r="F4680">
        <v>14</v>
      </c>
      <c r="G4680">
        <v>2</v>
      </c>
      <c r="H4680" s="1">
        <v>4.1087962962962962E-3</v>
      </c>
      <c r="I4680">
        <v>2014</v>
      </c>
      <c r="J4680" t="s">
        <v>20</v>
      </c>
      <c r="K4680" s="2" t="str">
        <f>HYPERLINK("https://www.nba.com/stats/events?CFID=&amp;CFPARAMS=&amp;GameEventID=185&amp;GameID=0021401071&amp;Season=2014-15&amp;flag=1&amp;title=Leonard%202'%20Finger%20Roll%20Layup%20(6%20PTS)", "Leonard 2' Finger Roll Layup (6 PTS)")</f>
        <v>Leonard 2' Finger Roll Layup (6 PTS)</v>
      </c>
      <c r="L4680" s="2" t="str">
        <f>HYPERLINK("https://www.nba.com/game/...-vs-...-0021401071/play-by-play?watchFullGame=true", "SAS vs OKC - Q2 05:55.00")</f>
        <v>SAS vs OKC - Q2 05:55.00</v>
      </c>
      <c r="M4680">
        <v>2</v>
      </c>
      <c r="N4680">
        <v>6</v>
      </c>
      <c r="O4680">
        <v>19</v>
      </c>
      <c r="P4680">
        <v>6</v>
      </c>
      <c r="Q4680">
        <v>19</v>
      </c>
      <c r="R4680" t="s">
        <v>21</v>
      </c>
      <c r="S4680" t="s">
        <v>21</v>
      </c>
    </row>
    <row r="4681" spans="1:19" hidden="1" x14ac:dyDescent="0.25">
      <c r="A4681">
        <v>21800602</v>
      </c>
      <c r="B4681" t="s">
        <v>18</v>
      </c>
      <c r="C4681" t="s">
        <v>24</v>
      </c>
      <c r="D4681">
        <v>70</v>
      </c>
      <c r="E4681">
        <v>68</v>
      </c>
      <c r="F4681">
        <v>2</v>
      </c>
      <c r="G4681">
        <v>3</v>
      </c>
      <c r="H4681" s="1">
        <v>4.1203703703703706E-3</v>
      </c>
      <c r="I4681">
        <v>2018</v>
      </c>
      <c r="J4681" t="s">
        <v>48</v>
      </c>
      <c r="K4681" s="2" t="str">
        <f>HYPERLINK("https://www.nba.com/stats/events?CFID=&amp;CFPARAMS=&amp;GameEventID=449&amp;GameID=0021800602&amp;Season=2018-19&amp;flag=1&amp;title=Leonard%202'%20Layup%20(20%20PTS)", "Leonard 2' Layup (20 PTS)")</f>
        <v>Leonard 2' Layup (20 PTS)</v>
      </c>
      <c r="L4681" s="2" t="str">
        <f>HYPERLINK("https://www.nba.com/game/...-vs-...-0021800602/play-by-play?watchFullGame=true", "TOR vs ATL - Q3 05:56.00")</f>
        <v>TOR vs ATL - Q3 05:56.00</v>
      </c>
      <c r="M4681">
        <v>2</v>
      </c>
      <c r="N4681">
        <v>1</v>
      </c>
      <c r="O4681">
        <v>19</v>
      </c>
      <c r="P4681">
        <v>1</v>
      </c>
      <c r="Q4681">
        <v>19</v>
      </c>
      <c r="R4681" t="s">
        <v>21</v>
      </c>
      <c r="S4681" t="s">
        <v>21</v>
      </c>
    </row>
    <row r="4682" spans="1:19" hidden="1" x14ac:dyDescent="0.25">
      <c r="A4682">
        <v>21600353</v>
      </c>
      <c r="B4682" t="s">
        <v>18</v>
      </c>
      <c r="C4682" t="s">
        <v>40</v>
      </c>
      <c r="D4682">
        <v>20</v>
      </c>
      <c r="E4682">
        <v>12</v>
      </c>
      <c r="F4682">
        <v>8</v>
      </c>
      <c r="G4682">
        <v>1</v>
      </c>
      <c r="H4682" s="1">
        <v>4.1319444444444442E-3</v>
      </c>
      <c r="I4682">
        <v>2016</v>
      </c>
      <c r="J4682" t="s">
        <v>20</v>
      </c>
      <c r="K4682" s="2" t="str">
        <f>HYPERLINK("https://www.nba.com/stats/events?CFID=&amp;CFPARAMS=&amp;GameEventID=42&amp;GameID=0021600353&amp;Season=2016-17&amp;flag=1&amp;title=Leonard%202'%20Driving%20Finger%20Roll%20Layup%20(4%20PTS)%20(Gasol%202%20AST)", "Leonard 2' Driving Finger Roll Layup (4 PTS) (Gasol 2 AST)")</f>
        <v>Leonard 2' Driving Finger Roll Layup (4 PTS) (Gasol 2 AST)</v>
      </c>
      <c r="L4682" s="2" t="str">
        <f>HYPERLINK("https://www.nba.com/game/...-vs-...-0021600353/play-by-play?watchFullGame=true", "SAS vs BKN - Q1 05:57.00")</f>
        <v>SAS vs BKN - Q1 05:57.00</v>
      </c>
      <c r="M4682">
        <v>2</v>
      </c>
      <c r="N4682">
        <v>-14</v>
      </c>
      <c r="O4682">
        <v>8</v>
      </c>
      <c r="P4682">
        <v>-14</v>
      </c>
      <c r="Q4682">
        <v>8</v>
      </c>
      <c r="R4682" t="s">
        <v>21</v>
      </c>
      <c r="S4682" t="s">
        <v>21</v>
      </c>
    </row>
    <row r="4683" spans="1:19" hidden="1" x14ac:dyDescent="0.25">
      <c r="A4683">
        <v>41200152</v>
      </c>
      <c r="B4683" t="s">
        <v>18</v>
      </c>
      <c r="C4683" t="s">
        <v>27</v>
      </c>
      <c r="D4683">
        <v>14</v>
      </c>
      <c r="E4683">
        <v>10</v>
      </c>
      <c r="F4683">
        <v>4</v>
      </c>
      <c r="G4683">
        <v>1</v>
      </c>
      <c r="H4683" s="1">
        <v>4.1319444444444442E-3</v>
      </c>
      <c r="I4683" t="s">
        <v>53</v>
      </c>
      <c r="J4683" t="s">
        <v>20</v>
      </c>
      <c r="K4683" s="2" t="str">
        <f>HYPERLINK("https://www.nba.com/stats/events?CFID=&amp;CFPARAMS=&amp;GameEventID=50&amp;GameID=0041200152&amp;Season=2012-13&amp;flag=1&amp;title=Leonard%202'%20Finger%20Roll%20Layup%20(4%20PTS)", "Leonard 2' Finger Roll Layup (4 PTS)")</f>
        <v>Leonard 2' Finger Roll Layup (4 PTS)</v>
      </c>
      <c r="L4683" s="2" t="str">
        <f>HYPERLINK("https://www.nba.com/game/...-vs-...-0041200152/play-by-play?watchFullGame=true", "SAS vs LAL - Q1 05:57.00")</f>
        <v>SAS vs LAL - Q1 05:57.00</v>
      </c>
      <c r="M4683">
        <v>2</v>
      </c>
      <c r="N4683">
        <v>17</v>
      </c>
      <c r="O4683">
        <v>0</v>
      </c>
      <c r="P4683">
        <v>17</v>
      </c>
      <c r="Q4683">
        <v>0</v>
      </c>
      <c r="R4683" t="s">
        <v>21</v>
      </c>
      <c r="S4683" t="s">
        <v>21</v>
      </c>
    </row>
    <row r="4684" spans="1:19" hidden="1" x14ac:dyDescent="0.25">
      <c r="A4684">
        <v>21801180</v>
      </c>
      <c r="B4684" t="s">
        <v>18</v>
      </c>
      <c r="C4684" t="s">
        <v>24</v>
      </c>
      <c r="D4684">
        <v>23</v>
      </c>
      <c r="E4684">
        <v>12</v>
      </c>
      <c r="F4684">
        <v>11</v>
      </c>
      <c r="G4684">
        <v>1</v>
      </c>
      <c r="H4684" s="1">
        <v>4.1898148148148146E-3</v>
      </c>
      <c r="I4684">
        <v>2018</v>
      </c>
      <c r="J4684" t="s">
        <v>48</v>
      </c>
      <c r="K4684" s="2" t="str">
        <f>HYPERLINK("https://www.nba.com/stats/events?CFID=&amp;CFPARAMS=&amp;GameEventID=73&amp;GameID=0021801180&amp;Season=2018-19&amp;flag=1&amp;title=Leonard%202'%20Layup%20(6%20PTS)%20(Gasol%201%20AST)", "Leonard 2' Layup (6 PTS) (Gasol 1 AST)")</f>
        <v>Leonard 2' Layup (6 PTS) (Gasol 1 AST)</v>
      </c>
      <c r="L4684" s="2" t="str">
        <f>HYPERLINK("https://www.nba.com/game/...-vs-...-0021801180/play-by-play?watchFullGame=true", "TOR vs CHA - Q1 06:02.00")</f>
        <v>TOR vs CHA - Q1 06:02.00</v>
      </c>
      <c r="M4684">
        <v>2</v>
      </c>
      <c r="N4684">
        <v>11</v>
      </c>
      <c r="O4684">
        <v>14</v>
      </c>
      <c r="P4684">
        <v>11</v>
      </c>
      <c r="Q4684">
        <v>14</v>
      </c>
      <c r="R4684" t="s">
        <v>21</v>
      </c>
      <c r="S4684" t="s">
        <v>21</v>
      </c>
    </row>
    <row r="4685" spans="1:19" hidden="1" x14ac:dyDescent="0.25">
      <c r="A4685">
        <v>41800113</v>
      </c>
      <c r="B4685" t="s">
        <v>18</v>
      </c>
      <c r="C4685" t="s">
        <v>51</v>
      </c>
      <c r="D4685">
        <v>35</v>
      </c>
      <c r="E4685">
        <v>31</v>
      </c>
      <c r="F4685">
        <v>4</v>
      </c>
      <c r="G4685">
        <v>2</v>
      </c>
      <c r="H4685" s="1">
        <v>4.1898148148148146E-3</v>
      </c>
      <c r="I4685" t="s">
        <v>60</v>
      </c>
      <c r="J4685" t="s">
        <v>48</v>
      </c>
      <c r="K4685" s="2" t="str">
        <f>HYPERLINK("https://www.nba.com/stats/events?CFID=&amp;CFPARAMS=&amp;GameEventID=245&amp;GameID=0041800113&amp;Season=2018-19&amp;flag=1&amp;title=Leonard%202'%20Running%20Layup%20(4%20PTS)", "Leonard 2' Running Layup (4 PTS)")</f>
        <v>Leonard 2' Running Layup (4 PTS)</v>
      </c>
      <c r="L4685" s="2" t="str">
        <f>HYPERLINK("https://www.nba.com/game/...-vs-...-0041800113/play-by-play?watchFullGame=true", "TOR vs ORL - Q2 06:02.00")</f>
        <v>TOR vs ORL - Q2 06:02.00</v>
      </c>
      <c r="M4685">
        <v>2</v>
      </c>
      <c r="N4685">
        <v>15</v>
      </c>
      <c r="O4685">
        <v>17</v>
      </c>
      <c r="P4685">
        <v>15</v>
      </c>
      <c r="Q4685">
        <v>17</v>
      </c>
      <c r="R4685" t="s">
        <v>21</v>
      </c>
      <c r="S4685" t="s">
        <v>21</v>
      </c>
    </row>
    <row r="4686" spans="1:19" hidden="1" x14ac:dyDescent="0.25">
      <c r="A4686">
        <v>41800114</v>
      </c>
      <c r="B4686" t="s">
        <v>18</v>
      </c>
      <c r="C4686" t="s">
        <v>22</v>
      </c>
      <c r="D4686">
        <v>16</v>
      </c>
      <c r="E4686">
        <v>13</v>
      </c>
      <c r="F4686">
        <v>3</v>
      </c>
      <c r="G4686">
        <v>1</v>
      </c>
      <c r="H4686" s="1">
        <v>4.2476851851851851E-3</v>
      </c>
      <c r="I4686" t="s">
        <v>60</v>
      </c>
      <c r="J4686" t="s">
        <v>48</v>
      </c>
      <c r="K4686" s="2" t="str">
        <f>HYPERLINK("https://www.nba.com/stats/events?CFID=&amp;CFPARAMS=&amp;GameEventID=65&amp;GameID=0041800114&amp;Season=2018-19&amp;flag=1&amp;title=Leonard%202'%20Driving%20Layup%20(6%20PTS)", "Leonard 2' Driving Layup (6 PTS)")</f>
        <v>Leonard 2' Driving Layup (6 PTS)</v>
      </c>
      <c r="L4686" s="2" t="str">
        <f>HYPERLINK("https://www.nba.com/game/...-vs-...-0041800114/play-by-play?watchFullGame=true", "TOR vs ORL - Q1 06:07.00")</f>
        <v>TOR vs ORL - Q1 06:07.00</v>
      </c>
      <c r="M4686">
        <v>2</v>
      </c>
      <c r="N4686">
        <v>-16</v>
      </c>
      <c r="O4686">
        <v>12</v>
      </c>
      <c r="P4686">
        <v>-16</v>
      </c>
      <c r="Q4686">
        <v>12</v>
      </c>
      <c r="R4686" t="s">
        <v>21</v>
      </c>
      <c r="S4686" t="s">
        <v>21</v>
      </c>
    </row>
    <row r="4687" spans="1:19" hidden="1" x14ac:dyDescent="0.25">
      <c r="A4687">
        <v>21800876</v>
      </c>
      <c r="B4687" t="s">
        <v>18</v>
      </c>
      <c r="C4687" t="s">
        <v>50</v>
      </c>
      <c r="D4687">
        <v>118</v>
      </c>
      <c r="E4687">
        <v>117</v>
      </c>
      <c r="F4687">
        <v>1</v>
      </c>
      <c r="G4687">
        <v>4</v>
      </c>
      <c r="H4687" s="1">
        <v>1.7476851851851852E-4</v>
      </c>
      <c r="I4687">
        <v>2018</v>
      </c>
      <c r="J4687" t="s">
        <v>48</v>
      </c>
      <c r="K4687" s="2" t="str">
        <f>HYPERLINK("https://www.nba.com/stats/events?CFID=&amp;CFPARAMS=&amp;GameEventID=656&amp;GameID=0021800876&amp;Season=2018-19&amp;flag=1&amp;title=Leonard%202'%20Running%20Dunk%20(23%20PTS)", "Leonard 2' Running Dunk (23 PTS)")</f>
        <v>Leonard 2' Running Dunk (23 PTS)</v>
      </c>
      <c r="L4687" s="2" t="str">
        <f>HYPERLINK("https://www.nba.com/game/...-vs-...-0021800876/play-by-play?watchFullGame=true", "TOR vs SAS - Q4 00:15.10")</f>
        <v>TOR vs SAS - Q4 00:15.10</v>
      </c>
      <c r="M4687">
        <v>2</v>
      </c>
      <c r="N4687">
        <v>-5</v>
      </c>
      <c r="O4687">
        <v>22</v>
      </c>
      <c r="P4687">
        <v>-5</v>
      </c>
      <c r="Q4687">
        <v>22</v>
      </c>
      <c r="R4687" t="s">
        <v>21</v>
      </c>
      <c r="S4687" t="s">
        <v>21</v>
      </c>
    </row>
    <row r="4688" spans="1:19" hidden="1" x14ac:dyDescent="0.25">
      <c r="A4688">
        <v>21300589</v>
      </c>
      <c r="B4688" t="s">
        <v>18</v>
      </c>
      <c r="C4688" t="s">
        <v>24</v>
      </c>
      <c r="D4688">
        <v>36</v>
      </c>
      <c r="E4688">
        <v>38</v>
      </c>
      <c r="F4688">
        <v>2</v>
      </c>
      <c r="G4688">
        <v>2</v>
      </c>
      <c r="H4688" s="1">
        <v>4.2708333333333331E-3</v>
      </c>
      <c r="I4688">
        <v>2013</v>
      </c>
      <c r="J4688" t="s">
        <v>20</v>
      </c>
      <c r="K4688" s="2" t="str">
        <f>HYPERLINK("https://www.nba.com/stats/events?CFID=&amp;CFPARAMS=&amp;GameEventID=174&amp;GameID=0021300589&amp;Season=2013-14&amp;flag=1&amp;title=Leonard%202'%20Layup%20(7%20PTS)%20(Mills%201%20AST)", "Leonard 2' Layup (7 PTS) (Mills 1 AST)")</f>
        <v>Leonard 2' Layup (7 PTS) (Mills 1 AST)</v>
      </c>
      <c r="L4688" s="2" t="str">
        <f>HYPERLINK("https://www.nba.com/game/...-vs-...-0021300589/play-by-play?watchFullGame=true", "SAS vs POR - Q2 06:09.00")</f>
        <v>SAS vs POR - Q2 06:09.00</v>
      </c>
      <c r="M4688">
        <v>2</v>
      </c>
      <c r="N4688">
        <v>-8</v>
      </c>
      <c r="O4688">
        <v>14</v>
      </c>
      <c r="P4688">
        <v>-8</v>
      </c>
      <c r="Q4688">
        <v>14</v>
      </c>
      <c r="R4688" t="s">
        <v>21</v>
      </c>
      <c r="S4688" t="s">
        <v>21</v>
      </c>
    </row>
    <row r="4689" spans="1:19" hidden="1" x14ac:dyDescent="0.25">
      <c r="A4689">
        <v>21800639</v>
      </c>
      <c r="B4689" t="s">
        <v>18</v>
      </c>
      <c r="C4689" t="s">
        <v>52</v>
      </c>
      <c r="D4689">
        <v>22</v>
      </c>
      <c r="E4689">
        <v>8</v>
      </c>
      <c r="F4689">
        <v>14</v>
      </c>
      <c r="G4689">
        <v>1</v>
      </c>
      <c r="H4689" s="1">
        <v>4.2708333333333331E-3</v>
      </c>
      <c r="I4689">
        <v>2018</v>
      </c>
      <c r="J4689" t="s">
        <v>48</v>
      </c>
      <c r="K4689" s="2" t="str">
        <f>HYPERLINK("https://www.nba.com/stats/events?CFID=&amp;CFPARAMS=&amp;GameEventID=68&amp;GameID=0021800639&amp;Season=2018-19&amp;flag=1&amp;title=Leonard%202'%20Cutting%20Layup%20Shot%20(7%20PTS)%20(Lowry%204%20AST)", "Leonard 2' Cutting Layup Shot (7 PTS) (Lowry 4 AST)")</f>
        <v>Leonard 2' Cutting Layup Shot (7 PTS) (Lowry 4 AST)</v>
      </c>
      <c r="L4689" s="2" t="str">
        <f>HYPERLINK("https://www.nba.com/game/...-vs-...-0021800639/play-by-play?watchFullGame=true", "TOR vs WAS - Q1 06:09.00")</f>
        <v>TOR vs WAS - Q1 06:09.00</v>
      </c>
      <c r="M4689">
        <v>2</v>
      </c>
      <c r="N4689">
        <v>9</v>
      </c>
      <c r="O4689">
        <v>14</v>
      </c>
      <c r="P4689">
        <v>9</v>
      </c>
      <c r="Q4689">
        <v>14</v>
      </c>
      <c r="R4689" t="s">
        <v>21</v>
      </c>
      <c r="S4689" t="s">
        <v>21</v>
      </c>
    </row>
    <row r="4690" spans="1:19" hidden="1" x14ac:dyDescent="0.25">
      <c r="A4690">
        <v>21501043</v>
      </c>
      <c r="B4690" t="s">
        <v>18</v>
      </c>
      <c r="C4690" t="s">
        <v>52</v>
      </c>
      <c r="D4690">
        <v>80</v>
      </c>
      <c r="E4690">
        <v>80</v>
      </c>
      <c r="F4690">
        <v>0</v>
      </c>
      <c r="G4690">
        <v>4</v>
      </c>
      <c r="H4690" s="1">
        <v>4.2824074074074075E-3</v>
      </c>
      <c r="I4690">
        <v>2015</v>
      </c>
      <c r="J4690" t="s">
        <v>20</v>
      </c>
      <c r="K4690" s="2" t="str">
        <f>HYPERLINK("https://www.nba.com/stats/events?CFID=&amp;CFPARAMS=&amp;GameEventID=437&amp;GameID=0021501043&amp;Season=2015-16&amp;flag=1&amp;title=Leonard%202'%20Cutting%20Layup%20Shot%20(13%20PTS)%20(West%201%20AST)", "Leonard 2' Cutting Layup Shot (13 PTS) (West 1 AST)")</f>
        <v>Leonard 2' Cutting Layup Shot (13 PTS) (West 1 AST)</v>
      </c>
      <c r="L4690" s="2" t="str">
        <f>HYPERLINK("https://www.nba.com/game/...-vs-...-0021501043/play-by-play?watchFullGame=true", "SAS vs CHA - Q4 06:10.00")</f>
        <v>SAS vs CHA - Q4 06:10.00</v>
      </c>
      <c r="M4690">
        <v>2</v>
      </c>
      <c r="N4690">
        <v>19</v>
      </c>
      <c r="O4690">
        <v>7</v>
      </c>
      <c r="P4690">
        <v>19</v>
      </c>
      <c r="Q4690">
        <v>7</v>
      </c>
      <c r="R4690" t="s">
        <v>21</v>
      </c>
      <c r="S4690" t="s">
        <v>21</v>
      </c>
    </row>
    <row r="4691" spans="1:19" hidden="1" x14ac:dyDescent="0.25">
      <c r="A4691">
        <v>21300978</v>
      </c>
      <c r="B4691" t="s">
        <v>18</v>
      </c>
      <c r="C4691" t="s">
        <v>24</v>
      </c>
      <c r="D4691">
        <v>13</v>
      </c>
      <c r="E4691">
        <v>10</v>
      </c>
      <c r="F4691">
        <v>3</v>
      </c>
      <c r="G4691">
        <v>1</v>
      </c>
      <c r="H4691" s="1">
        <v>4.2939814814814811E-3</v>
      </c>
      <c r="I4691">
        <v>2013</v>
      </c>
      <c r="J4691" t="s">
        <v>20</v>
      </c>
      <c r="K4691" s="2" t="str">
        <f>HYPERLINK("https://www.nba.com/stats/events?CFID=&amp;CFPARAMS=&amp;GameEventID=61&amp;GameID=0021300978&amp;Season=2013-14&amp;flag=1&amp;title=Leonard%202'%20Layup%20(4%20PTS)", "Leonard 2' Layup (4 PTS)")</f>
        <v>Leonard 2' Layup (4 PTS)</v>
      </c>
      <c r="L4691" s="2" t="str">
        <f>HYPERLINK("https://www.nba.com/game/...-vs-...-0021300978/play-by-play?watchFullGame=true", "SAS vs LAL - Q1 06:11.00")</f>
        <v>SAS vs LAL - Q1 06:11.00</v>
      </c>
      <c r="M4691">
        <v>2</v>
      </c>
      <c r="N4691">
        <v>9</v>
      </c>
      <c r="O4691">
        <v>15</v>
      </c>
      <c r="P4691">
        <v>9</v>
      </c>
      <c r="Q4691">
        <v>15</v>
      </c>
      <c r="R4691" t="s">
        <v>21</v>
      </c>
      <c r="S4691" t="s">
        <v>21</v>
      </c>
    </row>
    <row r="4692" spans="1:19" hidden="1" x14ac:dyDescent="0.25">
      <c r="A4692">
        <v>41800403</v>
      </c>
      <c r="B4692" t="s">
        <v>18</v>
      </c>
      <c r="C4692" t="s">
        <v>25</v>
      </c>
      <c r="D4692">
        <v>32</v>
      </c>
      <c r="E4692">
        <v>23</v>
      </c>
      <c r="F4692">
        <v>9</v>
      </c>
      <c r="G4692">
        <v>1</v>
      </c>
      <c r="H4692" s="1">
        <v>6.4467592592592593E-4</v>
      </c>
      <c r="I4692" t="s">
        <v>60</v>
      </c>
      <c r="J4692" t="s">
        <v>48</v>
      </c>
      <c r="K4692" s="2" t="str">
        <f>HYPERLINK("https://www.nba.com/stats/events?CFID=&amp;CFPARAMS=&amp;GameEventID=143&amp;GameID=0041800403&amp;Season=2018-19&amp;flag=1&amp;title=Leonard%202'%20Driving%20Dunk%20(8%20PTS)", "Leonard 2' Driving Dunk (8 PTS)")</f>
        <v>Leonard 2' Driving Dunk (8 PTS)</v>
      </c>
      <c r="L4692" s="2" t="str">
        <f>HYPERLINK("https://www.nba.com/game/...-vs-...-0041800403/play-by-play?watchFullGame=true", "TOR vs GSW - Q1 00:55.70")</f>
        <v>TOR vs GSW - Q1 00:55.70</v>
      </c>
      <c r="M4692">
        <v>2</v>
      </c>
      <c r="N4692">
        <v>-5</v>
      </c>
      <c r="O4692">
        <v>18</v>
      </c>
      <c r="P4692">
        <v>-5</v>
      </c>
      <c r="Q4692">
        <v>18</v>
      </c>
      <c r="R4692" t="s">
        <v>21</v>
      </c>
      <c r="S4692" t="s">
        <v>21</v>
      </c>
    </row>
    <row r="4693" spans="1:19" hidden="1" x14ac:dyDescent="0.25">
      <c r="A4693">
        <v>21600588</v>
      </c>
      <c r="B4693" t="s">
        <v>18</v>
      </c>
      <c r="C4693" t="s">
        <v>40</v>
      </c>
      <c r="D4693">
        <v>49</v>
      </c>
      <c r="E4693">
        <v>41</v>
      </c>
      <c r="F4693">
        <v>8</v>
      </c>
      <c r="G4693">
        <v>2</v>
      </c>
      <c r="H4693" s="1">
        <v>4.31712962962963E-3</v>
      </c>
      <c r="I4693">
        <v>2016</v>
      </c>
      <c r="J4693" t="s">
        <v>20</v>
      </c>
      <c r="K4693" s="2" t="str">
        <f>HYPERLINK("https://www.nba.com/stats/events?CFID=&amp;CFPARAMS=&amp;GameEventID=201&amp;GameID=0021600588&amp;Season=2016-17&amp;flag=1&amp;title=Leonard%202'%20Driving%20Finger%20Roll%20Layup%20(16%20PTS)%20(Green%202%20AST)", "Leonard 2' Driving Finger Roll Layup (16 PTS) (Green 2 AST)")</f>
        <v>Leonard 2' Driving Finger Roll Layup (16 PTS) (Green 2 AST)</v>
      </c>
      <c r="L4693" s="2" t="str">
        <f>HYPERLINK("https://www.nba.com/game/...-vs-...-0021600588/play-by-play?watchFullGame=true", "SAS vs LAL - Q2 06:13.00")</f>
        <v>SAS vs LAL - Q2 06:13.00</v>
      </c>
      <c r="M4693">
        <v>2</v>
      </c>
      <c r="N4693">
        <v>-6</v>
      </c>
      <c r="O4693">
        <v>18</v>
      </c>
      <c r="P4693">
        <v>-6</v>
      </c>
      <c r="Q4693">
        <v>18</v>
      </c>
      <c r="R4693" t="s">
        <v>21</v>
      </c>
      <c r="S4693" t="s">
        <v>21</v>
      </c>
    </row>
    <row r="4694" spans="1:19" hidden="1" x14ac:dyDescent="0.25">
      <c r="A4694">
        <v>21300421</v>
      </c>
      <c r="B4694" t="s">
        <v>18</v>
      </c>
      <c r="C4694" t="s">
        <v>24</v>
      </c>
      <c r="D4694">
        <v>64</v>
      </c>
      <c r="E4694">
        <v>71</v>
      </c>
      <c r="F4694">
        <v>7</v>
      </c>
      <c r="G4694">
        <v>3</v>
      </c>
      <c r="H4694" s="1">
        <v>4.31712962962963E-3</v>
      </c>
      <c r="I4694">
        <v>2013</v>
      </c>
      <c r="J4694" t="s">
        <v>20</v>
      </c>
      <c r="K4694" s="2" t="str">
        <f>HYPERLINK("https://www.nba.com/stats/events?CFID=&amp;CFPARAMS=&amp;GameEventID=297&amp;GameID=0021300421&amp;Season=2013-14&amp;flag=1&amp;title=Leonard%202'%20Layup%20(6%20PTS)%20(Duncan%205%20AST)", "Leonard 2' Layup (6 PTS) (Duncan 5 AST)")</f>
        <v>Leonard 2' Layup (6 PTS) (Duncan 5 AST)</v>
      </c>
      <c r="L4694" s="2" t="str">
        <f>HYPERLINK("https://www.nba.com/game/...-vs-...-0021300421/play-by-play?watchFullGame=true", "SAS vs HOU - Q3 06:13.00")</f>
        <v>SAS vs HOU - Q3 06:13.00</v>
      </c>
      <c r="M4694">
        <v>2</v>
      </c>
      <c r="N4694">
        <v>10</v>
      </c>
      <c r="O4694">
        <v>15</v>
      </c>
      <c r="P4694">
        <v>10</v>
      </c>
      <c r="Q4694">
        <v>15</v>
      </c>
      <c r="R4694" t="s">
        <v>21</v>
      </c>
      <c r="S4694" t="s">
        <v>21</v>
      </c>
    </row>
    <row r="4695" spans="1:19" hidden="1" x14ac:dyDescent="0.25">
      <c r="A4695">
        <v>21500257</v>
      </c>
      <c r="B4695" t="s">
        <v>18</v>
      </c>
      <c r="C4695" t="s">
        <v>24</v>
      </c>
      <c r="D4695">
        <v>61</v>
      </c>
      <c r="E4695">
        <v>60</v>
      </c>
      <c r="F4695">
        <v>1</v>
      </c>
      <c r="G4695">
        <v>3</v>
      </c>
      <c r="H4695" s="1">
        <v>4.3518518518518515E-3</v>
      </c>
      <c r="I4695">
        <v>2015</v>
      </c>
      <c r="J4695" t="s">
        <v>20</v>
      </c>
      <c r="K4695" s="2" t="str">
        <f>HYPERLINK("https://www.nba.com/stats/events?CFID=&amp;CFPARAMS=&amp;GameEventID=287&amp;GameID=0021500257&amp;Season=2015-16&amp;flag=1&amp;title=Leonard%202'%20Layup%20(17%20PTS)", "Leonard 2' Layup (17 PTS)")</f>
        <v>Leonard 2' Layup (17 PTS)</v>
      </c>
      <c r="L4695" s="2" t="str">
        <f>HYPERLINK("https://www.nba.com/game/...-vs-...-0021500257/play-by-play?watchFullGame=true", "SAS vs CHI - Q3 06:16.00")</f>
        <v>SAS vs CHI - Q3 06:16.00</v>
      </c>
      <c r="M4695">
        <v>2</v>
      </c>
      <c r="N4695">
        <v>-17</v>
      </c>
      <c r="O4695">
        <v>7</v>
      </c>
      <c r="P4695">
        <v>-17</v>
      </c>
      <c r="Q4695">
        <v>7</v>
      </c>
      <c r="R4695" t="s">
        <v>21</v>
      </c>
      <c r="S4695" t="s">
        <v>21</v>
      </c>
    </row>
    <row r="4696" spans="1:19" hidden="1" x14ac:dyDescent="0.25">
      <c r="A4696">
        <v>21400595</v>
      </c>
      <c r="B4696" t="s">
        <v>18</v>
      </c>
      <c r="C4696" t="s">
        <v>22</v>
      </c>
      <c r="D4696">
        <v>108</v>
      </c>
      <c r="E4696">
        <v>85</v>
      </c>
      <c r="F4696">
        <v>23</v>
      </c>
      <c r="G4696">
        <v>4</v>
      </c>
      <c r="H4696" s="1">
        <v>4.3518518518518515E-3</v>
      </c>
      <c r="I4696">
        <v>2014</v>
      </c>
      <c r="J4696" t="s">
        <v>20</v>
      </c>
      <c r="K4696" s="2" t="str">
        <f>HYPERLINK("https://www.nba.com/stats/events?CFID=&amp;CFPARAMS=&amp;GameEventID=436&amp;GameID=0021400595&amp;Season=2014-15&amp;flag=1&amp;title=Leonard%202'%20Driving%20Layup%20(18%20PTS)%20(Parker%207%20AST)", "Leonard 2' Driving Layup (18 PTS) (Parker 7 AST)")</f>
        <v>Leonard 2' Driving Layup (18 PTS) (Parker 7 AST)</v>
      </c>
      <c r="L4696" s="2" t="str">
        <f>HYPERLINK("https://www.nba.com/game/...-vs-...-0021400595/play-by-play?watchFullGame=true", "SAS vs POR - Q4 06:16.00")</f>
        <v>SAS vs POR - Q4 06:16.00</v>
      </c>
      <c r="M4696">
        <v>2</v>
      </c>
      <c r="N4696">
        <v>17</v>
      </c>
      <c r="O4696">
        <v>1</v>
      </c>
      <c r="P4696">
        <v>17</v>
      </c>
      <c r="Q4696">
        <v>1</v>
      </c>
      <c r="R4696" t="s">
        <v>21</v>
      </c>
      <c r="S4696" t="s">
        <v>21</v>
      </c>
    </row>
    <row r="4697" spans="1:19" hidden="1" x14ac:dyDescent="0.25">
      <c r="A4697">
        <v>21800290</v>
      </c>
      <c r="B4697" t="s">
        <v>18</v>
      </c>
      <c r="C4697" t="s">
        <v>22</v>
      </c>
      <c r="D4697">
        <v>18</v>
      </c>
      <c r="E4697">
        <v>7</v>
      </c>
      <c r="F4697">
        <v>11</v>
      </c>
      <c r="G4697">
        <v>1</v>
      </c>
      <c r="H4697" s="1">
        <v>4.386574074074074E-3</v>
      </c>
      <c r="I4697">
        <v>2018</v>
      </c>
      <c r="J4697" t="s">
        <v>48</v>
      </c>
      <c r="K4697" s="2" t="str">
        <f>HYPERLINK("https://www.nba.com/stats/events?CFID=&amp;CFPARAMS=&amp;GameEventID=52&amp;GameID=0021800290&amp;Season=2018-19&amp;flag=1&amp;title=Leonard%202'%20Driving%20Layup%20(7%20PTS)%20(Siakam%201%20AST)", "Leonard 2' Driving Layup (7 PTS) (Siakam 1 AST)")</f>
        <v>Leonard 2' Driving Layup (7 PTS) (Siakam 1 AST)</v>
      </c>
      <c r="L4697" s="2" t="str">
        <f>HYPERLINK("https://www.nba.com/game/...-vs-...-0021800290/play-by-play?watchFullGame=true", "TOR vs MIA - Q1 06:19.00")</f>
        <v>TOR vs MIA - Q1 06:19.00</v>
      </c>
      <c r="M4697">
        <v>2</v>
      </c>
      <c r="N4697">
        <v>10</v>
      </c>
      <c r="O4697">
        <v>17</v>
      </c>
      <c r="P4697">
        <v>10</v>
      </c>
      <c r="Q4697">
        <v>17</v>
      </c>
      <c r="R4697" t="s">
        <v>21</v>
      </c>
      <c r="S4697" t="s">
        <v>21</v>
      </c>
    </row>
    <row r="4698" spans="1:19" hidden="1" x14ac:dyDescent="0.25">
      <c r="A4698">
        <v>21800303</v>
      </c>
      <c r="B4698" t="s">
        <v>18</v>
      </c>
      <c r="C4698" t="s">
        <v>22</v>
      </c>
      <c r="D4698">
        <v>75</v>
      </c>
      <c r="E4698">
        <v>86</v>
      </c>
      <c r="F4698">
        <v>11</v>
      </c>
      <c r="G4698">
        <v>3</v>
      </c>
      <c r="H4698" s="1">
        <v>4.3981481481481484E-3</v>
      </c>
      <c r="I4698">
        <v>2018</v>
      </c>
      <c r="J4698" t="s">
        <v>48</v>
      </c>
      <c r="K4698" s="2" t="str">
        <f>HYPERLINK("https://www.nba.com/stats/events?CFID=&amp;CFPARAMS=&amp;GameEventID=369&amp;GameID=0021800303&amp;Season=2018-19&amp;flag=1&amp;title=Leonard%202'%20Driving%20Layup%20(11%20PTS)", "Leonard 2' Driving Layup (11 PTS)")</f>
        <v>Leonard 2' Driving Layup (11 PTS)</v>
      </c>
      <c r="L4698" s="2" t="str">
        <f>HYPERLINK("https://www.nba.com/game/...-vs-...-0021800303/play-by-play?watchFullGame=true", "TOR vs MEM - Q3 06:20.00")</f>
        <v>TOR vs MEM - Q3 06:20.00</v>
      </c>
      <c r="M4698">
        <v>2</v>
      </c>
      <c r="N4698">
        <v>18</v>
      </c>
      <c r="O4698">
        <v>17</v>
      </c>
      <c r="P4698">
        <v>18</v>
      </c>
      <c r="Q4698">
        <v>17</v>
      </c>
      <c r="R4698" t="s">
        <v>21</v>
      </c>
      <c r="S4698" t="s">
        <v>21</v>
      </c>
    </row>
    <row r="4699" spans="1:19" hidden="1" x14ac:dyDescent="0.25">
      <c r="A4699">
        <v>41200153</v>
      </c>
      <c r="B4699" t="s">
        <v>18</v>
      </c>
      <c r="C4699" t="s">
        <v>22</v>
      </c>
      <c r="D4699">
        <v>73</v>
      </c>
      <c r="E4699">
        <v>55</v>
      </c>
      <c r="F4699">
        <v>18</v>
      </c>
      <c r="G4699">
        <v>3</v>
      </c>
      <c r="H4699" s="1">
        <v>4.43287037037037E-3</v>
      </c>
      <c r="I4699" t="s">
        <v>53</v>
      </c>
      <c r="J4699" t="s">
        <v>20</v>
      </c>
      <c r="K4699" s="2" t="str">
        <f>HYPERLINK("https://www.nba.com/stats/events?CFID=&amp;CFPARAMS=&amp;GameEventID=301&amp;GameID=0041200153&amp;Season=2012-13&amp;flag=1&amp;title=Leonard%202'%20Driving%20Layup%20(10%20PTS)%20(Parker%207%20AST)", "Leonard 2' Driving Layup (10 PTS) (Parker 7 AST)")</f>
        <v>Leonard 2' Driving Layup (10 PTS) (Parker 7 AST)</v>
      </c>
      <c r="L4699" s="2" t="str">
        <f>HYPERLINK("https://www.nba.com/game/...-vs-...-0041200153/play-by-play?watchFullGame=true", "SAS vs LAL - Q3 06:23.00")</f>
        <v>SAS vs LAL - Q3 06:23.00</v>
      </c>
      <c r="M4699">
        <v>2</v>
      </c>
      <c r="N4699">
        <v>24</v>
      </c>
      <c r="O4699">
        <v>1</v>
      </c>
      <c r="P4699">
        <v>24</v>
      </c>
      <c r="Q4699">
        <v>1</v>
      </c>
      <c r="R4699" t="s">
        <v>21</v>
      </c>
      <c r="S4699" t="s">
        <v>21</v>
      </c>
    </row>
    <row r="4700" spans="1:19" hidden="1" x14ac:dyDescent="0.25">
      <c r="A4700">
        <v>21300425</v>
      </c>
      <c r="B4700" t="s">
        <v>18</v>
      </c>
      <c r="C4700" t="s">
        <v>22</v>
      </c>
      <c r="D4700">
        <v>98</v>
      </c>
      <c r="E4700">
        <v>85</v>
      </c>
      <c r="F4700">
        <v>13</v>
      </c>
      <c r="G4700">
        <v>4</v>
      </c>
      <c r="H4700" s="1">
        <v>4.4560185185185189E-3</v>
      </c>
      <c r="I4700">
        <v>2013</v>
      </c>
      <c r="J4700" t="s">
        <v>20</v>
      </c>
      <c r="K4700" s="2" t="str">
        <f>HYPERLINK("https://www.nba.com/stats/events?CFID=&amp;CFPARAMS=&amp;GameEventID=529&amp;GameID=0021300425&amp;Season=2013-14&amp;flag=1&amp;title=Leonard%202'%20Driving%20Layup%20(7%20PTS)", "Leonard 2' Driving Layup (7 PTS)")</f>
        <v>Leonard 2' Driving Layup (7 PTS)</v>
      </c>
      <c r="L4700" s="2" t="str">
        <f>HYPERLINK("https://www.nba.com/game/...-vs-...-0021300425/play-by-play?watchFullGame=true", "SAS vs DAL - Q4 06:25.00")</f>
        <v>SAS vs DAL - Q4 06:25.00</v>
      </c>
      <c r="M4700">
        <v>2</v>
      </c>
      <c r="N4700">
        <v>15</v>
      </c>
      <c r="O4700">
        <v>3</v>
      </c>
      <c r="P4700">
        <v>15</v>
      </c>
      <c r="Q4700">
        <v>3</v>
      </c>
      <c r="R4700" t="s">
        <v>21</v>
      </c>
      <c r="S4700" t="s">
        <v>21</v>
      </c>
    </row>
    <row r="4701" spans="1:19" hidden="1" x14ac:dyDescent="0.25">
      <c r="A4701">
        <v>21300194</v>
      </c>
      <c r="B4701" t="s">
        <v>18</v>
      </c>
      <c r="C4701" t="s">
        <v>23</v>
      </c>
      <c r="D4701">
        <v>55</v>
      </c>
      <c r="E4701">
        <v>28</v>
      </c>
      <c r="F4701">
        <v>27</v>
      </c>
      <c r="G4701">
        <v>2</v>
      </c>
      <c r="H4701" s="1">
        <v>3.1365740740740742E-3</v>
      </c>
      <c r="I4701">
        <v>2013</v>
      </c>
      <c r="J4701" t="s">
        <v>20</v>
      </c>
      <c r="K4701" s="2" t="str">
        <f>HYPERLINK("https://www.nba.com/stats/events?CFID=&amp;CFPARAMS=&amp;GameEventID=189&amp;GameID=0021300194&amp;Season=2013-14&amp;flag=1&amp;title=Leonard%202'%20Dunk%20(7%20PTS)%20(Parker%204%20AST)", "Leonard 2' Dunk (7 PTS) (Parker 4 AST)")</f>
        <v>Leonard 2' Dunk (7 PTS) (Parker 4 AST)</v>
      </c>
      <c r="L4701" s="2" t="str">
        <f>HYPERLINK("https://www.nba.com/game/...-vs-...-0021300194/play-by-play?watchFullGame=true", "SAS vs CLE - Q2 04:31.00")</f>
        <v>SAS vs CLE - Q2 04:31.00</v>
      </c>
      <c r="M4701">
        <v>2</v>
      </c>
      <c r="N4701">
        <v>-5</v>
      </c>
      <c r="O4701">
        <v>20</v>
      </c>
      <c r="P4701">
        <v>-5</v>
      </c>
      <c r="Q4701">
        <v>20</v>
      </c>
      <c r="R4701" t="s">
        <v>21</v>
      </c>
      <c r="S4701" t="s">
        <v>21</v>
      </c>
    </row>
    <row r="4702" spans="1:19" hidden="1" x14ac:dyDescent="0.25">
      <c r="A4702">
        <v>21400191</v>
      </c>
      <c r="B4702" t="s">
        <v>18</v>
      </c>
      <c r="C4702" t="s">
        <v>22</v>
      </c>
      <c r="D4702">
        <v>14</v>
      </c>
      <c r="E4702">
        <v>6</v>
      </c>
      <c r="F4702">
        <v>8</v>
      </c>
      <c r="G4702">
        <v>1</v>
      </c>
      <c r="H4702" s="1">
        <v>4.5138888888888885E-3</v>
      </c>
      <c r="I4702">
        <v>2014</v>
      </c>
      <c r="J4702" t="s">
        <v>20</v>
      </c>
      <c r="K4702" s="2" t="str">
        <f>HYPERLINK("https://www.nba.com/stats/events?CFID=&amp;CFPARAMS=&amp;GameEventID=36&amp;GameID=0021400191&amp;Season=2014-15&amp;flag=1&amp;title=Leonard%202'%20Driving%20Layup%20(4%20PTS)%20(Parker%201%20AST)", "Leonard 2' Driving Layup (4 PTS) (Parker 1 AST)")</f>
        <v>Leonard 2' Driving Layup (4 PTS) (Parker 1 AST)</v>
      </c>
      <c r="L4702" s="2" t="str">
        <f>HYPERLINK("https://www.nba.com/game/...-vs-...-0021400191/play-by-play?watchFullGame=true", "SAS vs BKN - Q1 06:30.00")</f>
        <v>SAS vs BKN - Q1 06:30.00</v>
      </c>
      <c r="M4702">
        <v>2</v>
      </c>
      <c r="N4702">
        <v>21</v>
      </c>
      <c r="O4702">
        <v>-3</v>
      </c>
      <c r="P4702">
        <v>21</v>
      </c>
      <c r="Q4702">
        <v>-3</v>
      </c>
      <c r="R4702" t="s">
        <v>21</v>
      </c>
      <c r="S4702" t="s">
        <v>21</v>
      </c>
    </row>
    <row r="4703" spans="1:19" hidden="1" x14ac:dyDescent="0.25">
      <c r="A4703">
        <v>21501001</v>
      </c>
      <c r="B4703" t="s">
        <v>18</v>
      </c>
      <c r="C4703" t="s">
        <v>40</v>
      </c>
      <c r="D4703">
        <v>10</v>
      </c>
      <c r="E4703">
        <v>12</v>
      </c>
      <c r="F4703">
        <v>2</v>
      </c>
      <c r="G4703">
        <v>1</v>
      </c>
      <c r="H4703" s="1">
        <v>4.5254629629629629E-3</v>
      </c>
      <c r="I4703">
        <v>2015</v>
      </c>
      <c r="J4703" t="s">
        <v>20</v>
      </c>
      <c r="K4703" s="2" t="str">
        <f>HYPERLINK("https://www.nba.com/stats/events?CFID=&amp;CFPARAMS=&amp;GameEventID=47&amp;GameID=0021501001&amp;Season=2015-16&amp;flag=1&amp;title=Leonard%202'%20Driving%20Finger%20Roll%20Layup%20(4%20PTS)", "Leonard 2' Driving Finger Roll Layup (4 PTS)")</f>
        <v>Leonard 2' Driving Finger Roll Layup (4 PTS)</v>
      </c>
      <c r="L4703" s="2" t="str">
        <f>HYPERLINK("https://www.nba.com/game/...-vs-...-0021501001/play-by-play?watchFullGame=true", "SAS vs LAC - Q1 06:31.00")</f>
        <v>SAS vs LAC - Q1 06:31.00</v>
      </c>
      <c r="M4703">
        <v>2</v>
      </c>
      <c r="N4703">
        <v>17</v>
      </c>
      <c r="O4703">
        <v>7</v>
      </c>
      <c r="P4703">
        <v>17</v>
      </c>
      <c r="Q4703">
        <v>7</v>
      </c>
      <c r="R4703" t="s">
        <v>21</v>
      </c>
      <c r="S4703" t="s">
        <v>21</v>
      </c>
    </row>
    <row r="4704" spans="1:19" hidden="1" x14ac:dyDescent="0.25">
      <c r="A4704">
        <v>21600834</v>
      </c>
      <c r="B4704" t="s">
        <v>18</v>
      </c>
      <c r="C4704" t="s">
        <v>33</v>
      </c>
      <c r="D4704">
        <v>10</v>
      </c>
      <c r="E4704">
        <v>6</v>
      </c>
      <c r="F4704">
        <v>4</v>
      </c>
      <c r="G4704">
        <v>1</v>
      </c>
      <c r="H4704" s="1">
        <v>4.5601851851851853E-3</v>
      </c>
      <c r="I4704">
        <v>2016</v>
      </c>
      <c r="J4704" t="s">
        <v>20</v>
      </c>
      <c r="K4704" s="2" t="str">
        <f>HYPERLINK("https://www.nba.com/stats/events?CFID=&amp;CFPARAMS=&amp;GameEventID=36&amp;GameID=0021600834&amp;Season=2016-17&amp;flag=1&amp;title=Leonard%202'%20Putback%20Layup%20(2%20PTS)", "Leonard 2' Putback Layup (2 PTS)")</f>
        <v>Leonard 2' Putback Layup (2 PTS)</v>
      </c>
      <c r="L4704" s="2" t="str">
        <f>HYPERLINK("https://www.nba.com/game/...-vs-...-0021600834/play-by-play?watchFullGame=true", "SAS vs ORL - Q1 06:34.00")</f>
        <v>SAS vs ORL - Q1 06:34.00</v>
      </c>
      <c r="M4704">
        <v>2</v>
      </c>
      <c r="N4704">
        <v>4</v>
      </c>
      <c r="O4704">
        <v>21</v>
      </c>
      <c r="P4704">
        <v>4</v>
      </c>
      <c r="Q4704">
        <v>21</v>
      </c>
      <c r="R4704" t="s">
        <v>21</v>
      </c>
      <c r="S4704" t="s">
        <v>21</v>
      </c>
    </row>
    <row r="4705" spans="1:19" hidden="1" x14ac:dyDescent="0.25">
      <c r="A4705">
        <v>21600206</v>
      </c>
      <c r="B4705" t="s">
        <v>18</v>
      </c>
      <c r="C4705" t="s">
        <v>24</v>
      </c>
      <c r="D4705">
        <v>8</v>
      </c>
      <c r="E4705">
        <v>12</v>
      </c>
      <c r="F4705">
        <v>4</v>
      </c>
      <c r="G4705">
        <v>1</v>
      </c>
      <c r="H4705" s="1">
        <v>4.5833333333333334E-3</v>
      </c>
      <c r="I4705">
        <v>2016</v>
      </c>
      <c r="J4705" t="s">
        <v>20</v>
      </c>
      <c r="K4705" s="2" t="str">
        <f>HYPERLINK("https://www.nba.com/stats/events?CFID=&amp;CFPARAMS=&amp;GameEventID=31&amp;GameID=0021600206&amp;Season=2016-17&amp;flag=1&amp;title=Leonard%202'%20Layup%20(4%20PTS)%20(Murray%201%20AST)", "Leonard 2' Layup (4 PTS) (Murray 1 AST)")</f>
        <v>Leonard 2' Layup (4 PTS) (Murray 1 AST)</v>
      </c>
      <c r="L4705" s="2" t="str">
        <f>HYPERLINK("https://www.nba.com/game/...-vs-...-0021600206/play-by-play?watchFullGame=true", "SAS vs DAL - Q1 06:36.00")</f>
        <v>SAS vs DAL - Q1 06:36.00</v>
      </c>
      <c r="M4705">
        <v>2</v>
      </c>
      <c r="N4705">
        <v>-16</v>
      </c>
      <c r="O4705">
        <v>16</v>
      </c>
      <c r="P4705">
        <v>-16</v>
      </c>
      <c r="Q4705">
        <v>16</v>
      </c>
      <c r="R4705" t="s">
        <v>21</v>
      </c>
      <c r="S4705" t="s">
        <v>21</v>
      </c>
    </row>
    <row r="4706" spans="1:19" hidden="1" x14ac:dyDescent="0.25">
      <c r="A4706">
        <v>21401168</v>
      </c>
      <c r="B4706" t="s">
        <v>18</v>
      </c>
      <c r="C4706" t="s">
        <v>22</v>
      </c>
      <c r="D4706">
        <v>100</v>
      </c>
      <c r="E4706">
        <v>84</v>
      </c>
      <c r="F4706">
        <v>16</v>
      </c>
      <c r="G4706">
        <v>4</v>
      </c>
      <c r="H4706" s="1">
        <v>4.5949074074074078E-3</v>
      </c>
      <c r="I4706">
        <v>2014</v>
      </c>
      <c r="J4706" t="s">
        <v>20</v>
      </c>
      <c r="K4706" s="2" t="str">
        <f>HYPERLINK("https://www.nba.com/stats/events?CFID=&amp;CFPARAMS=&amp;GameEventID=407&amp;GameID=0021401168&amp;Season=2014-15&amp;flag=1&amp;title=Leonard%202'%20Driving%20Layup%20(20%20PTS)", "Leonard 2' Driving Layup (20 PTS)")</f>
        <v>Leonard 2' Driving Layup (20 PTS)</v>
      </c>
      <c r="L4706" s="2" t="str">
        <f>HYPERLINK("https://www.nba.com/game/...-vs-...-0021401168/play-by-play?watchFullGame=true", "SAS vs HOU - Q4 06:37.00")</f>
        <v>SAS vs HOU - Q4 06:37.00</v>
      </c>
      <c r="M4706">
        <v>2</v>
      </c>
      <c r="N4706">
        <v>13</v>
      </c>
      <c r="O4706">
        <v>-10</v>
      </c>
      <c r="P4706">
        <v>13</v>
      </c>
      <c r="Q4706">
        <v>-10</v>
      </c>
      <c r="R4706" t="s">
        <v>21</v>
      </c>
      <c r="S4706" t="s">
        <v>21</v>
      </c>
    </row>
    <row r="4707" spans="1:19" hidden="1" x14ac:dyDescent="0.25">
      <c r="A4707">
        <v>41800402</v>
      </c>
      <c r="B4707" t="s">
        <v>18</v>
      </c>
      <c r="C4707" t="s">
        <v>69</v>
      </c>
      <c r="D4707">
        <v>93</v>
      </c>
      <c r="E4707">
        <v>102</v>
      </c>
      <c r="F4707">
        <v>9</v>
      </c>
      <c r="G4707">
        <v>4</v>
      </c>
      <c r="H4707" s="1">
        <v>4.6064814814814814E-3</v>
      </c>
      <c r="I4707" t="s">
        <v>60</v>
      </c>
      <c r="J4707" t="s">
        <v>48</v>
      </c>
      <c r="K4707" s="2" t="str">
        <f>HYPERLINK("https://www.nba.com/stats/events?CFID=&amp;CFPARAMS=&amp;GameEventID=608&amp;GameID=0041800402&amp;Season=2018-19&amp;flag=1&amp;title=Leonard%202'%20Driving%20Bank%20Hook%20Shot%20(30%20PTS)", "Leonard 2' Driving Bank Hook Shot (30 PTS)")</f>
        <v>Leonard 2' Driving Bank Hook Shot (30 PTS)</v>
      </c>
      <c r="L4707" s="2" t="str">
        <f>HYPERLINK("https://www.nba.com/game/...-vs-...-0041800402/play-by-play?watchFullGame=true", "TOR vs GSW - Q4 06:38.00")</f>
        <v>TOR vs GSW - Q4 06:38.00</v>
      </c>
      <c r="M4707">
        <v>2</v>
      </c>
      <c r="N4707">
        <v>20</v>
      </c>
      <c r="O4707">
        <v>4</v>
      </c>
      <c r="P4707">
        <v>20</v>
      </c>
      <c r="Q4707">
        <v>4</v>
      </c>
      <c r="R4707" t="s">
        <v>21</v>
      </c>
      <c r="S4707" t="s">
        <v>21</v>
      </c>
    </row>
    <row r="4708" spans="1:19" hidden="1" x14ac:dyDescent="0.25">
      <c r="A4708">
        <v>21801110</v>
      </c>
      <c r="B4708" t="s">
        <v>18</v>
      </c>
      <c r="C4708" t="s">
        <v>24</v>
      </c>
      <c r="D4708">
        <v>71</v>
      </c>
      <c r="E4708">
        <v>52</v>
      </c>
      <c r="F4708">
        <v>19</v>
      </c>
      <c r="G4708">
        <v>3</v>
      </c>
      <c r="H4708" s="1">
        <v>4.6180555555555558E-3</v>
      </c>
      <c r="I4708">
        <v>2018</v>
      </c>
      <c r="J4708" t="s">
        <v>48</v>
      </c>
      <c r="K4708" s="2" t="str">
        <f>HYPERLINK("https://www.nba.com/stats/events?CFID=&amp;CFPARAMS=&amp;GameEventID=395&amp;GameID=0021801110&amp;Season=2018-19&amp;flag=1&amp;title=Leonard%202'%20Layup%20(14%20PTS)%20(Lowry%205%20AST)", "Leonard 2' Layup (14 PTS) (Lowry 5 AST)")</f>
        <v>Leonard 2' Layup (14 PTS) (Lowry 5 AST)</v>
      </c>
      <c r="L4708" s="2" t="str">
        <f>HYPERLINK("https://www.nba.com/game/...-vs-...-0021801110/play-by-play?watchFullGame=true", "TOR vs CHI - Q3 06:39.00")</f>
        <v>TOR vs CHI - Q3 06:39.00</v>
      </c>
      <c r="M4708">
        <v>2</v>
      </c>
      <c r="N4708">
        <v>13</v>
      </c>
      <c r="O4708">
        <v>15</v>
      </c>
      <c r="P4708">
        <v>13</v>
      </c>
      <c r="Q4708">
        <v>15</v>
      </c>
      <c r="R4708" t="s">
        <v>21</v>
      </c>
      <c r="S4708" t="s">
        <v>21</v>
      </c>
    </row>
    <row r="4709" spans="1:19" hidden="1" x14ac:dyDescent="0.25">
      <c r="A4709">
        <v>21400663</v>
      </c>
      <c r="B4709" t="s">
        <v>18</v>
      </c>
      <c r="C4709" t="s">
        <v>33</v>
      </c>
      <c r="D4709">
        <v>85</v>
      </c>
      <c r="E4709">
        <v>79</v>
      </c>
      <c r="F4709">
        <v>6</v>
      </c>
      <c r="G4709">
        <v>4</v>
      </c>
      <c r="H4709" s="1">
        <v>4.6412037037037038E-3</v>
      </c>
      <c r="I4709">
        <v>2014</v>
      </c>
      <c r="J4709" t="s">
        <v>20</v>
      </c>
      <c r="K4709" s="2" t="str">
        <f>HYPERLINK("https://www.nba.com/stats/events?CFID=&amp;CFPARAMS=&amp;GameEventID=436&amp;GameID=0021400663&amp;Season=2014-15&amp;flag=1&amp;title=Leonard%202'%20Putback%20Layup%20(14%20PTS)", "Leonard 2' Putback Layup (14 PTS)")</f>
        <v>Leonard 2' Putback Layup (14 PTS)</v>
      </c>
      <c r="L4709" s="2" t="str">
        <f>HYPERLINK("https://www.nba.com/game/...-vs-...-0021400663/play-by-play?watchFullGame=true", "SAS vs MIL - Q4 06:41.00")</f>
        <v>SAS vs MIL - Q4 06:41.00</v>
      </c>
      <c r="M4709">
        <v>2</v>
      </c>
      <c r="N4709">
        <v>-18</v>
      </c>
      <c r="O4709">
        <v>3</v>
      </c>
      <c r="P4709">
        <v>-18</v>
      </c>
      <c r="Q4709">
        <v>3</v>
      </c>
      <c r="R4709" t="s">
        <v>21</v>
      </c>
      <c r="S4709" t="s">
        <v>21</v>
      </c>
    </row>
    <row r="4710" spans="1:19" hidden="1" x14ac:dyDescent="0.25">
      <c r="A4710">
        <v>21401150</v>
      </c>
      <c r="B4710" t="s">
        <v>18</v>
      </c>
      <c r="C4710" t="s">
        <v>22</v>
      </c>
      <c r="D4710">
        <v>14</v>
      </c>
      <c r="E4710">
        <v>6</v>
      </c>
      <c r="F4710">
        <v>8</v>
      </c>
      <c r="G4710">
        <v>1</v>
      </c>
      <c r="H4710" s="1">
        <v>4.7106481481481478E-3</v>
      </c>
      <c r="I4710">
        <v>2014</v>
      </c>
      <c r="J4710" t="s">
        <v>20</v>
      </c>
      <c r="K4710" s="2" t="str">
        <f>HYPERLINK("https://www.nba.com/stats/events?CFID=&amp;CFPARAMS=&amp;GameEventID=48&amp;GameID=0021401150&amp;Season=2014-15&amp;flag=1&amp;title=Leonard%202'%20Driving%20Layup%20(8%20PTS)", "Leonard 2' Driving Layup (8 PTS)")</f>
        <v>Leonard 2' Driving Layup (8 PTS)</v>
      </c>
      <c r="L4710" s="2" t="str">
        <f>HYPERLINK("https://www.nba.com/game/...-vs-...-0021401150/play-by-play?watchFullGame=true", "SAS vs GSW - Q1 06:47.00")</f>
        <v>SAS vs GSW - Q1 06:47.00</v>
      </c>
      <c r="M4710">
        <v>2</v>
      </c>
      <c r="N4710">
        <v>-19</v>
      </c>
      <c r="O4710">
        <v>14</v>
      </c>
      <c r="P4710">
        <v>-19</v>
      </c>
      <c r="Q4710">
        <v>14</v>
      </c>
      <c r="R4710" t="s">
        <v>21</v>
      </c>
      <c r="S4710" t="s">
        <v>21</v>
      </c>
    </row>
    <row r="4711" spans="1:19" hidden="1" x14ac:dyDescent="0.25">
      <c r="A4711">
        <v>21800909</v>
      </c>
      <c r="B4711" t="s">
        <v>18</v>
      </c>
      <c r="C4711" t="s">
        <v>67</v>
      </c>
      <c r="D4711">
        <v>76</v>
      </c>
      <c r="E4711">
        <v>58</v>
      </c>
      <c r="F4711">
        <v>18</v>
      </c>
      <c r="G4711">
        <v>3</v>
      </c>
      <c r="H4711" s="1">
        <v>4.7222222222222223E-3</v>
      </c>
      <c r="I4711">
        <v>2018</v>
      </c>
      <c r="J4711" t="s">
        <v>48</v>
      </c>
      <c r="K4711" s="2" t="str">
        <f>HYPERLINK("https://www.nba.com/stats/events?CFID=&amp;CFPARAMS=&amp;GameEventID=413&amp;GameID=0021800909&amp;Season=2018-19&amp;flag=1&amp;title=Leonard%202'%20Turnaround%20Hook%20Shot%20(17%20PTS)", "Leonard 2' Turnaround Hook Shot (17 PTS)")</f>
        <v>Leonard 2' Turnaround Hook Shot (17 PTS)</v>
      </c>
      <c r="L4711" s="2" t="str">
        <f>HYPERLINK("https://www.nba.com/game/...-vs-...-0021800909/play-by-play?watchFullGame=true", "TOR vs BOS - Q3 06:48.00")</f>
        <v>TOR vs BOS - Q3 06:48.00</v>
      </c>
      <c r="M4711">
        <v>2</v>
      </c>
      <c r="N4711">
        <v>-3</v>
      </c>
      <c r="O4711">
        <v>23</v>
      </c>
      <c r="P4711">
        <v>-3</v>
      </c>
      <c r="Q4711">
        <v>23</v>
      </c>
      <c r="R4711" t="s">
        <v>21</v>
      </c>
      <c r="S4711" t="s">
        <v>21</v>
      </c>
    </row>
    <row r="4712" spans="1:19" hidden="1" x14ac:dyDescent="0.25">
      <c r="A4712">
        <v>21600605</v>
      </c>
      <c r="B4712" t="s">
        <v>18</v>
      </c>
      <c r="C4712" t="s">
        <v>24</v>
      </c>
      <c r="D4712">
        <v>69</v>
      </c>
      <c r="E4712">
        <v>64</v>
      </c>
      <c r="F4712">
        <v>5</v>
      </c>
      <c r="G4712">
        <v>3</v>
      </c>
      <c r="H4712" s="1">
        <v>4.7569444444444447E-3</v>
      </c>
      <c r="I4712">
        <v>2016</v>
      </c>
      <c r="J4712" t="s">
        <v>20</v>
      </c>
      <c r="K4712" s="2" t="str">
        <f>HYPERLINK("https://www.nba.com/stats/events?CFID=&amp;CFPARAMS=&amp;GameEventID=330&amp;GameID=0021600605&amp;Season=2016-17&amp;flag=1&amp;title=Leonard%202'%20Layup%20(23%20PTS)", "Leonard 2' Layup (23 PTS)")</f>
        <v>Leonard 2' Layup (23 PTS)</v>
      </c>
      <c r="L4712" s="2" t="str">
        <f>HYPERLINK("https://www.nba.com/game/...-vs-...-0021600605/play-by-play?watchFullGame=true", "SAS vs PHX - Q3 06:51.00")</f>
        <v>SAS vs PHX - Q3 06:51.00</v>
      </c>
      <c r="M4712">
        <v>2</v>
      </c>
      <c r="N4712">
        <v>15</v>
      </c>
      <c r="O4712">
        <v>8</v>
      </c>
      <c r="P4712">
        <v>15</v>
      </c>
      <c r="Q4712">
        <v>8</v>
      </c>
      <c r="R4712" t="s">
        <v>21</v>
      </c>
      <c r="S4712" t="s">
        <v>21</v>
      </c>
    </row>
    <row r="4713" spans="1:19" hidden="1" x14ac:dyDescent="0.25">
      <c r="A4713">
        <v>21800983</v>
      </c>
      <c r="B4713" t="s">
        <v>18</v>
      </c>
      <c r="C4713" t="s">
        <v>52</v>
      </c>
      <c r="D4713">
        <v>77</v>
      </c>
      <c r="E4713">
        <v>70</v>
      </c>
      <c r="F4713">
        <v>7</v>
      </c>
      <c r="G4713">
        <v>3</v>
      </c>
      <c r="H4713" s="1">
        <v>4.7800925925925927E-3</v>
      </c>
      <c r="I4713">
        <v>2018</v>
      </c>
      <c r="J4713" t="s">
        <v>48</v>
      </c>
      <c r="K4713" s="2" t="str">
        <f>HYPERLINK("https://www.nba.com/stats/events?CFID=&amp;CFPARAMS=&amp;GameEventID=383&amp;GameID=0021800983&amp;Season=2018-19&amp;flag=1&amp;title=Leonard%202'%20Cutting%20Layup%20Shot%20(28%20PTS)%20(Lowry%209%20AST)", "Leonard 2' Cutting Layup Shot (28 PTS) (Lowry 9 AST)")</f>
        <v>Leonard 2' Cutting Layup Shot (28 PTS) (Lowry 9 AST)</v>
      </c>
      <c r="L4713" s="2" t="str">
        <f>HYPERLINK("https://www.nba.com/game/...-vs-...-0021800983/play-by-play?watchFullGame=true", "TOR vs NOP - Q3 06:53.00")</f>
        <v>TOR vs NOP - Q3 06:53.00</v>
      </c>
      <c r="M4713">
        <v>2</v>
      </c>
      <c r="N4713">
        <v>15</v>
      </c>
      <c r="O4713">
        <v>5</v>
      </c>
      <c r="P4713">
        <v>15</v>
      </c>
      <c r="Q4713">
        <v>5</v>
      </c>
      <c r="R4713" t="s">
        <v>21</v>
      </c>
      <c r="S4713" t="s">
        <v>21</v>
      </c>
    </row>
    <row r="4714" spans="1:19" hidden="1" x14ac:dyDescent="0.25">
      <c r="A4714">
        <v>41800216</v>
      </c>
      <c r="B4714" t="s">
        <v>18</v>
      </c>
      <c r="C4714" t="s">
        <v>51</v>
      </c>
      <c r="D4714">
        <v>31</v>
      </c>
      <c r="E4714">
        <v>42</v>
      </c>
      <c r="F4714">
        <v>11</v>
      </c>
      <c r="G4714">
        <v>2</v>
      </c>
      <c r="H4714" s="1">
        <v>4.8148148148148152E-3</v>
      </c>
      <c r="I4714" t="s">
        <v>60</v>
      </c>
      <c r="J4714" t="s">
        <v>48</v>
      </c>
      <c r="K4714" s="2" t="str">
        <f>HYPERLINK("https://www.nba.com/stats/events?CFID=&amp;CFPARAMS=&amp;GameEventID=224&amp;GameID=0041800216&amp;Season=2018-19&amp;flag=1&amp;title=Leonard%202'%20Running%20Layup%20(12%20PTS)%20(Green%201%20AST)", "Leonard 2' Running Layup (12 PTS) (Green 1 AST)")</f>
        <v>Leonard 2' Running Layup (12 PTS) (Green 1 AST)</v>
      </c>
      <c r="L4714" s="2" t="str">
        <f>HYPERLINK("https://www.nba.com/game/...-vs-...-0041800216/play-by-play?watchFullGame=true", "TOR vs PHI - Q2 06:56.00")</f>
        <v>TOR vs PHI - Q2 06:56.00</v>
      </c>
      <c r="M4714">
        <v>2</v>
      </c>
      <c r="N4714">
        <v>11</v>
      </c>
      <c r="O4714">
        <v>11</v>
      </c>
      <c r="P4714">
        <v>11</v>
      </c>
      <c r="Q4714">
        <v>11</v>
      </c>
      <c r="R4714" t="s">
        <v>21</v>
      </c>
      <c r="S4714" t="s">
        <v>21</v>
      </c>
    </row>
    <row r="4715" spans="1:19" hidden="1" x14ac:dyDescent="0.25">
      <c r="A4715">
        <v>41800212</v>
      </c>
      <c r="B4715" t="s">
        <v>18</v>
      </c>
      <c r="C4715" t="s">
        <v>69</v>
      </c>
      <c r="D4715">
        <v>69</v>
      </c>
      <c r="E4715">
        <v>78</v>
      </c>
      <c r="F4715">
        <v>9</v>
      </c>
      <c r="G4715">
        <v>4</v>
      </c>
      <c r="H4715" s="1">
        <v>4.8495370370370368E-3</v>
      </c>
      <c r="I4715" t="s">
        <v>60</v>
      </c>
      <c r="J4715" t="s">
        <v>48</v>
      </c>
      <c r="K4715" s="2" t="str">
        <f>HYPERLINK("https://www.nba.com/stats/events?CFID=&amp;CFPARAMS=&amp;GameEventID=559&amp;GameID=0041800212&amp;Season=2018-19&amp;flag=1&amp;title=Leonard%202'%20Driving%20Bank%20Hook%20Shot%20(28%20PTS)%20(Lowry%205%20AST)", "Leonard 2' Driving Bank Hook Shot (28 PTS) (Lowry 5 AST)")</f>
        <v>Leonard 2' Driving Bank Hook Shot (28 PTS) (Lowry 5 AST)</v>
      </c>
      <c r="L4715" s="2" t="str">
        <f>HYPERLINK("https://www.nba.com/game/...-vs-...-0041800212/play-by-play?watchFullGame=true", "TOR vs PHI - Q4 06:59.00")</f>
        <v>TOR vs PHI - Q4 06:59.00</v>
      </c>
      <c r="M4715">
        <v>2</v>
      </c>
      <c r="N4715">
        <v>-19</v>
      </c>
      <c r="O4715">
        <v>11</v>
      </c>
      <c r="P4715">
        <v>-19</v>
      </c>
      <c r="Q4715">
        <v>11</v>
      </c>
      <c r="R4715" t="s">
        <v>21</v>
      </c>
      <c r="S4715" t="s">
        <v>21</v>
      </c>
    </row>
    <row r="4716" spans="1:19" hidden="1" x14ac:dyDescent="0.25">
      <c r="A4716">
        <v>41200232</v>
      </c>
      <c r="B4716" t="s">
        <v>18</v>
      </c>
      <c r="C4716" t="s">
        <v>24</v>
      </c>
      <c r="D4716">
        <v>36</v>
      </c>
      <c r="E4716">
        <v>44</v>
      </c>
      <c r="F4716">
        <v>8</v>
      </c>
      <c r="G4716">
        <v>2</v>
      </c>
      <c r="H4716" s="1">
        <v>4.8495370370370368E-3</v>
      </c>
      <c r="I4716" t="s">
        <v>53</v>
      </c>
      <c r="J4716" t="s">
        <v>20</v>
      </c>
      <c r="K4716" s="2" t="str">
        <f>HYPERLINK("https://www.nba.com/stats/events?CFID=&amp;CFPARAMS=&amp;GameEventID=182&amp;GameID=0041200232&amp;Season=2012-13&amp;flag=1&amp;title=Leonard%202'%20Layup%20(5%20PTS)%20(Parker%202%20AST)", "Leonard 2' Layup (5 PTS) (Parker 2 AST)")</f>
        <v>Leonard 2' Layup (5 PTS) (Parker 2 AST)</v>
      </c>
      <c r="L4716" s="2" t="str">
        <f>HYPERLINK("https://www.nba.com/game/...-vs-...-0041200232/play-by-play?watchFullGame=true", "SAS vs GSW - Q2 06:59.00")</f>
        <v>SAS vs GSW - Q2 06:59.00</v>
      </c>
      <c r="M4716">
        <v>2</v>
      </c>
      <c r="N4716">
        <v>-7</v>
      </c>
      <c r="O4716">
        <v>17</v>
      </c>
      <c r="P4716">
        <v>-7</v>
      </c>
      <c r="Q4716">
        <v>17</v>
      </c>
      <c r="R4716" t="s">
        <v>21</v>
      </c>
      <c r="S4716" t="s">
        <v>21</v>
      </c>
    </row>
    <row r="4717" spans="1:19" hidden="1" x14ac:dyDescent="0.25">
      <c r="A4717">
        <v>21400867</v>
      </c>
      <c r="B4717" t="s">
        <v>18</v>
      </c>
      <c r="C4717" t="s">
        <v>44</v>
      </c>
      <c r="D4717">
        <v>29</v>
      </c>
      <c r="E4717">
        <v>33</v>
      </c>
      <c r="F4717">
        <v>4</v>
      </c>
      <c r="G4717">
        <v>2</v>
      </c>
      <c r="H4717" s="1">
        <v>4.8495370370370368E-3</v>
      </c>
      <c r="I4717">
        <v>2014</v>
      </c>
      <c r="J4717" t="s">
        <v>20</v>
      </c>
      <c r="K4717" s="2" t="str">
        <f>HYPERLINK("https://www.nba.com/stats/events?CFID=&amp;CFPARAMS=&amp;GameEventID=184&amp;GameID=0021400867&amp;Season=2014-15&amp;flag=1&amp;title=Leonard%202'%20Driving%20Reverse%20Layup%20(11%20PTS)", "Leonard 2' Driving Reverse Layup (11 PTS)")</f>
        <v>Leonard 2' Driving Reverse Layup (11 PTS)</v>
      </c>
      <c r="L4717" s="2" t="str">
        <f>HYPERLINK("https://www.nba.com/game/...-vs-...-0021400867/play-by-play?watchFullGame=true", "SAS vs SAC - Q2 06:59.00")</f>
        <v>SAS vs SAC - Q2 06:59.00</v>
      </c>
      <c r="M4717">
        <v>2</v>
      </c>
      <c r="N4717">
        <v>7</v>
      </c>
      <c r="O4717">
        <v>22</v>
      </c>
      <c r="P4717">
        <v>7</v>
      </c>
      <c r="Q4717">
        <v>22</v>
      </c>
      <c r="R4717" t="s">
        <v>21</v>
      </c>
      <c r="S4717" t="s">
        <v>21</v>
      </c>
    </row>
    <row r="4718" spans="1:19" hidden="1" x14ac:dyDescent="0.25">
      <c r="A4718">
        <v>41200401</v>
      </c>
      <c r="B4718" t="s">
        <v>18</v>
      </c>
      <c r="C4718" t="s">
        <v>19</v>
      </c>
      <c r="D4718">
        <v>79</v>
      </c>
      <c r="E4718">
        <v>78</v>
      </c>
      <c r="F4718">
        <v>1</v>
      </c>
      <c r="G4718">
        <v>4</v>
      </c>
      <c r="H4718" s="1">
        <v>4.8611111111111112E-3</v>
      </c>
      <c r="I4718" t="s">
        <v>53</v>
      </c>
      <c r="J4718" t="s">
        <v>20</v>
      </c>
      <c r="K4718" s="2" t="str">
        <f>HYPERLINK("https://www.nba.com/stats/events?CFID=&amp;CFPARAMS=&amp;GameEventID=401&amp;GameID=0041200401&amp;Season=2012-13&amp;flag=1&amp;title=Leonard%202'%20Jump%20Shot%20(10%20PTS)", "Leonard 2' Jump Shot (10 PTS)")</f>
        <v>Leonard 2' Jump Shot (10 PTS)</v>
      </c>
      <c r="L4718" s="2" t="str">
        <f>HYPERLINK("https://www.nba.com/game/...-vs-...-0041200401/play-by-play?watchFullGame=true", "SAS vs MIA - Q4 07:00.00")</f>
        <v>SAS vs MIA - Q4 07:00.00</v>
      </c>
      <c r="M4718">
        <v>2</v>
      </c>
      <c r="N4718">
        <v>13</v>
      </c>
      <c r="O4718">
        <v>12</v>
      </c>
      <c r="P4718">
        <v>13</v>
      </c>
      <c r="Q4718">
        <v>12</v>
      </c>
      <c r="R4718" t="s">
        <v>21</v>
      </c>
      <c r="S4718" t="s">
        <v>21</v>
      </c>
    </row>
    <row r="4719" spans="1:19" hidden="1" x14ac:dyDescent="0.25">
      <c r="A4719">
        <v>21401134</v>
      </c>
      <c r="B4719" t="s">
        <v>18</v>
      </c>
      <c r="C4719" t="s">
        <v>32</v>
      </c>
      <c r="D4719">
        <v>83</v>
      </c>
      <c r="E4719">
        <v>54</v>
      </c>
      <c r="F4719">
        <v>29</v>
      </c>
      <c r="G4719">
        <v>3</v>
      </c>
      <c r="H4719" s="1">
        <v>4.9189814814814816E-3</v>
      </c>
      <c r="I4719">
        <v>2014</v>
      </c>
      <c r="J4719" t="s">
        <v>20</v>
      </c>
      <c r="K4719" s="2" t="str">
        <f>HYPERLINK("https://www.nba.com/stats/events?CFID=&amp;CFPARAMS=&amp;GameEventID=279&amp;GameID=0021401134&amp;Season=2014-15&amp;flag=1&amp;title=Leonard%202'%20Alley%20Oop%20Layup%20(20%20PTS)%20(Duncan%204%20AST)", "Leonard 2' Alley Oop Layup (20 PTS) (Duncan 4 AST)")</f>
        <v>Leonard 2' Alley Oop Layup (20 PTS) (Duncan 4 AST)</v>
      </c>
      <c r="L4719" s="2" t="str">
        <f>HYPERLINK("https://www.nba.com/game/...-vs-...-0021401134/play-by-play?watchFullGame=true", "SAS vs DEN - Q3 07:05.00")</f>
        <v>SAS vs DEN - Q3 07:05.00</v>
      </c>
      <c r="M4719">
        <v>2</v>
      </c>
      <c r="N4719">
        <v>-7</v>
      </c>
      <c r="O4719">
        <v>15</v>
      </c>
      <c r="P4719">
        <v>-7</v>
      </c>
      <c r="Q4719">
        <v>15</v>
      </c>
      <c r="R4719" t="s">
        <v>21</v>
      </c>
      <c r="S4719" t="s">
        <v>21</v>
      </c>
    </row>
    <row r="4720" spans="1:19" hidden="1" x14ac:dyDescent="0.25">
      <c r="A4720">
        <v>21801098</v>
      </c>
      <c r="B4720" t="s">
        <v>18</v>
      </c>
      <c r="C4720" t="s">
        <v>22</v>
      </c>
      <c r="D4720">
        <v>16</v>
      </c>
      <c r="E4720">
        <v>9</v>
      </c>
      <c r="F4720">
        <v>7</v>
      </c>
      <c r="G4720">
        <v>1</v>
      </c>
      <c r="H4720" s="1">
        <v>4.9537037037037041E-3</v>
      </c>
      <c r="I4720">
        <v>2018</v>
      </c>
      <c r="J4720" t="s">
        <v>48</v>
      </c>
      <c r="K4720" s="2" t="str">
        <f>HYPERLINK("https://www.nba.com/stats/events?CFID=&amp;CFPARAMS=&amp;GameEventID=58&amp;GameID=0021801098&amp;Season=2018-19&amp;flag=1&amp;title=Leonard%202'%20Driving%20Layup%20(2%20PTS)%20(Siakam%202%20AST)", "Leonard 2' Driving Layup (2 PTS) (Siakam 2 AST)")</f>
        <v>Leonard 2' Driving Layup (2 PTS) (Siakam 2 AST)</v>
      </c>
      <c r="L4720" s="2" t="str">
        <f>HYPERLINK("https://www.nba.com/game/...-vs-...-0021801098/play-by-play?watchFullGame=true", "TOR vs CHA - Q1 07:08.00")</f>
        <v>TOR vs CHA - Q1 07:08.00</v>
      </c>
      <c r="M4720">
        <v>2</v>
      </c>
      <c r="N4720">
        <v>15</v>
      </c>
      <c r="O4720">
        <v>8</v>
      </c>
      <c r="P4720">
        <v>15</v>
      </c>
      <c r="Q4720">
        <v>8</v>
      </c>
      <c r="R4720" t="s">
        <v>21</v>
      </c>
      <c r="S4720" t="s">
        <v>21</v>
      </c>
    </row>
    <row r="4721" spans="1:19" hidden="1" x14ac:dyDescent="0.25">
      <c r="A4721">
        <v>21500013</v>
      </c>
      <c r="B4721" t="s">
        <v>18</v>
      </c>
      <c r="C4721" t="s">
        <v>32</v>
      </c>
      <c r="D4721">
        <v>95</v>
      </c>
      <c r="E4721">
        <v>90</v>
      </c>
      <c r="F4721">
        <v>5</v>
      </c>
      <c r="G4721">
        <v>4</v>
      </c>
      <c r="H4721" s="1">
        <v>4.9652777777777777E-3</v>
      </c>
      <c r="I4721">
        <v>2015</v>
      </c>
      <c r="J4721" t="s">
        <v>20</v>
      </c>
      <c r="K4721" s="2" t="str">
        <f>HYPERLINK("https://www.nba.com/stats/events?CFID=&amp;CFPARAMS=&amp;GameEventID=456&amp;GameID=0021500013&amp;Season=2015-16&amp;flag=1&amp;title=Leonard%202'%20Alley%20Oop%20Layup%20(25%20PTS)%20(West%201%20AST)", "Leonard 2' Alley Oop Layup (25 PTS) (West 1 AST)")</f>
        <v>Leonard 2' Alley Oop Layup (25 PTS) (West 1 AST)</v>
      </c>
      <c r="L4721" s="2" t="str">
        <f>HYPERLINK("https://www.nba.com/game/...-vs-...-0021500013/play-by-play?watchFullGame=true", "SAS vs OKC - Q4 07:09.00")</f>
        <v>SAS vs OKC - Q4 07:09.00</v>
      </c>
      <c r="M4721">
        <v>2</v>
      </c>
      <c r="N4721">
        <v>17</v>
      </c>
      <c r="O4721">
        <v>-5</v>
      </c>
      <c r="P4721">
        <v>17</v>
      </c>
      <c r="Q4721">
        <v>-5</v>
      </c>
      <c r="R4721" t="s">
        <v>21</v>
      </c>
      <c r="S4721" t="s">
        <v>21</v>
      </c>
    </row>
    <row r="4722" spans="1:19" hidden="1" x14ac:dyDescent="0.25">
      <c r="A4722">
        <v>41800214</v>
      </c>
      <c r="B4722" t="s">
        <v>18</v>
      </c>
      <c r="C4722" t="s">
        <v>27</v>
      </c>
      <c r="D4722">
        <v>13</v>
      </c>
      <c r="E4722">
        <v>11</v>
      </c>
      <c r="F4722">
        <v>2</v>
      </c>
      <c r="G4722">
        <v>1</v>
      </c>
      <c r="H4722" s="1">
        <v>4.9884259259259257E-3</v>
      </c>
      <c r="I4722" t="s">
        <v>60</v>
      </c>
      <c r="J4722" t="s">
        <v>48</v>
      </c>
      <c r="K4722" s="2" t="str">
        <f>HYPERLINK("https://www.nba.com/stats/events?CFID=&amp;CFPARAMS=&amp;GameEventID=50&amp;GameID=0041800214&amp;Season=2018-19&amp;flag=1&amp;title=Leonard%202'%20Finger%20Roll%20Layup%20(4%20PTS)%20(Lowry%202%20AST)", "Leonard 2' Finger Roll Layup (4 PTS) (Lowry 2 AST)")</f>
        <v>Leonard 2' Finger Roll Layup (4 PTS) (Lowry 2 AST)</v>
      </c>
      <c r="L4722" s="2" t="str">
        <f>HYPERLINK("https://www.nba.com/game/...-vs-...-0041800214/play-by-play?watchFullGame=true", "TOR vs PHI - Q1 07:11.00")</f>
        <v>TOR vs PHI - Q1 07:11.00</v>
      </c>
      <c r="M4722">
        <v>2</v>
      </c>
      <c r="N4722">
        <v>13</v>
      </c>
      <c r="O4722">
        <v>14</v>
      </c>
      <c r="P4722">
        <v>13</v>
      </c>
      <c r="Q4722">
        <v>14</v>
      </c>
      <c r="R4722" t="s">
        <v>21</v>
      </c>
      <c r="S4722" t="s">
        <v>21</v>
      </c>
    </row>
    <row r="4723" spans="1:19" hidden="1" x14ac:dyDescent="0.25">
      <c r="A4723">
        <v>21500644</v>
      </c>
      <c r="B4723" t="s">
        <v>18</v>
      </c>
      <c r="C4723" t="s">
        <v>22</v>
      </c>
      <c r="D4723">
        <v>64</v>
      </c>
      <c r="E4723">
        <v>55</v>
      </c>
      <c r="F4723">
        <v>9</v>
      </c>
      <c r="G4723">
        <v>3</v>
      </c>
      <c r="H4723" s="1">
        <v>5.0231481481481481E-3</v>
      </c>
      <c r="I4723">
        <v>2015</v>
      </c>
      <c r="J4723" t="s">
        <v>20</v>
      </c>
      <c r="K4723" s="2" t="str">
        <f>HYPERLINK("https://www.nba.com/stats/events?CFID=&amp;CFPARAMS=&amp;GameEventID=296&amp;GameID=0021500644&amp;Season=2015-16&amp;flag=1&amp;title=Leonard%202'%20Driving%20Layup%20(18%20PTS)", "Leonard 2' Driving Layup (18 PTS)")</f>
        <v>Leonard 2' Driving Layup (18 PTS)</v>
      </c>
      <c r="L4723" s="2" t="str">
        <f>HYPERLINK("https://www.nba.com/game/...-vs-...-0021500644/play-by-play?watchFullGame=true", "SAS vs PHX - Q3 07:14.00")</f>
        <v>SAS vs PHX - Q3 07:14.00</v>
      </c>
      <c r="M4723">
        <v>2</v>
      </c>
      <c r="N4723">
        <v>-2</v>
      </c>
      <c r="O4723">
        <v>21</v>
      </c>
      <c r="P4723">
        <v>-2</v>
      </c>
      <c r="Q4723">
        <v>21</v>
      </c>
      <c r="R4723" t="s">
        <v>21</v>
      </c>
      <c r="S4723" t="s">
        <v>21</v>
      </c>
    </row>
    <row r="4724" spans="1:19" hidden="1" x14ac:dyDescent="0.25">
      <c r="A4724">
        <v>21500207</v>
      </c>
      <c r="B4724" t="s">
        <v>18</v>
      </c>
      <c r="C4724" t="s">
        <v>24</v>
      </c>
      <c r="D4724">
        <v>53</v>
      </c>
      <c r="E4724">
        <v>41</v>
      </c>
      <c r="F4724">
        <v>12</v>
      </c>
      <c r="G4724">
        <v>3</v>
      </c>
      <c r="H4724" s="1">
        <v>5.0578703703703706E-3</v>
      </c>
      <c r="I4724">
        <v>2015</v>
      </c>
      <c r="J4724" t="s">
        <v>20</v>
      </c>
      <c r="K4724" s="2" t="str">
        <f>HYPERLINK("https://www.nba.com/stats/events?CFID=&amp;CFPARAMS=&amp;GameEventID=283&amp;GameID=0021500207&amp;Season=2015-16&amp;flag=1&amp;title=Leonard%202'%20Layup%20(17%20PTS)%20(Green%204%20AST)", "Leonard 2' Layup (17 PTS) (Green 4 AST)")</f>
        <v>Leonard 2' Layup (17 PTS) (Green 4 AST)</v>
      </c>
      <c r="L4724" s="2" t="str">
        <f>HYPERLINK("https://www.nba.com/game/...-vs-...-0021500207/play-by-play?watchFullGame=true", "SAS vs PHX - Q3 07:17.00")</f>
        <v>SAS vs PHX - Q3 07:17.00</v>
      </c>
      <c r="M4724">
        <v>2</v>
      </c>
      <c r="N4724">
        <v>17</v>
      </c>
      <c r="O4724">
        <v>7</v>
      </c>
      <c r="P4724">
        <v>17</v>
      </c>
      <c r="Q4724">
        <v>7</v>
      </c>
      <c r="R4724" t="s">
        <v>21</v>
      </c>
      <c r="S4724" t="s">
        <v>21</v>
      </c>
    </row>
    <row r="4725" spans="1:19" hidden="1" x14ac:dyDescent="0.25">
      <c r="A4725">
        <v>41800215</v>
      </c>
      <c r="B4725" t="s">
        <v>18</v>
      </c>
      <c r="C4725" t="s">
        <v>25</v>
      </c>
      <c r="D4725">
        <v>92</v>
      </c>
      <c r="E4725">
        <v>70</v>
      </c>
      <c r="F4725">
        <v>22</v>
      </c>
      <c r="G4725">
        <v>3</v>
      </c>
      <c r="H4725" s="1">
        <v>4.7569444444444444E-4</v>
      </c>
      <c r="I4725" t="s">
        <v>60</v>
      </c>
      <c r="J4725" t="s">
        <v>48</v>
      </c>
      <c r="K4725" s="2" t="str">
        <f>HYPERLINK("https://www.nba.com/stats/events?CFID=&amp;CFPARAMS=&amp;GameEventID=497&amp;GameID=0041800215&amp;Season=2018-19&amp;flag=1&amp;title=Leonard%201'%20Driving%20Dunk%20(19%20PTS)", "Leonard 1' Driving Dunk (19 PTS)")</f>
        <v>Leonard 1' Driving Dunk (19 PTS)</v>
      </c>
      <c r="L4725" s="2" t="str">
        <f>HYPERLINK("https://www.nba.com/game/...-vs-...-0041800215/play-by-play?watchFullGame=true", "TOR vs PHI - Q3 00:41.10")</f>
        <v>TOR vs PHI - Q3 00:41.10</v>
      </c>
      <c r="M4725">
        <v>1</v>
      </c>
      <c r="N4725">
        <v>-5</v>
      </c>
      <c r="O4725">
        <v>11</v>
      </c>
      <c r="P4725">
        <v>-5</v>
      </c>
      <c r="Q4725">
        <v>11</v>
      </c>
      <c r="R4725" t="s">
        <v>21</v>
      </c>
      <c r="S4725" t="s">
        <v>21</v>
      </c>
    </row>
    <row r="4726" spans="1:19" hidden="1" x14ac:dyDescent="0.25">
      <c r="A4726">
        <v>41500235</v>
      </c>
      <c r="B4726" t="s">
        <v>18</v>
      </c>
      <c r="C4726" t="s">
        <v>51</v>
      </c>
      <c r="D4726">
        <v>26</v>
      </c>
      <c r="E4726">
        <v>29</v>
      </c>
      <c r="F4726">
        <v>3</v>
      </c>
      <c r="G4726">
        <v>2</v>
      </c>
      <c r="H4726" s="1">
        <v>5.185185185185185E-3</v>
      </c>
      <c r="I4726" t="s">
        <v>57</v>
      </c>
      <c r="J4726" t="s">
        <v>20</v>
      </c>
      <c r="K4726" s="2" t="str">
        <f>HYPERLINK("https://www.nba.com/stats/events?CFID=&amp;CFPARAMS=&amp;GameEventID=172&amp;GameID=0041500235&amp;Season=2015-16&amp;flag=1&amp;title=Leonard%202'%20Running%20Layup%20(10%20PTS)%20(Green%201%20AST)", "Leonard 2' Running Layup (10 PTS) (Green 1 AST)")</f>
        <v>Leonard 2' Running Layup (10 PTS) (Green 1 AST)</v>
      </c>
      <c r="L4726" s="2" t="str">
        <f>HYPERLINK("https://www.nba.com/game/...-vs-...-0041500235/play-by-play?watchFullGame=true", "SAS vs OKC - Q2 07:28.00")</f>
        <v>SAS vs OKC - Q2 07:28.00</v>
      </c>
      <c r="M4726">
        <v>2</v>
      </c>
      <c r="N4726">
        <v>-1</v>
      </c>
      <c r="O4726">
        <v>16</v>
      </c>
      <c r="P4726">
        <v>-1</v>
      </c>
      <c r="Q4726">
        <v>16</v>
      </c>
      <c r="R4726" t="s">
        <v>21</v>
      </c>
      <c r="S4726" t="s">
        <v>21</v>
      </c>
    </row>
    <row r="4727" spans="1:19" hidden="1" x14ac:dyDescent="0.25">
      <c r="A4727">
        <v>21801195</v>
      </c>
      <c r="B4727" t="s">
        <v>18</v>
      </c>
      <c r="C4727" t="s">
        <v>24</v>
      </c>
      <c r="D4727">
        <v>59</v>
      </c>
      <c r="E4727">
        <v>65</v>
      </c>
      <c r="F4727">
        <v>6</v>
      </c>
      <c r="G4727">
        <v>3</v>
      </c>
      <c r="H4727" s="1">
        <v>5.2430555555555555E-3</v>
      </c>
      <c r="I4727">
        <v>2018</v>
      </c>
      <c r="J4727" t="s">
        <v>48</v>
      </c>
      <c r="K4727" s="2" t="str">
        <f>HYPERLINK("https://www.nba.com/stats/events?CFID=&amp;CFPARAMS=&amp;GameEventID=358&amp;GameID=0021801195&amp;Season=2018-19&amp;flag=1&amp;title=Leonard%202'%20Layup%20(8%20PTS)", "Leonard 2' Layup (8 PTS)")</f>
        <v>Leonard 2' Layup (8 PTS)</v>
      </c>
      <c r="L4727" s="2" t="str">
        <f>HYPERLINK("https://www.nba.com/game/...-vs-...-0021801195/play-by-play?watchFullGame=true", "TOR vs MIA - Q3 07:33.00")</f>
        <v>TOR vs MIA - Q3 07:33.00</v>
      </c>
      <c r="M4727">
        <v>2</v>
      </c>
      <c r="N4727">
        <v>13</v>
      </c>
      <c r="O4727">
        <v>10</v>
      </c>
      <c r="P4727">
        <v>13</v>
      </c>
      <c r="Q4727">
        <v>10</v>
      </c>
      <c r="R4727" t="s">
        <v>21</v>
      </c>
      <c r="S4727" t="s">
        <v>21</v>
      </c>
    </row>
    <row r="4728" spans="1:19" hidden="1" x14ac:dyDescent="0.25">
      <c r="A4728">
        <v>41800302</v>
      </c>
      <c r="B4728" t="s">
        <v>18</v>
      </c>
      <c r="C4728" t="s">
        <v>51</v>
      </c>
      <c r="D4728">
        <v>7</v>
      </c>
      <c r="E4728">
        <v>14</v>
      </c>
      <c r="F4728">
        <v>7</v>
      </c>
      <c r="G4728">
        <v>1</v>
      </c>
      <c r="H4728" s="1">
        <v>5.2430555555555555E-3</v>
      </c>
      <c r="I4728" t="s">
        <v>60</v>
      </c>
      <c r="J4728" t="s">
        <v>48</v>
      </c>
      <c r="K4728" s="2" t="str">
        <f>HYPERLINK("https://www.nba.com/stats/events?CFID=&amp;CFPARAMS=&amp;GameEventID=55&amp;GameID=0041800302&amp;Season=2018-19&amp;flag=1&amp;title=Leonard%202'%20Running%20Layup%20(2%20PTS)", "Leonard 2' Running Layup (2 PTS)")</f>
        <v>Leonard 2' Running Layup (2 PTS)</v>
      </c>
      <c r="L4728" s="2" t="str">
        <f>HYPERLINK("https://www.nba.com/game/...-vs-...-0041800302/play-by-play?watchFullGame=true", "TOR vs MIL - Q1 07:33.00")</f>
        <v>TOR vs MIL - Q1 07:33.00</v>
      </c>
      <c r="M4728">
        <v>2</v>
      </c>
      <c r="N4728">
        <v>17</v>
      </c>
      <c r="O4728">
        <v>17</v>
      </c>
      <c r="P4728">
        <v>17</v>
      </c>
      <c r="Q4728">
        <v>17</v>
      </c>
      <c r="R4728" t="s">
        <v>21</v>
      </c>
      <c r="S4728" t="s">
        <v>21</v>
      </c>
    </row>
    <row r="4729" spans="1:19" hidden="1" x14ac:dyDescent="0.25">
      <c r="A4729">
        <v>21300181</v>
      </c>
      <c r="B4729" t="s">
        <v>18</v>
      </c>
      <c r="C4729" t="s">
        <v>24</v>
      </c>
      <c r="D4729">
        <v>57</v>
      </c>
      <c r="E4729">
        <v>45</v>
      </c>
      <c r="F4729">
        <v>12</v>
      </c>
      <c r="G4729">
        <v>3</v>
      </c>
      <c r="H4729" s="1">
        <v>5.2546296296296299E-3</v>
      </c>
      <c r="I4729">
        <v>2013</v>
      </c>
      <c r="J4729" t="s">
        <v>20</v>
      </c>
      <c r="K4729" s="2" t="str">
        <f>HYPERLINK("https://www.nba.com/stats/events?CFID=&amp;CFPARAMS=&amp;GameEventID=253&amp;GameID=0021300181&amp;Season=2013-14&amp;flag=1&amp;title=Leonard%202'%20Layup%20(10%20PTS)", "Leonard 2' Layup (10 PTS)")</f>
        <v>Leonard 2' Layup (10 PTS)</v>
      </c>
      <c r="L4729" s="2" t="str">
        <f>HYPERLINK("https://www.nba.com/game/...-vs-...-0021300181/play-by-play?watchFullGame=true", "SAS vs MEM - Q3 07:34.00")</f>
        <v>SAS vs MEM - Q3 07:34.00</v>
      </c>
      <c r="M4729">
        <v>2</v>
      </c>
      <c r="N4729">
        <v>-13</v>
      </c>
      <c r="O4729">
        <v>11</v>
      </c>
      <c r="P4729">
        <v>-13</v>
      </c>
      <c r="Q4729">
        <v>11</v>
      </c>
      <c r="R4729" t="s">
        <v>21</v>
      </c>
      <c r="S4729" t="s">
        <v>21</v>
      </c>
    </row>
    <row r="4730" spans="1:19" hidden="1" x14ac:dyDescent="0.25">
      <c r="A4730">
        <v>41200232</v>
      </c>
      <c r="B4730" t="s">
        <v>18</v>
      </c>
      <c r="C4730" t="s">
        <v>28</v>
      </c>
      <c r="D4730">
        <v>10</v>
      </c>
      <c r="E4730">
        <v>10</v>
      </c>
      <c r="F4730">
        <v>0</v>
      </c>
      <c r="G4730">
        <v>1</v>
      </c>
      <c r="H4730" s="1">
        <v>5.2777777777777779E-3</v>
      </c>
      <c r="I4730" t="s">
        <v>53</v>
      </c>
      <c r="J4730" t="s">
        <v>20</v>
      </c>
      <c r="K4730" s="2" t="str">
        <f>HYPERLINK("https://www.nba.com/stats/events?CFID=&amp;CFPARAMS=&amp;GameEventID=39&amp;GameID=0041200232&amp;Season=2012-13&amp;flag=1&amp;title=Leonard%202'%20Tip%20Shot%20(2%20PTS)", "Leonard 2' Tip Shot (2 PTS)")</f>
        <v>Leonard 2' Tip Shot (2 PTS)</v>
      </c>
      <c r="L4730" s="2" t="str">
        <f>HYPERLINK("https://www.nba.com/game/...-vs-...-0041200232/play-by-play?watchFullGame=true", "SAS vs GSW - Q1 07:36.00")</f>
        <v>SAS vs GSW - Q1 07:36.00</v>
      </c>
      <c r="M4730">
        <v>2</v>
      </c>
      <c r="N4730">
        <v>9</v>
      </c>
      <c r="O4730">
        <v>12</v>
      </c>
      <c r="P4730">
        <v>9</v>
      </c>
      <c r="Q4730">
        <v>12</v>
      </c>
      <c r="R4730" t="s">
        <v>21</v>
      </c>
      <c r="S4730" t="s">
        <v>21</v>
      </c>
    </row>
    <row r="4731" spans="1:19" hidden="1" x14ac:dyDescent="0.25">
      <c r="A4731">
        <v>41300223</v>
      </c>
      <c r="B4731" t="s">
        <v>18</v>
      </c>
      <c r="C4731" t="s">
        <v>22</v>
      </c>
      <c r="D4731">
        <v>102</v>
      </c>
      <c r="E4731">
        <v>81</v>
      </c>
      <c r="F4731">
        <v>21</v>
      </c>
      <c r="G4731">
        <v>4</v>
      </c>
      <c r="H4731" s="1">
        <v>5.3587962962962964E-3</v>
      </c>
      <c r="I4731" t="s">
        <v>55</v>
      </c>
      <c r="J4731" t="s">
        <v>20</v>
      </c>
      <c r="K4731" s="2" t="str">
        <f>HYPERLINK("https://www.nba.com/stats/events?CFID=&amp;CFPARAMS=&amp;GameEventID=446&amp;GameID=0041300223&amp;Season=2013-14&amp;flag=1&amp;title=Leonard%202'%20Driving%20Layup%20(10%20PTS)%20(Duncan%204%20AST)", "Leonard 2' Driving Layup (10 PTS) (Duncan 4 AST)")</f>
        <v>Leonard 2' Driving Layup (10 PTS) (Duncan 4 AST)</v>
      </c>
      <c r="L4731" s="2" t="str">
        <f>HYPERLINK("https://www.nba.com/game/...-vs-...-0041300223/play-by-play?watchFullGame=true", "SAS vs POR - Q4 07:43.00")</f>
        <v>SAS vs POR - Q4 07:43.00</v>
      </c>
      <c r="M4731">
        <v>2</v>
      </c>
      <c r="N4731">
        <v>17</v>
      </c>
      <c r="O4731">
        <v>1</v>
      </c>
      <c r="P4731">
        <v>17</v>
      </c>
      <c r="Q4731">
        <v>1</v>
      </c>
      <c r="R4731" t="s">
        <v>21</v>
      </c>
      <c r="S4731" t="s">
        <v>21</v>
      </c>
    </row>
    <row r="4732" spans="1:19" hidden="1" x14ac:dyDescent="0.25">
      <c r="A4732">
        <v>21500532</v>
      </c>
      <c r="B4732" t="s">
        <v>18</v>
      </c>
      <c r="C4732" t="s">
        <v>24</v>
      </c>
      <c r="D4732">
        <v>15</v>
      </c>
      <c r="E4732">
        <v>8</v>
      </c>
      <c r="F4732">
        <v>7</v>
      </c>
      <c r="G4732">
        <v>1</v>
      </c>
      <c r="H4732" s="1">
        <v>5.4050925925925924E-3</v>
      </c>
      <c r="I4732">
        <v>2015</v>
      </c>
      <c r="J4732" t="s">
        <v>20</v>
      </c>
      <c r="K4732" s="2" t="str">
        <f>HYPERLINK("https://www.nba.com/stats/events?CFID=&amp;CFPARAMS=&amp;GameEventID=28&amp;GameID=0021500532&amp;Season=2015-16&amp;flag=1&amp;title=Leonard%202'%20Layup%20(6%20PTS)%20(Duncan%202%20AST)", "Leonard 2' Layup (6 PTS) (Duncan 2 AST)")</f>
        <v>Leonard 2' Layup (6 PTS) (Duncan 2 AST)</v>
      </c>
      <c r="L4732" s="2" t="str">
        <f>HYPERLINK("https://www.nba.com/game/...-vs-...-0021500532/play-by-play?watchFullGame=true", "SAS vs UTA - Q1 07:47.00")</f>
        <v>SAS vs UTA - Q1 07:47.00</v>
      </c>
      <c r="M4732">
        <v>2</v>
      </c>
      <c r="N4732">
        <v>-14</v>
      </c>
      <c r="O4732">
        <v>7</v>
      </c>
      <c r="P4732">
        <v>-14</v>
      </c>
      <c r="Q4732">
        <v>7</v>
      </c>
      <c r="R4732" t="s">
        <v>21</v>
      </c>
      <c r="S4732" t="s">
        <v>21</v>
      </c>
    </row>
    <row r="4733" spans="1:19" hidden="1" x14ac:dyDescent="0.25">
      <c r="A4733">
        <v>21400139</v>
      </c>
      <c r="B4733" t="s">
        <v>18</v>
      </c>
      <c r="C4733" t="s">
        <v>22</v>
      </c>
      <c r="D4733">
        <v>72</v>
      </c>
      <c r="E4733">
        <v>78</v>
      </c>
      <c r="F4733">
        <v>6</v>
      </c>
      <c r="G4733">
        <v>4</v>
      </c>
      <c r="H4733" s="1">
        <v>5.4050925925925924E-3</v>
      </c>
      <c r="I4733">
        <v>2014</v>
      </c>
      <c r="J4733" t="s">
        <v>20</v>
      </c>
      <c r="K4733" s="2" t="str">
        <f>HYPERLINK("https://www.nba.com/stats/events?CFID=&amp;CFPARAMS=&amp;GameEventID=410&amp;GameID=0021400139&amp;Season=2014-15&amp;flag=1&amp;title=Leonard%202'%20Driving%20Layup%20(13%20PTS)%20(Ginobili%205%20AST)", "Leonard 2' Driving Layup (13 PTS) (Ginobili 5 AST)")</f>
        <v>Leonard 2' Driving Layup (13 PTS) (Ginobili 5 AST)</v>
      </c>
      <c r="L4733" s="2" t="str">
        <f>HYPERLINK("https://www.nba.com/game/...-vs-...-0021400139/play-by-play?watchFullGame=true", "SAS vs SAC - Q4 07:47.00")</f>
        <v>SAS vs SAC - Q4 07:47.00</v>
      </c>
      <c r="M4733">
        <v>2</v>
      </c>
      <c r="N4733">
        <v>6</v>
      </c>
      <c r="O4733">
        <v>14</v>
      </c>
      <c r="P4733">
        <v>6</v>
      </c>
      <c r="Q4733">
        <v>14</v>
      </c>
      <c r="R4733" t="s">
        <v>21</v>
      </c>
      <c r="S4733" t="s">
        <v>21</v>
      </c>
    </row>
    <row r="4734" spans="1:19" hidden="1" x14ac:dyDescent="0.25">
      <c r="A4734">
        <v>21300859</v>
      </c>
      <c r="B4734" t="s">
        <v>18</v>
      </c>
      <c r="C4734" t="s">
        <v>23</v>
      </c>
      <c r="D4734">
        <v>118</v>
      </c>
      <c r="E4734">
        <v>103</v>
      </c>
      <c r="F4734">
        <v>15</v>
      </c>
      <c r="G4734">
        <v>4</v>
      </c>
      <c r="H4734" s="1">
        <v>1.3773148148148147E-3</v>
      </c>
      <c r="I4734">
        <v>2013</v>
      </c>
      <c r="J4734" t="s">
        <v>20</v>
      </c>
      <c r="K4734" s="2" t="str">
        <f>HYPERLINK("https://www.nba.com/stats/events?CFID=&amp;CFPARAMS=&amp;GameEventID=474&amp;GameID=0021300859&amp;Season=2013-14&amp;flag=1&amp;title=Leonard%201'%20Dunk%20(15%20PTS)%20(Ginobili%209%20AST)", "Leonard 1' Dunk (15 PTS) (Ginobili 9 AST)")</f>
        <v>Leonard 1' Dunk (15 PTS) (Ginobili 9 AST)</v>
      </c>
      <c r="L4734" s="2" t="str">
        <f>HYPERLINK("https://www.nba.com/game/...-vs-...-0021300859/play-by-play?watchFullGame=true", "SAS vs DET - Q4 01:59.00")</f>
        <v>SAS vs DET - Q4 01:59.00</v>
      </c>
      <c r="M4734">
        <v>1</v>
      </c>
      <c r="N4734">
        <v>-5</v>
      </c>
      <c r="O4734">
        <v>6</v>
      </c>
      <c r="P4734">
        <v>-5</v>
      </c>
      <c r="Q4734">
        <v>6</v>
      </c>
      <c r="R4734" t="s">
        <v>21</v>
      </c>
      <c r="S4734" t="s">
        <v>21</v>
      </c>
    </row>
    <row r="4735" spans="1:19" hidden="1" x14ac:dyDescent="0.25">
      <c r="A4735">
        <v>41800303</v>
      </c>
      <c r="B4735" t="s">
        <v>18</v>
      </c>
      <c r="C4735" t="s">
        <v>50</v>
      </c>
      <c r="D4735">
        <v>108</v>
      </c>
      <c r="E4735">
        <v>105</v>
      </c>
      <c r="F4735">
        <v>3</v>
      </c>
      <c r="G4735">
        <v>6</v>
      </c>
      <c r="H4735" s="1">
        <v>2.2337962962962962E-3</v>
      </c>
      <c r="I4735" t="s">
        <v>60</v>
      </c>
      <c r="J4735" t="s">
        <v>48</v>
      </c>
      <c r="K4735" s="2" t="str">
        <f>HYPERLINK("https://www.nba.com/stats/events?CFID=&amp;CFPARAMS=&amp;GameEventID=826&amp;GameID=0041800303&amp;Season=2018-19&amp;flag=1&amp;title=Leonard%201'%20Running%20Dunk%20(30%20PTS)", "Leonard 1' Running Dunk (30 PTS)")</f>
        <v>Leonard 1' Running Dunk (30 PTS)</v>
      </c>
      <c r="L4735" s="2" t="str">
        <f>HYPERLINK("https://www.nba.com/game/...-vs-...-0041800303/play-by-play?watchFullGame=true", "TOR vs MIL - Q6 03:13.00")</f>
        <v>TOR vs MIL - Q6 03:13.00</v>
      </c>
      <c r="M4735">
        <v>1</v>
      </c>
      <c r="N4735">
        <v>-5</v>
      </c>
      <c r="O4735">
        <v>4</v>
      </c>
      <c r="P4735">
        <v>-5</v>
      </c>
      <c r="Q4735">
        <v>4</v>
      </c>
      <c r="R4735" t="s">
        <v>21</v>
      </c>
      <c r="S4735" t="s">
        <v>21</v>
      </c>
    </row>
    <row r="4736" spans="1:19" hidden="1" x14ac:dyDescent="0.25">
      <c r="A4736">
        <v>21400249</v>
      </c>
      <c r="B4736" t="s">
        <v>18</v>
      </c>
      <c r="C4736" t="s">
        <v>24</v>
      </c>
      <c r="D4736">
        <v>68</v>
      </c>
      <c r="E4736">
        <v>53</v>
      </c>
      <c r="F4736">
        <v>15</v>
      </c>
      <c r="G4736">
        <v>3</v>
      </c>
      <c r="H4736" s="1">
        <v>5.6481481481481478E-3</v>
      </c>
      <c r="I4736">
        <v>2014</v>
      </c>
      <c r="J4736" t="s">
        <v>20</v>
      </c>
      <c r="K4736" s="2" t="str">
        <f>HYPERLINK("https://www.nba.com/stats/events?CFID=&amp;CFPARAMS=&amp;GameEventID=299&amp;GameID=0021400249&amp;Season=2014-15&amp;flag=1&amp;title=Leonard%202'%20Layup%20(19%20PTS)", "Leonard 2' Layup (19 PTS)")</f>
        <v>Leonard 2' Layup (19 PTS)</v>
      </c>
      <c r="L4736" s="2" t="str">
        <f>HYPERLINK("https://www.nba.com/game/...-vs-...-0021400249/play-by-play?watchFullGame=true", "SAS vs PHI - Q3 08:08.00")</f>
        <v>SAS vs PHI - Q3 08:08.00</v>
      </c>
      <c r="M4736">
        <v>2</v>
      </c>
      <c r="N4736">
        <v>0</v>
      </c>
      <c r="O4736">
        <v>22</v>
      </c>
      <c r="P4736">
        <v>0</v>
      </c>
      <c r="Q4736">
        <v>22</v>
      </c>
      <c r="R4736" t="s">
        <v>21</v>
      </c>
      <c r="S4736" t="s">
        <v>21</v>
      </c>
    </row>
    <row r="4737" spans="1:19" hidden="1" x14ac:dyDescent="0.25">
      <c r="A4737">
        <v>21400739</v>
      </c>
      <c r="B4737" t="s">
        <v>18</v>
      </c>
      <c r="C4737" t="s">
        <v>22</v>
      </c>
      <c r="D4737">
        <v>33</v>
      </c>
      <c r="E4737">
        <v>28</v>
      </c>
      <c r="F4737">
        <v>5</v>
      </c>
      <c r="G4737">
        <v>2</v>
      </c>
      <c r="H4737" s="1">
        <v>5.6712962962962967E-3</v>
      </c>
      <c r="I4737">
        <v>2014</v>
      </c>
      <c r="J4737" t="s">
        <v>20</v>
      </c>
      <c r="K4737" s="2" t="str">
        <f>HYPERLINK("https://www.nba.com/stats/events?CFID=&amp;CFPARAMS=&amp;GameEventID=143&amp;GameID=0021400739&amp;Season=2014-15&amp;flag=1&amp;title=Leonard%202'%20Driving%20Layup%20(6%20PTS)", "Leonard 2' Driving Layup (6 PTS)")</f>
        <v>Leonard 2' Driving Layup (6 PTS)</v>
      </c>
      <c r="L4737" s="2" t="str">
        <f>HYPERLINK("https://www.nba.com/game/...-vs-...-0021400739/play-by-play?watchFullGame=true", "SAS vs ORL - Q2 08:10.00")</f>
        <v>SAS vs ORL - Q2 08:10.00</v>
      </c>
      <c r="M4737">
        <v>2</v>
      </c>
      <c r="N4737">
        <v>15</v>
      </c>
      <c r="O4737">
        <v>-5</v>
      </c>
      <c r="P4737">
        <v>15</v>
      </c>
      <c r="Q4737">
        <v>-5</v>
      </c>
      <c r="R4737" t="s">
        <v>21</v>
      </c>
      <c r="S4737" t="s">
        <v>21</v>
      </c>
    </row>
    <row r="4738" spans="1:19" hidden="1" x14ac:dyDescent="0.25">
      <c r="A4738">
        <v>21300494</v>
      </c>
      <c r="B4738" t="s">
        <v>18</v>
      </c>
      <c r="C4738" t="s">
        <v>23</v>
      </c>
      <c r="D4738">
        <v>58</v>
      </c>
      <c r="E4738">
        <v>25</v>
      </c>
      <c r="F4738">
        <v>33</v>
      </c>
      <c r="G4738">
        <v>2</v>
      </c>
      <c r="H4738" s="1">
        <v>2.627314814814815E-3</v>
      </c>
      <c r="I4738">
        <v>2013</v>
      </c>
      <c r="J4738" t="s">
        <v>20</v>
      </c>
      <c r="K4738" s="2" t="str">
        <f>HYPERLINK("https://www.nba.com/stats/events?CFID=&amp;CFPARAMS=&amp;GameEventID=191&amp;GameID=0021300494&amp;Season=2013-14&amp;flag=1&amp;title=Leonard%201'%20Dunk%20(4%20PTS)%20(Green%202%20AST)", "Leonard 1' Dunk (4 PTS) (Green 2 AST)")</f>
        <v>Leonard 1' Dunk (4 PTS) (Green 2 AST)</v>
      </c>
      <c r="L4738" s="2" t="str">
        <f>HYPERLINK("https://www.nba.com/game/...-vs-...-0021300494/play-by-play?watchFullGame=true", "SAS vs LAC - Q2 03:47.00")</f>
        <v>SAS vs LAC - Q2 03:47.00</v>
      </c>
      <c r="M4738">
        <v>1</v>
      </c>
      <c r="N4738">
        <v>-5</v>
      </c>
      <c r="O4738">
        <v>1</v>
      </c>
      <c r="P4738">
        <v>-5</v>
      </c>
      <c r="Q4738">
        <v>1</v>
      </c>
      <c r="R4738" t="s">
        <v>21</v>
      </c>
      <c r="S4738" t="s">
        <v>21</v>
      </c>
    </row>
    <row r="4739" spans="1:19" hidden="1" x14ac:dyDescent="0.25">
      <c r="A4739">
        <v>21301084</v>
      </c>
      <c r="B4739" t="s">
        <v>18</v>
      </c>
      <c r="C4739" t="s">
        <v>24</v>
      </c>
      <c r="D4739">
        <v>38</v>
      </c>
      <c r="E4739">
        <v>29</v>
      </c>
      <c r="F4739">
        <v>9</v>
      </c>
      <c r="G4739">
        <v>2</v>
      </c>
      <c r="H4739" s="1">
        <v>5.7523148148148151E-3</v>
      </c>
      <c r="I4739">
        <v>2013</v>
      </c>
      <c r="J4739" t="s">
        <v>20</v>
      </c>
      <c r="K4739" s="2" t="str">
        <f>HYPERLINK("https://www.nba.com/stats/events?CFID=&amp;CFPARAMS=&amp;GameEventID=160&amp;GameID=0021301084&amp;Season=2013-14&amp;flag=1&amp;title=Leonard%202'%20Layup%20(4%20PTS)%20(Splitter%202%20AST)", "Leonard 2' Layup (4 PTS) (Splitter 2 AST)")</f>
        <v>Leonard 2' Layup (4 PTS) (Splitter 2 AST)</v>
      </c>
      <c r="L4739" s="2" t="str">
        <f>HYPERLINK("https://www.nba.com/game/...-vs-...-0021301084/play-by-play?watchFullGame=true", "SAS vs DEN - Q2 08:17.00")</f>
        <v>SAS vs DEN - Q2 08:17.00</v>
      </c>
      <c r="M4739">
        <v>2</v>
      </c>
      <c r="N4739">
        <v>-16</v>
      </c>
      <c r="O4739">
        <v>4</v>
      </c>
      <c r="P4739">
        <v>-16</v>
      </c>
      <c r="Q4739">
        <v>4</v>
      </c>
      <c r="R4739" t="s">
        <v>21</v>
      </c>
      <c r="S4739" t="s">
        <v>21</v>
      </c>
    </row>
    <row r="4740" spans="1:19" hidden="1" x14ac:dyDescent="0.25">
      <c r="A4740">
        <v>21400291</v>
      </c>
      <c r="B4740" t="s">
        <v>18</v>
      </c>
      <c r="C4740" t="s">
        <v>24</v>
      </c>
      <c r="D4740">
        <v>41</v>
      </c>
      <c r="E4740">
        <v>31</v>
      </c>
      <c r="F4740">
        <v>10</v>
      </c>
      <c r="G4740">
        <v>2</v>
      </c>
      <c r="H4740" s="1">
        <v>5.7638888888888887E-3</v>
      </c>
      <c r="I4740">
        <v>2014</v>
      </c>
      <c r="J4740" t="s">
        <v>20</v>
      </c>
      <c r="K4740" s="2" t="str">
        <f>HYPERLINK("https://www.nba.com/stats/events?CFID=&amp;CFPARAMS=&amp;GameEventID=161&amp;GameID=0021400291&amp;Season=2014-15&amp;flag=1&amp;title=Leonard%202'%20Layup%20(6%20PTS)", "Leonard 2' Layup (6 PTS)")</f>
        <v>Leonard 2' Layup (6 PTS)</v>
      </c>
      <c r="L4740" s="2" t="str">
        <f>HYPERLINK("https://www.nba.com/game/...-vs-...-0021400291/play-by-play?watchFullGame=true", "SAS vs MIN - Q2 08:18.00")</f>
        <v>SAS vs MIN - Q2 08:18.00</v>
      </c>
      <c r="M4740">
        <v>2</v>
      </c>
      <c r="N4740">
        <v>13</v>
      </c>
      <c r="O4740">
        <v>-8</v>
      </c>
      <c r="P4740">
        <v>13</v>
      </c>
      <c r="Q4740">
        <v>-8</v>
      </c>
      <c r="R4740" t="s">
        <v>21</v>
      </c>
      <c r="S4740" t="s">
        <v>21</v>
      </c>
    </row>
    <row r="4741" spans="1:19" hidden="1" x14ac:dyDescent="0.25">
      <c r="A4741">
        <v>21600003</v>
      </c>
      <c r="B4741" t="s">
        <v>18</v>
      </c>
      <c r="C4741" t="s">
        <v>22</v>
      </c>
      <c r="D4741">
        <v>10</v>
      </c>
      <c r="E4741">
        <v>4</v>
      </c>
      <c r="F4741">
        <v>6</v>
      </c>
      <c r="G4741">
        <v>1</v>
      </c>
      <c r="H4741" s="1">
        <v>5.7754629629629631E-3</v>
      </c>
      <c r="I4741">
        <v>2016</v>
      </c>
      <c r="J4741" t="s">
        <v>20</v>
      </c>
      <c r="K4741" s="2" t="str">
        <f>HYPERLINK("https://www.nba.com/stats/events?CFID=&amp;CFPARAMS=&amp;GameEventID=27&amp;GameID=0021600003&amp;Season=2016-17&amp;flag=1&amp;title=Leonard%202'%20Driving%20Layup%20(2%20PTS)%20(Parker%202%20AST)", "Leonard 2' Driving Layup (2 PTS) (Parker 2 AST)")</f>
        <v>Leonard 2' Driving Layup (2 PTS) (Parker 2 AST)</v>
      </c>
      <c r="L4741" s="2" t="str">
        <f>HYPERLINK("https://www.nba.com/game/...-vs-...-0021600003/play-by-play?watchFullGame=true", "SAS vs GSW - Q1 08:19.00")</f>
        <v>SAS vs GSW - Q1 08:19.00</v>
      </c>
      <c r="M4741">
        <v>2</v>
      </c>
      <c r="N4741">
        <v>6</v>
      </c>
      <c r="O4741">
        <v>21</v>
      </c>
      <c r="P4741">
        <v>6</v>
      </c>
      <c r="Q4741">
        <v>21</v>
      </c>
      <c r="R4741" t="s">
        <v>21</v>
      </c>
      <c r="S4741" t="s">
        <v>21</v>
      </c>
    </row>
    <row r="4742" spans="1:19" hidden="1" x14ac:dyDescent="0.25">
      <c r="A4742">
        <v>21800019</v>
      </c>
      <c r="B4742" t="s">
        <v>18</v>
      </c>
      <c r="C4742" t="s">
        <v>46</v>
      </c>
      <c r="D4742">
        <v>71</v>
      </c>
      <c r="E4742">
        <v>69</v>
      </c>
      <c r="F4742">
        <v>2</v>
      </c>
      <c r="G4742">
        <v>3</v>
      </c>
      <c r="H4742" s="1">
        <v>3.7499999999999999E-3</v>
      </c>
      <c r="I4742">
        <v>2018</v>
      </c>
      <c r="J4742" t="s">
        <v>48</v>
      </c>
      <c r="K4742" s="2" t="str">
        <f>HYPERLINK("https://www.nba.com/stats/events?CFID=&amp;CFPARAMS=&amp;GameEventID=409&amp;GameID=0021800019&amp;Season=2018-19&amp;flag=1&amp;title=Leonard%201'%20Cutting%20Dunk%20Shot%20(24%20PTS)%20(Lowry%205%20AST)", "Leonard 1' Cutting Dunk Shot (24 PTS) (Lowry 5 AST)")</f>
        <v>Leonard 1' Cutting Dunk Shot (24 PTS) (Lowry 5 AST)</v>
      </c>
      <c r="L4742" s="2" t="str">
        <f>HYPERLINK("https://www.nba.com/game/...-vs-...-0021800019/play-by-play?watchFullGame=true", "TOR vs BOS - Q3 05:24.00")</f>
        <v>TOR vs BOS - Q3 05:24.00</v>
      </c>
      <c r="M4742">
        <v>1</v>
      </c>
      <c r="N4742">
        <v>-5</v>
      </c>
      <c r="O4742">
        <v>11</v>
      </c>
      <c r="P4742">
        <v>-5</v>
      </c>
      <c r="Q4742">
        <v>11</v>
      </c>
      <c r="R4742" t="s">
        <v>21</v>
      </c>
      <c r="S4742" t="s">
        <v>21</v>
      </c>
    </row>
    <row r="4743" spans="1:19" hidden="1" x14ac:dyDescent="0.25">
      <c r="A4743">
        <v>21300859</v>
      </c>
      <c r="B4743" t="s">
        <v>18</v>
      </c>
      <c r="C4743" t="s">
        <v>28</v>
      </c>
      <c r="D4743">
        <v>10</v>
      </c>
      <c r="E4743">
        <v>7</v>
      </c>
      <c r="F4743">
        <v>3</v>
      </c>
      <c r="G4743">
        <v>1</v>
      </c>
      <c r="H4743" s="1">
        <v>5.7986111111111112E-3</v>
      </c>
      <c r="I4743">
        <v>2013</v>
      </c>
      <c r="J4743" t="s">
        <v>20</v>
      </c>
      <c r="K4743" s="2" t="str">
        <f>HYPERLINK("https://www.nba.com/stats/events?CFID=&amp;CFPARAMS=&amp;GameEventID=46&amp;GameID=0021300859&amp;Season=2013-14&amp;flag=1&amp;title=Leonard%202'%20Tip%20Shot%20(2%20PTS)", "Leonard 2' Tip Shot (2 PTS)")</f>
        <v>Leonard 2' Tip Shot (2 PTS)</v>
      </c>
      <c r="L4743" s="2" t="str">
        <f>HYPERLINK("https://www.nba.com/game/...-vs-...-0021300859/play-by-play?watchFullGame=true", "SAS vs DET - Q1 08:21.00")</f>
        <v>SAS vs DET - Q1 08:21.00</v>
      </c>
      <c r="M4743">
        <v>2</v>
      </c>
      <c r="N4743">
        <v>20</v>
      </c>
      <c r="O4743">
        <v>6</v>
      </c>
      <c r="P4743">
        <v>20</v>
      </c>
      <c r="Q4743">
        <v>6</v>
      </c>
      <c r="R4743" t="s">
        <v>21</v>
      </c>
      <c r="S4743" t="s">
        <v>21</v>
      </c>
    </row>
    <row r="4744" spans="1:19" hidden="1" x14ac:dyDescent="0.25">
      <c r="A4744">
        <v>21500040</v>
      </c>
      <c r="B4744" t="s">
        <v>18</v>
      </c>
      <c r="C4744" t="s">
        <v>22</v>
      </c>
      <c r="D4744">
        <v>3</v>
      </c>
      <c r="E4744">
        <v>2</v>
      </c>
      <c r="F4744">
        <v>1</v>
      </c>
      <c r="G4744">
        <v>1</v>
      </c>
      <c r="H4744" s="1">
        <v>5.8333333333333336E-3</v>
      </c>
      <c r="I4744">
        <v>2015</v>
      </c>
      <c r="J4744" t="s">
        <v>20</v>
      </c>
      <c r="K4744" s="2" t="str">
        <f>HYPERLINK("https://www.nba.com/stats/events?CFID=&amp;CFPARAMS=&amp;GameEventID=27&amp;GameID=0021500040&amp;Season=2015-16&amp;flag=1&amp;title=Leonard%202'%20Driving%20Layup%20(2%20PTS)%20(Aldridge%201%20AST)", "Leonard 2' Driving Layup (2 PTS) (Aldridge 1 AST)")</f>
        <v>Leonard 2' Driving Layup (2 PTS) (Aldridge 1 AST)</v>
      </c>
      <c r="L4744" s="2" t="str">
        <f>HYPERLINK("https://www.nba.com/game/...-vs-...-0021500040/play-by-play?watchFullGame=true", "SAS vs BOS - Q1 08:24.00")</f>
        <v>SAS vs BOS - Q1 08:24.00</v>
      </c>
      <c r="M4744">
        <v>2</v>
      </c>
      <c r="N4744">
        <v>19</v>
      </c>
      <c r="O4744">
        <v>-6</v>
      </c>
      <c r="P4744">
        <v>19</v>
      </c>
      <c r="Q4744">
        <v>-6</v>
      </c>
      <c r="R4744" t="s">
        <v>21</v>
      </c>
      <c r="S4744" t="s">
        <v>21</v>
      </c>
    </row>
    <row r="4745" spans="1:19" hidden="1" x14ac:dyDescent="0.25">
      <c r="A4745">
        <v>41500235</v>
      </c>
      <c r="B4745" t="s">
        <v>18</v>
      </c>
      <c r="C4745" t="s">
        <v>24</v>
      </c>
      <c r="D4745">
        <v>24</v>
      </c>
      <c r="E4745">
        <v>26</v>
      </c>
      <c r="F4745">
        <v>2</v>
      </c>
      <c r="G4745">
        <v>2</v>
      </c>
      <c r="H4745" s="1">
        <v>5.8449074074074072E-3</v>
      </c>
      <c r="I4745" t="s">
        <v>57</v>
      </c>
      <c r="J4745" t="s">
        <v>20</v>
      </c>
      <c r="K4745" s="2" t="str">
        <f>HYPERLINK("https://www.nba.com/stats/events?CFID=&amp;CFPARAMS=&amp;GameEventID=156&amp;GameID=0041500235&amp;Season=2015-16&amp;flag=1&amp;title=Leonard%202'%20Layup%20(8%20PTS)", "Leonard 2' Layup (8 PTS)")</f>
        <v>Leonard 2' Layup (8 PTS)</v>
      </c>
      <c r="L4745" s="2" t="str">
        <f>HYPERLINK("https://www.nba.com/game/...-vs-...-0041500235/play-by-play?watchFullGame=true", "SAS vs OKC - Q2 08:25.00")</f>
        <v>SAS vs OKC - Q2 08:25.00</v>
      </c>
      <c r="M4745">
        <v>2</v>
      </c>
      <c r="N4745">
        <v>-4</v>
      </c>
      <c r="O4745">
        <v>16</v>
      </c>
      <c r="P4745">
        <v>-4</v>
      </c>
      <c r="Q4745">
        <v>16</v>
      </c>
      <c r="R4745" t="s">
        <v>21</v>
      </c>
      <c r="S4745" t="s">
        <v>21</v>
      </c>
    </row>
    <row r="4746" spans="1:19" hidden="1" x14ac:dyDescent="0.25">
      <c r="A4746">
        <v>41800112</v>
      </c>
      <c r="B4746" t="s">
        <v>18</v>
      </c>
      <c r="C4746" t="s">
        <v>24</v>
      </c>
      <c r="D4746">
        <v>36</v>
      </c>
      <c r="E4746">
        <v>23</v>
      </c>
      <c r="F4746">
        <v>13</v>
      </c>
      <c r="G4746">
        <v>2</v>
      </c>
      <c r="H4746" s="1">
        <v>5.8796296296296296E-3</v>
      </c>
      <c r="I4746" t="s">
        <v>60</v>
      </c>
      <c r="J4746" t="s">
        <v>48</v>
      </c>
      <c r="K4746" s="2" t="str">
        <f>HYPERLINK("https://www.nba.com/stats/events?CFID=&amp;CFPARAMS=&amp;GameEventID=196&amp;GameID=0041800112&amp;Season=2018-19&amp;flag=1&amp;title=Leonard%202'%20Layup%20(14%20PTS)", "Leonard 2' Layup (14 PTS)")</f>
        <v>Leonard 2' Layup (14 PTS)</v>
      </c>
      <c r="L4746" s="2" t="str">
        <f>HYPERLINK("https://www.nba.com/game/...-vs-...-0041800112/play-by-play?watchFullGame=true", "TOR vs ORL - Q2 08:28.00")</f>
        <v>TOR vs ORL - Q2 08:28.00</v>
      </c>
      <c r="M4746">
        <v>2</v>
      </c>
      <c r="N4746">
        <v>-11</v>
      </c>
      <c r="O4746">
        <v>11</v>
      </c>
      <c r="P4746">
        <v>-11</v>
      </c>
      <c r="Q4746">
        <v>11</v>
      </c>
      <c r="R4746" t="s">
        <v>21</v>
      </c>
      <c r="S4746" t="s">
        <v>21</v>
      </c>
    </row>
    <row r="4747" spans="1:19" hidden="1" x14ac:dyDescent="0.25">
      <c r="A4747">
        <v>21400637</v>
      </c>
      <c r="B4747" t="s">
        <v>18</v>
      </c>
      <c r="C4747" t="s">
        <v>24</v>
      </c>
      <c r="D4747">
        <v>26</v>
      </c>
      <c r="E4747">
        <v>30</v>
      </c>
      <c r="F4747">
        <v>4</v>
      </c>
      <c r="G4747">
        <v>2</v>
      </c>
      <c r="H4747" s="1">
        <v>5.8796296296296296E-3</v>
      </c>
      <c r="I4747">
        <v>2014</v>
      </c>
      <c r="J4747" t="s">
        <v>20</v>
      </c>
      <c r="K4747" s="2" t="str">
        <f>HYPERLINK("https://www.nba.com/stats/events?CFID=&amp;CFPARAMS=&amp;GameEventID=147&amp;GameID=0021400637&amp;Season=2014-15&amp;flag=1&amp;title=Leonard%202'%20Layup%20(4%20PTS)%20(Diaw%201%20AST)", "Leonard 2' Layup (4 PTS) (Diaw 1 AST)")</f>
        <v>Leonard 2' Layup (4 PTS) (Diaw 1 AST)</v>
      </c>
      <c r="L4747" s="2" t="str">
        <f>HYPERLINK("https://www.nba.com/game/...-vs-...-0021400637/play-by-play?watchFullGame=true", "SAS vs CHI - Q2 08:28.00")</f>
        <v>SAS vs CHI - Q2 08:28.00</v>
      </c>
      <c r="M4747">
        <v>2</v>
      </c>
      <c r="N4747">
        <v>9</v>
      </c>
      <c r="O4747">
        <v>19</v>
      </c>
      <c r="P4747">
        <v>9</v>
      </c>
      <c r="Q4747">
        <v>19</v>
      </c>
      <c r="R4747" t="s">
        <v>21</v>
      </c>
      <c r="S4747" t="s">
        <v>21</v>
      </c>
    </row>
    <row r="4748" spans="1:19" hidden="1" x14ac:dyDescent="0.25">
      <c r="A4748">
        <v>21800639</v>
      </c>
      <c r="B4748" t="s">
        <v>18</v>
      </c>
      <c r="C4748" t="s">
        <v>44</v>
      </c>
      <c r="D4748">
        <v>13</v>
      </c>
      <c r="E4748">
        <v>5</v>
      </c>
      <c r="F4748">
        <v>8</v>
      </c>
      <c r="G4748">
        <v>1</v>
      </c>
      <c r="H4748" s="1">
        <v>5.9027777777777776E-3</v>
      </c>
      <c r="I4748">
        <v>2018</v>
      </c>
      <c r="J4748" t="s">
        <v>48</v>
      </c>
      <c r="K4748" s="2" t="str">
        <f>HYPERLINK("https://www.nba.com/stats/events?CFID=&amp;CFPARAMS=&amp;GameEventID=43&amp;GameID=0021800639&amp;Season=2018-19&amp;flag=1&amp;title=Leonard%202'%20Driving%20Reverse%20Layup%20(5%20PTS)", "Leonard 2' Driving Reverse Layup (5 PTS)")</f>
        <v>Leonard 2' Driving Reverse Layup (5 PTS)</v>
      </c>
      <c r="L4748" s="2" t="str">
        <f>HYPERLINK("https://www.nba.com/game/...-vs-...-0021800639/play-by-play?watchFullGame=true", "TOR vs WAS - Q1 08:30.00")</f>
        <v>TOR vs WAS - Q1 08:30.00</v>
      </c>
      <c r="M4748">
        <v>2</v>
      </c>
      <c r="N4748">
        <v>12</v>
      </c>
      <c r="O4748">
        <v>13</v>
      </c>
      <c r="P4748">
        <v>12</v>
      </c>
      <c r="Q4748">
        <v>13</v>
      </c>
      <c r="R4748" t="s">
        <v>21</v>
      </c>
      <c r="S4748" t="s">
        <v>21</v>
      </c>
    </row>
    <row r="4749" spans="1:19" hidden="1" x14ac:dyDescent="0.25">
      <c r="A4749">
        <v>21800206</v>
      </c>
      <c r="B4749" t="s">
        <v>18</v>
      </c>
      <c r="C4749" t="s">
        <v>22</v>
      </c>
      <c r="D4749">
        <v>9</v>
      </c>
      <c r="E4749">
        <v>7</v>
      </c>
      <c r="F4749">
        <v>2</v>
      </c>
      <c r="G4749">
        <v>1</v>
      </c>
      <c r="H4749" s="1">
        <v>5.9259259259259256E-3</v>
      </c>
      <c r="I4749">
        <v>2018</v>
      </c>
      <c r="J4749" t="s">
        <v>48</v>
      </c>
      <c r="K4749" s="2" t="str">
        <f>HYPERLINK("https://www.nba.com/stats/events?CFID=&amp;CFPARAMS=&amp;GameEventID=40&amp;GameID=0021800206&amp;Season=2018-19&amp;flag=1&amp;title=Leonard%202'%20Driving%20Layup%20(7%20PTS)%20(Siakam%201%20AST)", "Leonard 2' Driving Layup (7 PTS) (Siakam 1 AST)")</f>
        <v>Leonard 2' Driving Layup (7 PTS) (Siakam 1 AST)</v>
      </c>
      <c r="L4749" s="2" t="str">
        <f>HYPERLINK("https://www.nba.com/game/...-vs-...-0021800206/play-by-play?watchFullGame=true", "TOR vs DET - Q1 08:32.00")</f>
        <v>TOR vs DET - Q1 08:32.00</v>
      </c>
      <c r="M4749">
        <v>2</v>
      </c>
      <c r="N4749">
        <v>-14</v>
      </c>
      <c r="O4749">
        <v>15</v>
      </c>
      <c r="P4749">
        <v>-14</v>
      </c>
      <c r="Q4749">
        <v>15</v>
      </c>
      <c r="R4749" t="s">
        <v>21</v>
      </c>
      <c r="S4749" t="s">
        <v>21</v>
      </c>
    </row>
    <row r="4750" spans="1:19" hidden="1" x14ac:dyDescent="0.25">
      <c r="A4750">
        <v>21500928</v>
      </c>
      <c r="B4750" t="s">
        <v>18</v>
      </c>
      <c r="C4750" t="s">
        <v>40</v>
      </c>
      <c r="D4750">
        <v>38</v>
      </c>
      <c r="E4750">
        <v>28</v>
      </c>
      <c r="F4750">
        <v>10</v>
      </c>
      <c r="G4750">
        <v>2</v>
      </c>
      <c r="H4750" s="1">
        <v>5.9490740740740745E-3</v>
      </c>
      <c r="I4750">
        <v>2015</v>
      </c>
      <c r="J4750" t="s">
        <v>20</v>
      </c>
      <c r="K4750" s="2" t="str">
        <f>HYPERLINK("https://www.nba.com/stats/events?CFID=&amp;CFPARAMS=&amp;GameEventID=153&amp;GameID=0021500928&amp;Season=2015-16&amp;flag=1&amp;title=Leonard%202'%20Driving%20Finger%20Roll%20Layup%20(2%20PTS)", "Leonard 2' Driving Finger Roll Layup (2 PTS)")</f>
        <v>Leonard 2' Driving Finger Roll Layup (2 PTS)</v>
      </c>
      <c r="L4750" s="2" t="str">
        <f>HYPERLINK("https://www.nba.com/game/...-vs-...-0021500928/play-by-play?watchFullGame=true", "SAS vs SAC - Q2 08:34.00")</f>
        <v>SAS vs SAC - Q2 08:34.00</v>
      </c>
      <c r="M4750">
        <v>2</v>
      </c>
      <c r="N4750">
        <v>0</v>
      </c>
      <c r="O4750">
        <v>18</v>
      </c>
      <c r="P4750">
        <v>0</v>
      </c>
      <c r="Q4750">
        <v>18</v>
      </c>
      <c r="R4750" t="s">
        <v>21</v>
      </c>
      <c r="S4750" t="s">
        <v>21</v>
      </c>
    </row>
    <row r="4751" spans="1:19" hidden="1" x14ac:dyDescent="0.25">
      <c r="A4751">
        <v>21801180</v>
      </c>
      <c r="B4751" t="s">
        <v>18</v>
      </c>
      <c r="C4751" t="s">
        <v>35</v>
      </c>
      <c r="D4751">
        <v>16</v>
      </c>
      <c r="E4751">
        <v>5</v>
      </c>
      <c r="F4751">
        <v>11</v>
      </c>
      <c r="G4751">
        <v>1</v>
      </c>
      <c r="H4751" s="1">
        <v>5.9490740740740745E-3</v>
      </c>
      <c r="I4751">
        <v>2018</v>
      </c>
      <c r="J4751" t="s">
        <v>48</v>
      </c>
      <c r="K4751" s="2" t="str">
        <f>HYPERLINK("https://www.nba.com/stats/events?CFID=&amp;CFPARAMS=&amp;GameEventID=47&amp;GameID=0021801180&amp;Season=2018-19&amp;flag=1&amp;title=Leonard%202'%20Reverse%20Layup%20(4%20PTS)%20(Lowry%204%20AST)", "Leonard 2' Reverse Layup (4 PTS) (Lowry 4 AST)")</f>
        <v>Leonard 2' Reverse Layup (4 PTS) (Lowry 4 AST)</v>
      </c>
      <c r="L4751" s="2" t="str">
        <f>HYPERLINK("https://www.nba.com/game/...-vs-...-0021801180/play-by-play?watchFullGame=true", "TOR vs CHA - Q1 08:34.00")</f>
        <v>TOR vs CHA - Q1 08:34.00</v>
      </c>
      <c r="M4751">
        <v>2</v>
      </c>
      <c r="N4751">
        <v>18</v>
      </c>
      <c r="O4751">
        <v>15</v>
      </c>
      <c r="P4751">
        <v>18</v>
      </c>
      <c r="Q4751">
        <v>15</v>
      </c>
      <c r="R4751" t="s">
        <v>21</v>
      </c>
      <c r="S4751" t="s">
        <v>21</v>
      </c>
    </row>
    <row r="4752" spans="1:19" hidden="1" x14ac:dyDescent="0.25">
      <c r="A4752">
        <v>21700573</v>
      </c>
      <c r="B4752" t="s">
        <v>18</v>
      </c>
      <c r="C4752" t="s">
        <v>44</v>
      </c>
      <c r="D4752">
        <v>34</v>
      </c>
      <c r="E4752">
        <v>34</v>
      </c>
      <c r="F4752">
        <v>0</v>
      </c>
      <c r="G4752">
        <v>2</v>
      </c>
      <c r="H4752" s="1">
        <v>5.9837962962962961E-3</v>
      </c>
      <c r="I4752">
        <v>2017</v>
      </c>
      <c r="J4752" t="s">
        <v>20</v>
      </c>
      <c r="K4752" s="2" t="str">
        <f>HYPERLINK("https://www.nba.com/stats/events?CFID=&amp;CFPARAMS=&amp;GameEventID=198&amp;GameID=0021700573&amp;Season=2017-18&amp;flag=1&amp;title=Leonard%202'%20Driving%20Reverse%20Layup%20(10%20PTS)", "Leonard 2' Driving Reverse Layup (10 PTS)")</f>
        <v>Leonard 2' Driving Reverse Layup (10 PTS)</v>
      </c>
      <c r="L4752" s="2" t="str">
        <f>HYPERLINK("https://www.nba.com/game/...-vs-...-0021700573/play-by-play?watchFullGame=true", "SAS vs PHX - Q2 08:37.00")</f>
        <v>SAS vs PHX - Q2 08:37.00</v>
      </c>
      <c r="M4752">
        <v>2</v>
      </c>
      <c r="N4752">
        <v>-4</v>
      </c>
      <c r="O4752">
        <v>15</v>
      </c>
      <c r="P4752">
        <v>-4</v>
      </c>
      <c r="Q4752">
        <v>15</v>
      </c>
      <c r="R4752" t="s">
        <v>21</v>
      </c>
      <c r="S4752" t="s">
        <v>21</v>
      </c>
    </row>
    <row r="4753" spans="1:19" hidden="1" x14ac:dyDescent="0.25">
      <c r="A4753">
        <v>21600213</v>
      </c>
      <c r="B4753" t="s">
        <v>18</v>
      </c>
      <c r="C4753" t="s">
        <v>35</v>
      </c>
      <c r="D4753">
        <v>6</v>
      </c>
      <c r="E4753">
        <v>6</v>
      </c>
      <c r="F4753">
        <v>0</v>
      </c>
      <c r="G4753">
        <v>1</v>
      </c>
      <c r="H4753" s="1">
        <v>5.9953703703703705E-3</v>
      </c>
      <c r="I4753">
        <v>2016</v>
      </c>
      <c r="J4753" t="s">
        <v>20</v>
      </c>
      <c r="K4753" s="2" t="str">
        <f>HYPERLINK("https://www.nba.com/stats/events?CFID=&amp;CFPARAMS=&amp;GameEventID=24&amp;GameID=0021600213&amp;Season=2016-17&amp;flag=1&amp;title=Leonard%202'%20Reverse%20Layup%20(2%20PTS)", "Leonard 2' Reverse Layup (2 PTS)")</f>
        <v>Leonard 2' Reverse Layup (2 PTS)</v>
      </c>
      <c r="L4753" s="2" t="str">
        <f>HYPERLINK("https://www.nba.com/game/...-vs-...-0021600213/play-by-play?watchFullGame=true", "SAS vs CHA - Q1 08:38.00")</f>
        <v>SAS vs CHA - Q1 08:38.00</v>
      </c>
      <c r="M4753">
        <v>2</v>
      </c>
      <c r="N4753">
        <v>-14</v>
      </c>
      <c r="O4753">
        <v>18</v>
      </c>
      <c r="P4753">
        <v>-14</v>
      </c>
      <c r="Q4753">
        <v>18</v>
      </c>
      <c r="R4753" t="s">
        <v>21</v>
      </c>
      <c r="S4753" t="s">
        <v>21</v>
      </c>
    </row>
    <row r="4754" spans="1:19" hidden="1" x14ac:dyDescent="0.25">
      <c r="A4754">
        <v>21300275</v>
      </c>
      <c r="B4754" t="s">
        <v>18</v>
      </c>
      <c r="C4754" t="s">
        <v>22</v>
      </c>
      <c r="D4754">
        <v>25</v>
      </c>
      <c r="E4754">
        <v>35</v>
      </c>
      <c r="F4754">
        <v>10</v>
      </c>
      <c r="G4754">
        <v>2</v>
      </c>
      <c r="H4754" s="1">
        <v>6.0185185185185185E-3</v>
      </c>
      <c r="I4754">
        <v>2013</v>
      </c>
      <c r="J4754" t="s">
        <v>20</v>
      </c>
      <c r="K4754" s="2" t="str">
        <f>HYPERLINK("https://www.nba.com/stats/events?CFID=&amp;CFPARAMS=&amp;GameEventID=166&amp;GameID=0021300275&amp;Season=2013-14&amp;flag=1&amp;title=Leonard%202'%20Driving%20Layup%20(6%20PTS)", "Leonard 2' Driving Layup (6 PTS)")</f>
        <v>Leonard 2' Driving Layup (6 PTS)</v>
      </c>
      <c r="L4754" s="2" t="str">
        <f>HYPERLINK("https://www.nba.com/game/...-vs-...-0021300275/play-by-play?watchFullGame=true", "SAS vs MIN - Q2 08:40.00")</f>
        <v>SAS vs MIN - Q2 08:40.00</v>
      </c>
      <c r="M4754">
        <v>2</v>
      </c>
      <c r="N4754">
        <v>6</v>
      </c>
      <c r="O4754">
        <v>14</v>
      </c>
      <c r="P4754">
        <v>6</v>
      </c>
      <c r="Q4754">
        <v>14</v>
      </c>
      <c r="R4754" t="s">
        <v>21</v>
      </c>
      <c r="S4754" t="s">
        <v>21</v>
      </c>
    </row>
    <row r="4755" spans="1:19" hidden="1" x14ac:dyDescent="0.25">
      <c r="A4755">
        <v>21300382</v>
      </c>
      <c r="B4755" t="s">
        <v>18</v>
      </c>
      <c r="C4755" t="s">
        <v>71</v>
      </c>
      <c r="D4755">
        <v>60</v>
      </c>
      <c r="E4755">
        <v>57</v>
      </c>
      <c r="F4755">
        <v>3</v>
      </c>
      <c r="G4755">
        <v>3</v>
      </c>
      <c r="H4755" s="1">
        <v>6.053240740740741E-3</v>
      </c>
      <c r="I4755">
        <v>2013</v>
      </c>
      <c r="J4755" t="s">
        <v>20</v>
      </c>
      <c r="K4755" s="2" t="str">
        <f>HYPERLINK("https://www.nba.com/stats/events?CFID=&amp;CFPARAMS=&amp;GameEventID=280&amp;GameID=0021300382&amp;Season=2013-14&amp;flag=1&amp;title=Leonard%202'%20Running%20Finger%20Roll%20Layup%20(19%20PTS)", "Leonard 2' Running Finger Roll Layup (19 PTS)")</f>
        <v>Leonard 2' Running Finger Roll Layup (19 PTS)</v>
      </c>
      <c r="L4755" s="2" t="str">
        <f>HYPERLINK("https://www.nba.com/game/...-vs-...-0021300382/play-by-play?watchFullGame=true", "SAS vs GSW - Q3 08:43.00")</f>
        <v>SAS vs GSW - Q3 08:43.00</v>
      </c>
      <c r="M4755">
        <v>2</v>
      </c>
      <c r="N4755">
        <v>17</v>
      </c>
      <c r="O4755">
        <v>4</v>
      </c>
      <c r="P4755">
        <v>17</v>
      </c>
      <c r="Q4755">
        <v>4</v>
      </c>
      <c r="R4755" t="s">
        <v>21</v>
      </c>
      <c r="S4755" t="s">
        <v>21</v>
      </c>
    </row>
    <row r="4756" spans="1:19" hidden="1" x14ac:dyDescent="0.25">
      <c r="A4756">
        <v>41500236</v>
      </c>
      <c r="B4756" t="s">
        <v>18</v>
      </c>
      <c r="C4756" t="s">
        <v>22</v>
      </c>
      <c r="D4756">
        <v>40</v>
      </c>
      <c r="E4756">
        <v>66</v>
      </c>
      <c r="F4756">
        <v>26</v>
      </c>
      <c r="G4756">
        <v>3</v>
      </c>
      <c r="H4756" s="1">
        <v>6.1111111111111114E-3</v>
      </c>
      <c r="I4756" t="s">
        <v>57</v>
      </c>
      <c r="J4756" t="s">
        <v>20</v>
      </c>
      <c r="K4756" s="2" t="str">
        <f>HYPERLINK("https://www.nba.com/stats/events?CFID=&amp;CFPARAMS=&amp;GameEventID=274&amp;GameID=0041500236&amp;Season=2015-16&amp;flag=1&amp;title=Leonard%202'%20Driving%20Layup%20(9%20PTS)", "Leonard 2' Driving Layup (9 PTS)")</f>
        <v>Leonard 2' Driving Layup (9 PTS)</v>
      </c>
      <c r="L4756" s="2" t="str">
        <f>HYPERLINK("https://www.nba.com/game/...-vs-...-0041500236/play-by-play?watchFullGame=true", "SAS vs OKC - Q3 08:48.00")</f>
        <v>SAS vs OKC - Q3 08:48.00</v>
      </c>
      <c r="M4756">
        <v>2</v>
      </c>
      <c r="N4756">
        <v>-7</v>
      </c>
      <c r="O4756">
        <v>16</v>
      </c>
      <c r="P4756">
        <v>-7</v>
      </c>
      <c r="Q4756">
        <v>16</v>
      </c>
      <c r="R4756" t="s">
        <v>21</v>
      </c>
      <c r="S4756" t="s">
        <v>21</v>
      </c>
    </row>
    <row r="4757" spans="1:19" hidden="1" x14ac:dyDescent="0.25">
      <c r="A4757">
        <v>21300363</v>
      </c>
      <c r="B4757" t="s">
        <v>18</v>
      </c>
      <c r="C4757" t="s">
        <v>24</v>
      </c>
      <c r="D4757">
        <v>58</v>
      </c>
      <c r="E4757">
        <v>59</v>
      </c>
      <c r="F4757">
        <v>1</v>
      </c>
      <c r="G4757">
        <v>3</v>
      </c>
      <c r="H4757" s="1">
        <v>6.1111111111111114E-3</v>
      </c>
      <c r="I4757">
        <v>2013</v>
      </c>
      <c r="J4757" t="s">
        <v>20</v>
      </c>
      <c r="K4757" s="2" t="str">
        <f>HYPERLINK("https://www.nba.com/stats/events?CFID=&amp;CFPARAMS=&amp;GameEventID=293&amp;GameID=0021300363&amp;Season=2013-14&amp;flag=1&amp;title=Leonard%202'%20Layup%20(8%20PTS)%20(Duncan%203%20AST)", "Leonard 2' Layup (8 PTS) (Duncan 3 AST)")</f>
        <v>Leonard 2' Layup (8 PTS) (Duncan 3 AST)</v>
      </c>
      <c r="L4757" s="2" t="str">
        <f>HYPERLINK("https://www.nba.com/game/...-vs-...-0021300363/play-by-play?watchFullGame=true", "SAS vs LAC - Q3 08:48.00")</f>
        <v>SAS vs LAC - Q3 08:48.00</v>
      </c>
      <c r="M4757">
        <v>2</v>
      </c>
      <c r="N4757">
        <v>18</v>
      </c>
      <c r="O4757">
        <v>-8</v>
      </c>
      <c r="P4757">
        <v>18</v>
      </c>
      <c r="Q4757">
        <v>-8</v>
      </c>
      <c r="R4757" t="s">
        <v>21</v>
      </c>
      <c r="S4757" t="s">
        <v>21</v>
      </c>
    </row>
    <row r="4758" spans="1:19" hidden="1" x14ac:dyDescent="0.25">
      <c r="A4758">
        <v>41500234</v>
      </c>
      <c r="B4758" t="s">
        <v>18</v>
      </c>
      <c r="C4758" t="s">
        <v>67</v>
      </c>
      <c r="D4758">
        <v>33</v>
      </c>
      <c r="E4758">
        <v>23</v>
      </c>
      <c r="F4758">
        <v>10</v>
      </c>
      <c r="G4758">
        <v>2</v>
      </c>
      <c r="H4758" s="1">
        <v>6.1921296296296299E-3</v>
      </c>
      <c r="I4758" t="s">
        <v>57</v>
      </c>
      <c r="J4758" t="s">
        <v>20</v>
      </c>
      <c r="K4758" s="2" t="str">
        <f>HYPERLINK("https://www.nba.com/stats/events?CFID=&amp;CFPARAMS=&amp;GameEventID=162&amp;GameID=0041500234&amp;Season=2015-16&amp;flag=1&amp;title=Leonard%202'%20Turnaround%20Hook%20Shot%20(10%20PTS)", "Leonard 2' Turnaround Hook Shot (10 PTS)")</f>
        <v>Leonard 2' Turnaround Hook Shot (10 PTS)</v>
      </c>
      <c r="L4758" s="2" t="str">
        <f>HYPERLINK("https://www.nba.com/game/...-vs-...-0041500234/play-by-play?watchFullGame=true", "SAS vs OKC - Q2 08:55.00")</f>
        <v>SAS vs OKC - Q2 08:55.00</v>
      </c>
      <c r="M4758">
        <v>2</v>
      </c>
      <c r="N4758">
        <v>-3</v>
      </c>
      <c r="O4758">
        <v>19</v>
      </c>
      <c r="P4758">
        <v>-3</v>
      </c>
      <c r="Q4758">
        <v>19</v>
      </c>
      <c r="R4758" t="s">
        <v>21</v>
      </c>
      <c r="S4758" t="s">
        <v>21</v>
      </c>
    </row>
    <row r="4759" spans="1:19" hidden="1" x14ac:dyDescent="0.25">
      <c r="A4759">
        <v>41800405</v>
      </c>
      <c r="B4759" t="s">
        <v>18</v>
      </c>
      <c r="C4759" t="s">
        <v>33</v>
      </c>
      <c r="D4759">
        <v>8</v>
      </c>
      <c r="E4759">
        <v>11</v>
      </c>
      <c r="F4759">
        <v>3</v>
      </c>
      <c r="G4759">
        <v>1</v>
      </c>
      <c r="H4759" s="1">
        <v>6.2384259259259259E-3</v>
      </c>
      <c r="I4759" t="s">
        <v>60</v>
      </c>
      <c r="J4759" t="s">
        <v>48</v>
      </c>
      <c r="K4759" s="2" t="str">
        <f>HYPERLINK("https://www.nba.com/stats/events?CFID=&amp;CFPARAMS=&amp;GameEventID=39&amp;GameID=0041800405&amp;Season=2018-19&amp;flag=1&amp;title=Leonard%202'%20Putback%20Layup%20(2%20PTS)", "Leonard 2' Putback Layup (2 PTS)")</f>
        <v>Leonard 2' Putback Layup (2 PTS)</v>
      </c>
      <c r="L4759" s="2" t="str">
        <f>HYPERLINK("https://www.nba.com/game/...-vs-...-0041800405/play-by-play?watchFullGame=true", "TOR vs GSW - Q1 08:59.00")</f>
        <v>TOR vs GSW - Q1 08:59.00</v>
      </c>
      <c r="M4759">
        <v>2</v>
      </c>
      <c r="N4759">
        <v>0</v>
      </c>
      <c r="O4759">
        <v>18</v>
      </c>
      <c r="P4759">
        <v>0</v>
      </c>
      <c r="Q4759">
        <v>18</v>
      </c>
      <c r="R4759" t="s">
        <v>21</v>
      </c>
      <c r="S4759" t="s">
        <v>21</v>
      </c>
    </row>
    <row r="4760" spans="1:19" hidden="1" x14ac:dyDescent="0.25">
      <c r="A4760">
        <v>21300032</v>
      </c>
      <c r="B4760" t="s">
        <v>18</v>
      </c>
      <c r="C4760" t="s">
        <v>24</v>
      </c>
      <c r="D4760">
        <v>50</v>
      </c>
      <c r="E4760">
        <v>50</v>
      </c>
      <c r="F4760">
        <v>0</v>
      </c>
      <c r="G4760">
        <v>3</v>
      </c>
      <c r="H4760" s="1">
        <v>6.2731481481481484E-3</v>
      </c>
      <c r="I4760">
        <v>2013</v>
      </c>
      <c r="J4760" t="s">
        <v>20</v>
      </c>
      <c r="K4760" s="2" t="str">
        <f>HYPERLINK("https://www.nba.com/stats/events?CFID=&amp;CFPARAMS=&amp;GameEventID=304&amp;GameID=0021300032&amp;Season=2013-14&amp;flag=1&amp;title=Leonard%202'%20Layup%20(11%20PTS)", "Leonard 2' Layup (11 PTS)")</f>
        <v>Leonard 2' Layup (11 PTS)</v>
      </c>
      <c r="L4760" s="2" t="str">
        <f>HYPERLINK("https://www.nba.com/game/...-vs-...-0021300032/play-by-play?watchFullGame=true", "SAS vs LAL - Q3 09:02.00")</f>
        <v>SAS vs LAL - Q3 09:02.00</v>
      </c>
      <c r="M4760">
        <v>2</v>
      </c>
      <c r="N4760">
        <v>4</v>
      </c>
      <c r="O4760">
        <v>17</v>
      </c>
      <c r="P4760">
        <v>4</v>
      </c>
      <c r="Q4760">
        <v>17</v>
      </c>
      <c r="R4760" t="s">
        <v>21</v>
      </c>
      <c r="S4760" t="s">
        <v>21</v>
      </c>
    </row>
    <row r="4761" spans="1:19" hidden="1" x14ac:dyDescent="0.25">
      <c r="A4761">
        <v>21800658</v>
      </c>
      <c r="B4761" t="s">
        <v>18</v>
      </c>
      <c r="C4761" t="s">
        <v>44</v>
      </c>
      <c r="D4761">
        <v>9</v>
      </c>
      <c r="E4761">
        <v>5</v>
      </c>
      <c r="F4761">
        <v>4</v>
      </c>
      <c r="G4761">
        <v>1</v>
      </c>
      <c r="H4761" s="1">
        <v>6.2847222222222219E-3</v>
      </c>
      <c r="I4761">
        <v>2018</v>
      </c>
      <c r="J4761" t="s">
        <v>48</v>
      </c>
      <c r="K4761" s="2" t="str">
        <f>HYPERLINK("https://www.nba.com/stats/events?CFID=&amp;CFPARAMS=&amp;GameEventID=31&amp;GameID=0021800658&amp;Season=2018-19&amp;flag=1&amp;title=Leonard%202'%20Driving%20Reverse%20Layup%20(7%20PTS)", "Leonard 2' Driving Reverse Layup (7 PTS)")</f>
        <v>Leonard 2' Driving Reverse Layup (7 PTS)</v>
      </c>
      <c r="L4761" s="2" t="str">
        <f>HYPERLINK("https://www.nba.com/game/...-vs-...-0021800658/play-by-play?watchFullGame=true", "TOR vs BOS - Q1 09:03.00")</f>
        <v>TOR vs BOS - Q1 09:03.00</v>
      </c>
      <c r="M4761">
        <v>2</v>
      </c>
      <c r="N4761">
        <v>-20</v>
      </c>
      <c r="O4761">
        <v>-8</v>
      </c>
      <c r="P4761">
        <v>-20</v>
      </c>
      <c r="Q4761">
        <v>-8</v>
      </c>
      <c r="R4761" t="s">
        <v>21</v>
      </c>
      <c r="S4761" t="s">
        <v>21</v>
      </c>
    </row>
    <row r="4762" spans="1:19" hidden="1" x14ac:dyDescent="0.25">
      <c r="A4762">
        <v>21300082</v>
      </c>
      <c r="B4762" t="s">
        <v>18</v>
      </c>
      <c r="C4762" t="s">
        <v>24</v>
      </c>
      <c r="D4762">
        <v>48</v>
      </c>
      <c r="E4762">
        <v>40</v>
      </c>
      <c r="F4762">
        <v>8</v>
      </c>
      <c r="G4762">
        <v>3</v>
      </c>
      <c r="H4762" s="1">
        <v>6.2962962962962964E-3</v>
      </c>
      <c r="I4762">
        <v>2013</v>
      </c>
      <c r="J4762" t="s">
        <v>20</v>
      </c>
      <c r="K4762" s="2" t="str">
        <f>HYPERLINK("https://www.nba.com/stats/events?CFID=&amp;CFPARAMS=&amp;GameEventID=252&amp;GameID=0021300082&amp;Season=2013-14&amp;flag=1&amp;title=Leonard%202'%20Layup%20(13%20PTS)", "Leonard 2' Layup (13 PTS)")</f>
        <v>Leonard 2' Layup (13 PTS)</v>
      </c>
      <c r="L4762" s="2" t="str">
        <f>HYPERLINK("https://www.nba.com/game/...-vs-...-0021300082/play-by-play?watchFullGame=true", "SAS vs GSW - Q3 09:04.00")</f>
        <v>SAS vs GSW - Q3 09:04.00</v>
      </c>
      <c r="M4762">
        <v>2</v>
      </c>
      <c r="N4762">
        <v>16</v>
      </c>
      <c r="O4762">
        <v>-5</v>
      </c>
      <c r="P4762">
        <v>16</v>
      </c>
      <c r="Q4762">
        <v>-5</v>
      </c>
      <c r="R4762" t="s">
        <v>21</v>
      </c>
      <c r="S4762" t="s">
        <v>21</v>
      </c>
    </row>
    <row r="4763" spans="1:19" hidden="1" x14ac:dyDescent="0.25">
      <c r="A4763">
        <v>21301068</v>
      </c>
      <c r="B4763" t="s">
        <v>18</v>
      </c>
      <c r="C4763" t="s">
        <v>24</v>
      </c>
      <c r="D4763">
        <v>69</v>
      </c>
      <c r="E4763">
        <v>48</v>
      </c>
      <c r="F4763">
        <v>21</v>
      </c>
      <c r="G4763">
        <v>3</v>
      </c>
      <c r="H4763" s="1">
        <v>6.2962962962962964E-3</v>
      </c>
      <c r="I4763">
        <v>2013</v>
      </c>
      <c r="J4763" t="s">
        <v>20</v>
      </c>
      <c r="K4763" s="2" t="str">
        <f>HYPERLINK("https://www.nba.com/stats/events?CFID=&amp;CFPARAMS=&amp;GameEventID=269&amp;GameID=0021301068&amp;Season=2013-14&amp;flag=1&amp;title=Leonard%202'%20Layup%20(7%20PTS)", "Leonard 2' Layup (7 PTS)")</f>
        <v>Leonard 2' Layup (7 PTS)</v>
      </c>
      <c r="L4763" s="2" t="str">
        <f>HYPERLINK("https://www.nba.com/game/...-vs-...-0021301068/play-by-play?watchFullGame=true", "SAS vs DEN - Q3 09:04.00")</f>
        <v>SAS vs DEN - Q3 09:04.00</v>
      </c>
      <c r="M4763">
        <v>2</v>
      </c>
      <c r="N4763">
        <v>17</v>
      </c>
      <c r="O4763">
        <v>-5</v>
      </c>
      <c r="P4763">
        <v>17</v>
      </c>
      <c r="Q4763">
        <v>-5</v>
      </c>
      <c r="R4763" t="s">
        <v>21</v>
      </c>
      <c r="S4763" t="s">
        <v>21</v>
      </c>
    </row>
    <row r="4764" spans="1:19" hidden="1" x14ac:dyDescent="0.25">
      <c r="A4764">
        <v>21600053</v>
      </c>
      <c r="B4764" t="s">
        <v>18</v>
      </c>
      <c r="C4764" t="s">
        <v>22</v>
      </c>
      <c r="D4764">
        <v>75</v>
      </c>
      <c r="E4764">
        <v>81</v>
      </c>
      <c r="F4764">
        <v>6</v>
      </c>
      <c r="G4764">
        <v>4</v>
      </c>
      <c r="H4764" s="1">
        <v>6.3541666666666668E-3</v>
      </c>
      <c r="I4764">
        <v>2016</v>
      </c>
      <c r="J4764" t="s">
        <v>20</v>
      </c>
      <c r="K4764" s="2" t="str">
        <f>HYPERLINK("https://www.nba.com/stats/events?CFID=&amp;CFPARAMS=&amp;GameEventID=381&amp;GameID=0021600053&amp;Season=2016-17&amp;flag=1&amp;title=Leonard%202'%20Driving%20Layup%20(22%20PTS)", "Leonard 2' Driving Layup (22 PTS)")</f>
        <v>Leonard 2' Driving Layup (22 PTS)</v>
      </c>
      <c r="L4764" s="2" t="str">
        <f>HYPERLINK("https://www.nba.com/game/...-vs-...-0021600053/play-by-play?watchFullGame=true", "SAS vs UTA - Q4 09:09.00")</f>
        <v>SAS vs UTA - Q4 09:09.00</v>
      </c>
      <c r="M4764">
        <v>2</v>
      </c>
      <c r="N4764">
        <v>-20</v>
      </c>
      <c r="O4764">
        <v>-1</v>
      </c>
      <c r="P4764">
        <v>-20</v>
      </c>
      <c r="Q4764">
        <v>-1</v>
      </c>
      <c r="R4764" t="s">
        <v>21</v>
      </c>
      <c r="S4764" t="s">
        <v>21</v>
      </c>
    </row>
    <row r="4765" spans="1:19" hidden="1" x14ac:dyDescent="0.25">
      <c r="A4765">
        <v>21800316</v>
      </c>
      <c r="B4765" t="s">
        <v>18</v>
      </c>
      <c r="C4765" t="s">
        <v>33</v>
      </c>
      <c r="D4765">
        <v>74</v>
      </c>
      <c r="E4765">
        <v>62</v>
      </c>
      <c r="F4765">
        <v>12</v>
      </c>
      <c r="G4765">
        <v>3</v>
      </c>
      <c r="H4765" s="1">
        <v>6.3657407407407404E-3</v>
      </c>
      <c r="I4765">
        <v>2018</v>
      </c>
      <c r="J4765" t="s">
        <v>48</v>
      </c>
      <c r="K4765" s="2" t="str">
        <f>HYPERLINK("https://www.nba.com/stats/events?CFID=&amp;CFPARAMS=&amp;GameEventID=370&amp;GameID=0021800316&amp;Season=2018-19&amp;flag=1&amp;title=Leonard%202'%20Putback%20Layup%20(24%20PTS)", "Leonard 2' Putback Layup (24 PTS)")</f>
        <v>Leonard 2' Putback Layup (24 PTS)</v>
      </c>
      <c r="L4765" s="2" t="str">
        <f>HYPERLINK("https://www.nba.com/game/...-vs-...-0021800316/play-by-play?watchFullGame=true", "TOR vs GSW - Q3 09:10.00")</f>
        <v>TOR vs GSW - Q3 09:10.00</v>
      </c>
      <c r="M4765">
        <v>2</v>
      </c>
      <c r="N4765">
        <v>16</v>
      </c>
      <c r="O4765">
        <v>4</v>
      </c>
      <c r="P4765">
        <v>16</v>
      </c>
      <c r="Q4765">
        <v>4</v>
      </c>
      <c r="R4765" t="s">
        <v>21</v>
      </c>
      <c r="S4765" t="s">
        <v>21</v>
      </c>
    </row>
    <row r="4766" spans="1:19" hidden="1" x14ac:dyDescent="0.25">
      <c r="A4766">
        <v>21300514</v>
      </c>
      <c r="B4766" t="s">
        <v>18</v>
      </c>
      <c r="C4766" t="s">
        <v>23</v>
      </c>
      <c r="D4766">
        <v>10</v>
      </c>
      <c r="E4766">
        <v>6</v>
      </c>
      <c r="F4766">
        <v>4</v>
      </c>
      <c r="G4766">
        <v>1</v>
      </c>
      <c r="H4766" s="1">
        <v>5.3935185185185188E-3</v>
      </c>
      <c r="I4766">
        <v>2013</v>
      </c>
      <c r="J4766" t="s">
        <v>20</v>
      </c>
      <c r="K4766" s="2" t="str">
        <f>HYPERLINK("https://www.nba.com/stats/events?CFID=&amp;CFPARAMS=&amp;GameEventID=26&amp;GameID=0021300514&amp;Season=2013-14&amp;flag=1&amp;title=Leonard%201'%20Dunk%20(2%20PTS)%20(Belinelli%202%20AST)", "Leonard 1' Dunk (2 PTS) (Belinelli 2 AST)")</f>
        <v>Leonard 1' Dunk (2 PTS) (Belinelli 2 AST)</v>
      </c>
      <c r="L4766" s="2" t="str">
        <f>HYPERLINK("https://www.nba.com/game/...-vs-...-0021300514/play-by-play?watchFullGame=true", "SAS vs MEM - Q1 07:46.00")</f>
        <v>SAS vs MEM - Q1 07:46.00</v>
      </c>
      <c r="M4766">
        <v>1</v>
      </c>
      <c r="N4766">
        <v>-5</v>
      </c>
      <c r="O4766">
        <v>3</v>
      </c>
      <c r="P4766">
        <v>-5</v>
      </c>
      <c r="Q4766">
        <v>3</v>
      </c>
      <c r="R4766" t="s">
        <v>21</v>
      </c>
      <c r="S4766" t="s">
        <v>21</v>
      </c>
    </row>
    <row r="4767" spans="1:19" hidden="1" x14ac:dyDescent="0.25">
      <c r="A4767">
        <v>21800019</v>
      </c>
      <c r="B4767" t="s">
        <v>18</v>
      </c>
      <c r="C4767" t="s">
        <v>22</v>
      </c>
      <c r="D4767">
        <v>24</v>
      </c>
      <c r="E4767">
        <v>29</v>
      </c>
      <c r="F4767">
        <v>5</v>
      </c>
      <c r="G4767">
        <v>2</v>
      </c>
      <c r="H4767" s="1">
        <v>6.4120370370370373E-3</v>
      </c>
      <c r="I4767">
        <v>2018</v>
      </c>
      <c r="J4767" t="s">
        <v>48</v>
      </c>
      <c r="K4767" s="2" t="str">
        <f>HYPERLINK("https://www.nba.com/stats/events?CFID=&amp;CFPARAMS=&amp;GameEventID=209&amp;GameID=0021800019&amp;Season=2018-19&amp;flag=1&amp;title=Leonard%202'%20Driving%20Layup%20(2%20PTS)", "Leonard 2' Driving Layup (2 PTS)")</f>
        <v>Leonard 2' Driving Layup (2 PTS)</v>
      </c>
      <c r="L4767" s="2" t="str">
        <f>HYPERLINK("https://www.nba.com/game/...-vs-...-0021800019/play-by-play?watchFullGame=true", "TOR vs BOS - Q2 09:14.00")</f>
        <v>TOR vs BOS - Q2 09:14.00</v>
      </c>
      <c r="M4767">
        <v>2</v>
      </c>
      <c r="N4767">
        <v>16</v>
      </c>
      <c r="O4767">
        <v>0</v>
      </c>
      <c r="P4767">
        <v>16</v>
      </c>
      <c r="Q4767">
        <v>0</v>
      </c>
      <c r="R4767" t="s">
        <v>21</v>
      </c>
      <c r="S4767" t="s">
        <v>21</v>
      </c>
    </row>
    <row r="4768" spans="1:19" hidden="1" x14ac:dyDescent="0.25">
      <c r="A4768">
        <v>21801169</v>
      </c>
      <c r="B4768" t="s">
        <v>18</v>
      </c>
      <c r="C4768" t="s">
        <v>24</v>
      </c>
      <c r="D4768">
        <v>68</v>
      </c>
      <c r="E4768">
        <v>57</v>
      </c>
      <c r="F4768">
        <v>11</v>
      </c>
      <c r="G4768">
        <v>3</v>
      </c>
      <c r="H4768" s="1">
        <v>6.4351851851851853E-3</v>
      </c>
      <c r="I4768">
        <v>2018</v>
      </c>
      <c r="J4768" t="s">
        <v>48</v>
      </c>
      <c r="K4768" s="2" t="str">
        <f>HYPERLINK("https://www.nba.com/stats/events?CFID=&amp;CFPARAMS=&amp;GameEventID=361&amp;GameID=0021801169&amp;Season=2018-19&amp;flag=1&amp;title=Leonard%202'%20Layup%20(19%20PTS)%20(Gasol%206%20AST)", "Leonard 2' Layup (19 PTS) (Gasol 6 AST)")</f>
        <v>Leonard 2' Layup (19 PTS) (Gasol 6 AST)</v>
      </c>
      <c r="L4768" s="2" t="str">
        <f>HYPERLINK("https://www.nba.com/game/...-vs-...-0021801169/play-by-play?watchFullGame=true", "TOR vs BKN - Q3 09:16.00")</f>
        <v>TOR vs BKN - Q3 09:16.00</v>
      </c>
      <c r="M4768">
        <v>2</v>
      </c>
      <c r="N4768">
        <v>5</v>
      </c>
      <c r="O4768">
        <v>20</v>
      </c>
      <c r="P4768">
        <v>5</v>
      </c>
      <c r="Q4768">
        <v>20</v>
      </c>
      <c r="R4768" t="s">
        <v>21</v>
      </c>
      <c r="S4768" t="s">
        <v>21</v>
      </c>
    </row>
    <row r="4769" spans="1:19" hidden="1" x14ac:dyDescent="0.25">
      <c r="A4769">
        <v>21300229</v>
      </c>
      <c r="B4769" t="s">
        <v>18</v>
      </c>
      <c r="C4769" t="s">
        <v>24</v>
      </c>
      <c r="D4769">
        <v>8</v>
      </c>
      <c r="E4769">
        <v>6</v>
      </c>
      <c r="F4769">
        <v>2</v>
      </c>
      <c r="G4769">
        <v>1</v>
      </c>
      <c r="H4769" s="1">
        <v>6.4583333333333333E-3</v>
      </c>
      <c r="I4769">
        <v>2013</v>
      </c>
      <c r="J4769" t="s">
        <v>20</v>
      </c>
      <c r="K4769" s="2" t="str">
        <f>HYPERLINK("https://www.nba.com/stats/events?CFID=&amp;CFPARAMS=&amp;GameEventID=21&amp;GameID=0021300229&amp;Season=2013-14&amp;flag=1&amp;title=Leonard%202'%20Layup%20(2%20PTS)", "Leonard 2' Layup (2 PTS)")</f>
        <v>Leonard 2' Layup (2 PTS)</v>
      </c>
      <c r="L4769" s="2" t="str">
        <f>HYPERLINK("https://www.nba.com/game/...-vs-...-0021300229/play-by-play?watchFullGame=true", "SAS vs ORL - Q1 09:18.00")</f>
        <v>SAS vs ORL - Q1 09:18.00</v>
      </c>
      <c r="M4769">
        <v>2</v>
      </c>
      <c r="N4769">
        <v>-5</v>
      </c>
      <c r="O4769">
        <v>22</v>
      </c>
      <c r="P4769">
        <v>-5</v>
      </c>
      <c r="Q4769">
        <v>22</v>
      </c>
      <c r="R4769" t="s">
        <v>21</v>
      </c>
      <c r="S4769" t="s">
        <v>21</v>
      </c>
    </row>
    <row r="4770" spans="1:19" hidden="1" x14ac:dyDescent="0.25">
      <c r="A4770">
        <v>41800303</v>
      </c>
      <c r="B4770" t="s">
        <v>18</v>
      </c>
      <c r="C4770" t="s">
        <v>71</v>
      </c>
      <c r="D4770">
        <v>8</v>
      </c>
      <c r="E4770">
        <v>5</v>
      </c>
      <c r="F4770">
        <v>3</v>
      </c>
      <c r="G4770">
        <v>1</v>
      </c>
      <c r="H4770" s="1">
        <v>6.4699074074074077E-3</v>
      </c>
      <c r="I4770" t="s">
        <v>60</v>
      </c>
      <c r="J4770" t="s">
        <v>48</v>
      </c>
      <c r="K4770" s="2" t="str">
        <f>HYPERLINK("https://www.nba.com/stats/events?CFID=&amp;CFPARAMS=&amp;GameEventID=32&amp;GameID=0041800303&amp;Season=2018-19&amp;flag=1&amp;title=Leonard%202'%20Running%20Finger%20Roll%20Layup%20(2%20PTS)%20(Lowry%201%20AST)", "Leonard 2' Running Finger Roll Layup (2 PTS) (Lowry 1 AST)")</f>
        <v>Leonard 2' Running Finger Roll Layup (2 PTS) (Lowry 1 AST)</v>
      </c>
      <c r="L4770" s="2" t="str">
        <f>HYPERLINK("https://www.nba.com/game/...-vs-...-0041800303/play-by-play?watchFullGame=true", "TOR vs MIL - Q1 09:19.00")</f>
        <v>TOR vs MIL - Q1 09:19.00</v>
      </c>
      <c r="M4770">
        <v>2</v>
      </c>
      <c r="N4770">
        <v>7</v>
      </c>
      <c r="O4770">
        <v>15</v>
      </c>
      <c r="P4770">
        <v>7</v>
      </c>
      <c r="Q4770">
        <v>15</v>
      </c>
      <c r="R4770" t="s">
        <v>21</v>
      </c>
      <c r="S4770" t="s">
        <v>21</v>
      </c>
    </row>
    <row r="4771" spans="1:19" hidden="1" x14ac:dyDescent="0.25">
      <c r="A4771">
        <v>21400152</v>
      </c>
      <c r="B4771" t="s">
        <v>18</v>
      </c>
      <c r="C4771" t="s">
        <v>35</v>
      </c>
      <c r="D4771">
        <v>53</v>
      </c>
      <c r="E4771">
        <v>37</v>
      </c>
      <c r="F4771">
        <v>16</v>
      </c>
      <c r="G4771">
        <v>3</v>
      </c>
      <c r="H4771" s="1">
        <v>6.5162037037037037E-3</v>
      </c>
      <c r="I4771">
        <v>2014</v>
      </c>
      <c r="J4771" t="s">
        <v>20</v>
      </c>
      <c r="K4771" s="2" t="str">
        <f>HYPERLINK("https://www.nba.com/stats/events?CFID=&amp;CFPARAMS=&amp;GameEventID=265&amp;GameID=0021400152&amp;Season=2014-15&amp;flag=1&amp;title=Leonard%202'%20Reverse%20Layup%20(4%20PTS)%20(Bonner%203%20AST)", "Leonard 2' Reverse Layup (4 PTS) (Bonner 3 AST)")</f>
        <v>Leonard 2' Reverse Layup (4 PTS) (Bonner 3 AST)</v>
      </c>
      <c r="L4771" s="2" t="str">
        <f>HYPERLINK("https://www.nba.com/game/...-vs-...-0021400152/play-by-play?watchFullGame=true", "SAS vs PHI - Q3 09:23.00")</f>
        <v>SAS vs PHI - Q3 09:23.00</v>
      </c>
      <c r="M4771">
        <v>2</v>
      </c>
      <c r="N4771">
        <v>-15</v>
      </c>
      <c r="O4771">
        <v>0</v>
      </c>
      <c r="P4771">
        <v>-15</v>
      </c>
      <c r="Q4771">
        <v>0</v>
      </c>
      <c r="R4771" t="s">
        <v>21</v>
      </c>
      <c r="S4771" t="s">
        <v>21</v>
      </c>
    </row>
    <row r="4772" spans="1:19" hidden="1" x14ac:dyDescent="0.25">
      <c r="A4772">
        <v>21600225</v>
      </c>
      <c r="B4772" t="s">
        <v>18</v>
      </c>
      <c r="C4772" t="s">
        <v>32</v>
      </c>
      <c r="D4772">
        <v>53</v>
      </c>
      <c r="E4772">
        <v>48</v>
      </c>
      <c r="F4772">
        <v>5</v>
      </c>
      <c r="G4772">
        <v>3</v>
      </c>
      <c r="H4772" s="1">
        <v>6.6898148148148151E-3</v>
      </c>
      <c r="I4772">
        <v>2016</v>
      </c>
      <c r="J4772" t="s">
        <v>20</v>
      </c>
      <c r="K4772" s="2" t="str">
        <f>HYPERLINK("https://www.nba.com/stats/events?CFID=&amp;CFPARAMS=&amp;GameEventID=266&amp;GameID=0021600225&amp;Season=2016-17&amp;flag=1&amp;title=Leonard%202'%20Alley%20Oop%20Layup%20(12%20PTS)%20(Gasol%202%20AST)", "Leonard 2' Alley Oop Layup (12 PTS) (Gasol 2 AST)")</f>
        <v>Leonard 2' Alley Oop Layup (12 PTS) (Gasol 2 AST)</v>
      </c>
      <c r="L4772" s="2" t="str">
        <f>HYPERLINK("https://www.nba.com/game/...-vs-...-0021600225/play-by-play?watchFullGame=true", "SAS vs BOS - Q3 09:38.00")</f>
        <v>SAS vs BOS - Q3 09:38.00</v>
      </c>
      <c r="M4772">
        <v>2</v>
      </c>
      <c r="N4772">
        <v>22</v>
      </c>
      <c r="O4772">
        <v>2</v>
      </c>
      <c r="P4772">
        <v>22</v>
      </c>
      <c r="Q4772">
        <v>2</v>
      </c>
      <c r="R4772" t="s">
        <v>21</v>
      </c>
      <c r="S4772" t="s">
        <v>21</v>
      </c>
    </row>
    <row r="4773" spans="1:19" hidden="1" x14ac:dyDescent="0.25">
      <c r="A4773">
        <v>21300170</v>
      </c>
      <c r="B4773" t="s">
        <v>18</v>
      </c>
      <c r="C4773" t="s">
        <v>24</v>
      </c>
      <c r="D4773">
        <v>6</v>
      </c>
      <c r="E4773">
        <v>2</v>
      </c>
      <c r="F4773">
        <v>4</v>
      </c>
      <c r="G4773">
        <v>1</v>
      </c>
      <c r="H4773" s="1">
        <v>6.7013888888888887E-3</v>
      </c>
      <c r="I4773">
        <v>2013</v>
      </c>
      <c r="J4773" t="s">
        <v>20</v>
      </c>
      <c r="K4773" s="2" t="str">
        <f>HYPERLINK("https://www.nba.com/stats/events?CFID=&amp;CFPARAMS=&amp;GameEventID=19&amp;GameID=0021300170&amp;Season=2013-14&amp;flag=1&amp;title=Leonard%202'%20Layup%20(2%20PTS)%20(Parker%201%20AST)", "Leonard 2' Layup (2 PTS) (Parker 1 AST)")</f>
        <v>Leonard 2' Layup (2 PTS) (Parker 1 AST)</v>
      </c>
      <c r="L4773" s="2" t="str">
        <f>HYPERLINK("https://www.nba.com/game/...-vs-...-0021300170/play-by-play?watchFullGame=true", "SAS vs BOS - Q1 09:39.00")</f>
        <v>SAS vs BOS - Q1 09:39.00</v>
      </c>
      <c r="M4773">
        <v>2</v>
      </c>
      <c r="N4773">
        <v>17</v>
      </c>
      <c r="O4773">
        <v>-2</v>
      </c>
      <c r="P4773">
        <v>17</v>
      </c>
      <c r="Q4773">
        <v>-2</v>
      </c>
      <c r="R4773" t="s">
        <v>21</v>
      </c>
      <c r="S4773" t="s">
        <v>21</v>
      </c>
    </row>
    <row r="4774" spans="1:19" hidden="1" x14ac:dyDescent="0.25">
      <c r="A4774">
        <v>21700573</v>
      </c>
      <c r="B4774" t="s">
        <v>18</v>
      </c>
      <c r="C4774" t="s">
        <v>50</v>
      </c>
      <c r="D4774">
        <v>10</v>
      </c>
      <c r="E4774">
        <v>4</v>
      </c>
      <c r="F4774">
        <v>6</v>
      </c>
      <c r="G4774">
        <v>1</v>
      </c>
      <c r="H4774" s="1">
        <v>6.2152777777777779E-3</v>
      </c>
      <c r="I4774">
        <v>2017</v>
      </c>
      <c r="J4774" t="s">
        <v>20</v>
      </c>
      <c r="K4774" s="2" t="str">
        <f>HYPERLINK("https://www.nba.com/stats/events?CFID=&amp;CFPARAMS=&amp;GameEventID=45&amp;GameID=0021700573&amp;Season=2017-18&amp;flag=1&amp;title=Leonard%201'%20Running%20Dunk%20(2%20PTS)", "Leonard 1' Running Dunk (2 PTS)")</f>
        <v>Leonard 1' Running Dunk (2 PTS)</v>
      </c>
      <c r="L4774" s="2" t="str">
        <f>HYPERLINK("https://www.nba.com/game/...-vs-...-0021700573/play-by-play?watchFullGame=true", "SAS vs PHX - Q1 08:57.00")</f>
        <v>SAS vs PHX - Q1 08:57.00</v>
      </c>
      <c r="M4774">
        <v>1</v>
      </c>
      <c r="N4774">
        <v>-5</v>
      </c>
      <c r="O4774">
        <v>9</v>
      </c>
      <c r="P4774">
        <v>-5</v>
      </c>
      <c r="Q4774">
        <v>9</v>
      </c>
      <c r="R4774" t="s">
        <v>21</v>
      </c>
      <c r="S4774" t="s">
        <v>21</v>
      </c>
    </row>
    <row r="4775" spans="1:19" hidden="1" x14ac:dyDescent="0.25">
      <c r="A4775">
        <v>41800302</v>
      </c>
      <c r="B4775" t="s">
        <v>18</v>
      </c>
      <c r="C4775" t="s">
        <v>33</v>
      </c>
      <c r="D4775">
        <v>43</v>
      </c>
      <c r="E4775">
        <v>67</v>
      </c>
      <c r="F4775">
        <v>24</v>
      </c>
      <c r="G4775">
        <v>3</v>
      </c>
      <c r="H4775" s="1">
        <v>6.7476851851851856E-3</v>
      </c>
      <c r="I4775" t="s">
        <v>60</v>
      </c>
      <c r="J4775" t="s">
        <v>48</v>
      </c>
      <c r="K4775" s="2" t="str">
        <f>HYPERLINK("https://www.nba.com/stats/events?CFID=&amp;CFPARAMS=&amp;GameEventID=380&amp;GameID=0041800302&amp;Season=2018-19&amp;flag=1&amp;title=Leonard%202'%20Putback%20Layup%20(13%20PTS)", "Leonard 2' Putback Layup (13 PTS)")</f>
        <v>Leonard 2' Putback Layup (13 PTS)</v>
      </c>
      <c r="L4775" s="2" t="str">
        <f>HYPERLINK("https://www.nba.com/game/...-vs-...-0041800302/play-by-play?watchFullGame=true", "TOR vs MIL - Q3 09:43.00")</f>
        <v>TOR vs MIL - Q3 09:43.00</v>
      </c>
      <c r="M4775">
        <v>2</v>
      </c>
      <c r="N4775">
        <v>-6</v>
      </c>
      <c r="O4775">
        <v>15</v>
      </c>
      <c r="P4775">
        <v>-6</v>
      </c>
      <c r="Q4775">
        <v>15</v>
      </c>
      <c r="R4775" t="s">
        <v>21</v>
      </c>
      <c r="S4775" t="s">
        <v>21</v>
      </c>
    </row>
    <row r="4776" spans="1:19" hidden="1" x14ac:dyDescent="0.25">
      <c r="A4776">
        <v>41800211</v>
      </c>
      <c r="B4776" t="s">
        <v>18</v>
      </c>
      <c r="C4776" t="s">
        <v>25</v>
      </c>
      <c r="D4776">
        <v>4</v>
      </c>
      <c r="E4776">
        <v>7</v>
      </c>
      <c r="F4776">
        <v>3</v>
      </c>
      <c r="G4776">
        <v>1</v>
      </c>
      <c r="H4776" s="1">
        <v>6.5740740740740742E-3</v>
      </c>
      <c r="I4776" t="s">
        <v>60</v>
      </c>
      <c r="J4776" t="s">
        <v>48</v>
      </c>
      <c r="K4776" s="2" t="str">
        <f>HYPERLINK("https://www.nba.com/stats/events?CFID=&amp;CFPARAMS=&amp;GameEventID=25&amp;GameID=0041800211&amp;Season=2018-19&amp;flag=1&amp;title=Leonard%201'%20Driving%20Dunk%20(2%20PTS)", "Leonard 1' Driving Dunk (2 PTS)")</f>
        <v>Leonard 1' Driving Dunk (2 PTS)</v>
      </c>
      <c r="L4776" s="2" t="str">
        <f>HYPERLINK("https://www.nba.com/game/...-vs-...-0041800211/play-by-play?watchFullGame=true", "TOR vs PHI - Q1 09:28.00")</f>
        <v>TOR vs PHI - Q1 09:28.00</v>
      </c>
      <c r="M4776">
        <v>1</v>
      </c>
      <c r="N4776">
        <v>-5</v>
      </c>
      <c r="O4776">
        <v>-1</v>
      </c>
      <c r="P4776">
        <v>-5</v>
      </c>
      <c r="Q4776">
        <v>-1</v>
      </c>
      <c r="R4776" t="s">
        <v>21</v>
      </c>
      <c r="S4776" t="s">
        <v>21</v>
      </c>
    </row>
    <row r="4777" spans="1:19" hidden="1" x14ac:dyDescent="0.25">
      <c r="A4777">
        <v>21800983</v>
      </c>
      <c r="B4777" t="s">
        <v>18</v>
      </c>
      <c r="C4777" t="s">
        <v>52</v>
      </c>
      <c r="D4777">
        <v>7</v>
      </c>
      <c r="E4777">
        <v>4</v>
      </c>
      <c r="F4777">
        <v>3</v>
      </c>
      <c r="G4777">
        <v>1</v>
      </c>
      <c r="H4777" s="1">
        <v>6.7939814814814816E-3</v>
      </c>
      <c r="I4777">
        <v>2018</v>
      </c>
      <c r="J4777" t="s">
        <v>48</v>
      </c>
      <c r="K4777" s="2" t="str">
        <f>HYPERLINK("https://www.nba.com/stats/events?CFID=&amp;CFPARAMS=&amp;GameEventID=28&amp;GameID=0021800983&amp;Season=2018-19&amp;flag=1&amp;title=Leonard%202'%20Cutting%20Layup%20Shot%20(4%20PTS)%20(Siakam%201%20AST)", "Leonard 2' Cutting Layup Shot (4 PTS) (Siakam 1 AST)")</f>
        <v>Leonard 2' Cutting Layup Shot (4 PTS) (Siakam 1 AST)</v>
      </c>
      <c r="L4777" s="2" t="str">
        <f>HYPERLINK("https://www.nba.com/game/...-vs-...-0021800983/play-by-play?watchFullGame=true", "TOR vs NOP - Q1 09:47.00")</f>
        <v>TOR vs NOP - Q1 09:47.00</v>
      </c>
      <c r="M4777">
        <v>2</v>
      </c>
      <c r="N4777">
        <v>3</v>
      </c>
      <c r="O4777">
        <v>15</v>
      </c>
      <c r="P4777">
        <v>3</v>
      </c>
      <c r="Q4777">
        <v>15</v>
      </c>
      <c r="R4777" t="s">
        <v>21</v>
      </c>
      <c r="S4777" t="s">
        <v>21</v>
      </c>
    </row>
    <row r="4778" spans="1:19" hidden="1" x14ac:dyDescent="0.25">
      <c r="A4778">
        <v>21600077</v>
      </c>
      <c r="B4778" t="s">
        <v>18</v>
      </c>
      <c r="C4778" t="s">
        <v>24</v>
      </c>
      <c r="D4778">
        <v>31</v>
      </c>
      <c r="E4778">
        <v>17</v>
      </c>
      <c r="F4778">
        <v>14</v>
      </c>
      <c r="G4778">
        <v>2</v>
      </c>
      <c r="H4778" s="1">
        <v>6.8402777777777776E-3</v>
      </c>
      <c r="I4778">
        <v>2016</v>
      </c>
      <c r="J4778" t="s">
        <v>20</v>
      </c>
      <c r="K4778" s="2" t="str">
        <f>HYPERLINK("https://www.nba.com/stats/events?CFID=&amp;CFPARAMS=&amp;GameEventID=158&amp;GameID=0021600077&amp;Season=2016-17&amp;flag=1&amp;title=Leonard%202'%20Layup%20(9%20PTS)", "Leonard 2' Layup (9 PTS)")</f>
        <v>Leonard 2' Layup (9 PTS)</v>
      </c>
      <c r="L4778" s="2" t="str">
        <f>HYPERLINK("https://www.nba.com/game/...-vs-...-0021600077/play-by-play?watchFullGame=true", "SAS vs UTA - Q2 09:51.00")</f>
        <v>SAS vs UTA - Q2 09:51.00</v>
      </c>
      <c r="M4778">
        <v>2</v>
      </c>
      <c r="N4778">
        <v>-24</v>
      </c>
      <c r="O4778">
        <v>2</v>
      </c>
      <c r="P4778">
        <v>-24</v>
      </c>
      <c r="Q4778">
        <v>2</v>
      </c>
      <c r="R4778" t="s">
        <v>21</v>
      </c>
      <c r="S4778" t="s">
        <v>21</v>
      </c>
    </row>
    <row r="4779" spans="1:19" hidden="1" x14ac:dyDescent="0.25">
      <c r="A4779">
        <v>21600902</v>
      </c>
      <c r="B4779" t="s">
        <v>18</v>
      </c>
      <c r="C4779" t="s">
        <v>24</v>
      </c>
      <c r="D4779">
        <v>49</v>
      </c>
      <c r="E4779">
        <v>56</v>
      </c>
      <c r="F4779">
        <v>7</v>
      </c>
      <c r="G4779">
        <v>3</v>
      </c>
      <c r="H4779" s="1">
        <v>6.8634259259259256E-3</v>
      </c>
      <c r="I4779">
        <v>2016</v>
      </c>
      <c r="J4779" t="s">
        <v>20</v>
      </c>
      <c r="K4779" s="2" t="str">
        <f>HYPERLINK("https://www.nba.com/stats/events?CFID=&amp;CFPARAMS=&amp;GameEventID=297&amp;GameID=0021600902&amp;Season=2016-17&amp;flag=1&amp;title=Leonard%202'%20Layup%20(13%20PTS)", "Leonard 2' Layup (13 PTS)")</f>
        <v>Leonard 2' Layup (13 PTS)</v>
      </c>
      <c r="L4779" s="2" t="str">
        <f>HYPERLINK("https://www.nba.com/game/...-vs-...-0021600902/play-by-play?watchFullGame=true", "SAS vs IND - Q3 09:53.00")</f>
        <v>SAS vs IND - Q3 09:53.00</v>
      </c>
      <c r="M4779">
        <v>2</v>
      </c>
      <c r="N4779">
        <v>-19</v>
      </c>
      <c r="O4779">
        <v>-5</v>
      </c>
      <c r="P4779">
        <v>-19</v>
      </c>
      <c r="Q4779">
        <v>-5</v>
      </c>
      <c r="R4779" t="s">
        <v>21</v>
      </c>
      <c r="S4779" t="s">
        <v>21</v>
      </c>
    </row>
    <row r="4780" spans="1:19" hidden="1" x14ac:dyDescent="0.25">
      <c r="A4780">
        <v>21500013</v>
      </c>
      <c r="B4780" t="s">
        <v>18</v>
      </c>
      <c r="C4780" t="s">
        <v>22</v>
      </c>
      <c r="D4780">
        <v>61</v>
      </c>
      <c r="E4780">
        <v>55</v>
      </c>
      <c r="F4780">
        <v>6</v>
      </c>
      <c r="G4780">
        <v>3</v>
      </c>
      <c r="H4780" s="1">
        <v>6.8865740740740745E-3</v>
      </c>
      <c r="I4780">
        <v>2015</v>
      </c>
      <c r="J4780" t="s">
        <v>20</v>
      </c>
      <c r="K4780" s="2" t="str">
        <f>HYPERLINK("https://www.nba.com/stats/events?CFID=&amp;CFPARAMS=&amp;GameEventID=273&amp;GameID=0021500013&amp;Season=2015-16&amp;flag=1&amp;title=Leonard%202'%20Driving%20Layup%20(16%20PTS)", "Leonard 2' Driving Layup (16 PTS)")</f>
        <v>Leonard 2' Driving Layup (16 PTS)</v>
      </c>
      <c r="L4780" s="2" t="str">
        <f>HYPERLINK("https://www.nba.com/game/...-vs-...-0021500013/play-by-play?watchFullGame=true", "SAS vs OKC - Q3 09:55.00")</f>
        <v>SAS vs OKC - Q3 09:55.00</v>
      </c>
      <c r="M4780">
        <v>2</v>
      </c>
      <c r="N4780">
        <v>15</v>
      </c>
      <c r="O4780">
        <v>7</v>
      </c>
      <c r="P4780">
        <v>15</v>
      </c>
      <c r="Q4780">
        <v>7</v>
      </c>
      <c r="R4780" t="s">
        <v>21</v>
      </c>
      <c r="S4780" t="s">
        <v>21</v>
      </c>
    </row>
    <row r="4781" spans="1:19" hidden="1" x14ac:dyDescent="0.25">
      <c r="A4781">
        <v>41800305</v>
      </c>
      <c r="B4781" t="s">
        <v>18</v>
      </c>
      <c r="C4781" t="s">
        <v>22</v>
      </c>
      <c r="D4781">
        <v>51</v>
      </c>
      <c r="E4781">
        <v>53</v>
      </c>
      <c r="F4781">
        <v>2</v>
      </c>
      <c r="G4781">
        <v>3</v>
      </c>
      <c r="H4781" s="1">
        <v>6.9212962962962961E-3</v>
      </c>
      <c r="I4781" t="s">
        <v>60</v>
      </c>
      <c r="J4781" t="s">
        <v>48</v>
      </c>
      <c r="K4781" s="2" t="str">
        <f>HYPERLINK("https://www.nba.com/stats/events?CFID=&amp;CFPARAMS=&amp;GameEventID=355&amp;GameID=0041800305&amp;Season=2018-19&amp;flag=1&amp;title=Leonard%202'%20Driving%20Layup%20(15%20PTS)", "Leonard 2' Driving Layup (15 PTS)")</f>
        <v>Leonard 2' Driving Layup (15 PTS)</v>
      </c>
      <c r="L4781" s="2" t="str">
        <f>HYPERLINK("https://www.nba.com/game/...-vs-...-0041800305/play-by-play?watchFullGame=true", "TOR vs MIL - Q3 09:58.00")</f>
        <v>TOR vs MIL - Q3 09:58.00</v>
      </c>
      <c r="M4781">
        <v>2</v>
      </c>
      <c r="N4781">
        <v>-6</v>
      </c>
      <c r="O4781">
        <v>15</v>
      </c>
      <c r="P4781">
        <v>-6</v>
      </c>
      <c r="Q4781">
        <v>15</v>
      </c>
      <c r="R4781" t="s">
        <v>21</v>
      </c>
      <c r="S4781" t="s">
        <v>21</v>
      </c>
    </row>
    <row r="4782" spans="1:19" hidden="1" x14ac:dyDescent="0.25">
      <c r="A4782">
        <v>41300311</v>
      </c>
      <c r="B4782" t="s">
        <v>18</v>
      </c>
      <c r="C4782" t="s">
        <v>22</v>
      </c>
      <c r="D4782">
        <v>95</v>
      </c>
      <c r="E4782">
        <v>82</v>
      </c>
      <c r="F4782">
        <v>13</v>
      </c>
      <c r="G4782">
        <v>4</v>
      </c>
      <c r="H4782" s="1">
        <v>6.9212962962962961E-3</v>
      </c>
      <c r="I4782" t="s">
        <v>55</v>
      </c>
      <c r="J4782" t="s">
        <v>20</v>
      </c>
      <c r="K4782" s="2" t="str">
        <f>HYPERLINK("https://www.nba.com/stats/events?CFID=&amp;CFPARAMS=&amp;GameEventID=392&amp;GameID=0041300311&amp;Season=2013-14&amp;flag=1&amp;title=Leonard%202'%20Driving%20Layup%20(13%20PTS)%20(Belinelli%201%20AST)", "Leonard 2' Driving Layup (13 PTS) (Belinelli 1 AST)")</f>
        <v>Leonard 2' Driving Layup (13 PTS) (Belinelli 1 AST)</v>
      </c>
      <c r="L4782" s="2" t="str">
        <f>HYPERLINK("https://www.nba.com/game/...-vs-...-0041300311/play-by-play?watchFullGame=true", "SAS vs OKC - Q4 09:58.00")</f>
        <v>SAS vs OKC - Q4 09:58.00</v>
      </c>
      <c r="M4782">
        <v>2</v>
      </c>
      <c r="N4782">
        <v>1</v>
      </c>
      <c r="O4782">
        <v>17</v>
      </c>
      <c r="P4782">
        <v>1</v>
      </c>
      <c r="Q4782">
        <v>17</v>
      </c>
      <c r="R4782" t="s">
        <v>21</v>
      </c>
      <c r="S4782" t="s">
        <v>21</v>
      </c>
    </row>
    <row r="4783" spans="1:19" hidden="1" x14ac:dyDescent="0.25">
      <c r="A4783">
        <v>21800470</v>
      </c>
      <c r="B4783" t="s">
        <v>18</v>
      </c>
      <c r="C4783" t="s">
        <v>22</v>
      </c>
      <c r="D4783">
        <v>66</v>
      </c>
      <c r="E4783">
        <v>57</v>
      </c>
      <c r="F4783">
        <v>9</v>
      </c>
      <c r="G4783">
        <v>3</v>
      </c>
      <c r="H4783" s="1">
        <v>6.9675925925925929E-3</v>
      </c>
      <c r="I4783">
        <v>2018</v>
      </c>
      <c r="J4783" t="s">
        <v>48</v>
      </c>
      <c r="K4783" s="2" t="str">
        <f>HYPERLINK("https://www.nba.com/stats/events?CFID=&amp;CFPARAMS=&amp;GameEventID=340&amp;GameID=0021800470&amp;Season=2018-19&amp;flag=1&amp;title=Leonard%202'%20Driving%20Layup%20(20%20PTS)", "Leonard 2' Driving Layup (20 PTS)")</f>
        <v>Leonard 2' Driving Layup (20 PTS)</v>
      </c>
      <c r="L4783" s="2" t="str">
        <f>HYPERLINK("https://www.nba.com/game/...-vs-...-0021800470/play-by-play?watchFullGame=true", "TOR vs CLE - Q3 10:02.00")</f>
        <v>TOR vs CLE - Q3 10:02.00</v>
      </c>
      <c r="M4783">
        <v>2</v>
      </c>
      <c r="N4783">
        <v>19</v>
      </c>
      <c r="O4783">
        <v>6</v>
      </c>
      <c r="P4783">
        <v>19</v>
      </c>
      <c r="Q4783">
        <v>6</v>
      </c>
      <c r="R4783" t="s">
        <v>21</v>
      </c>
      <c r="S4783" t="s">
        <v>21</v>
      </c>
    </row>
    <row r="4784" spans="1:19" hidden="1" x14ac:dyDescent="0.25">
      <c r="A4784">
        <v>21800316</v>
      </c>
      <c r="B4784" t="s">
        <v>18</v>
      </c>
      <c r="C4784" t="s">
        <v>22</v>
      </c>
      <c r="D4784">
        <v>44</v>
      </c>
      <c r="E4784">
        <v>30</v>
      </c>
      <c r="F4784">
        <v>14</v>
      </c>
      <c r="G4784">
        <v>2</v>
      </c>
      <c r="H4784" s="1">
        <v>6.9791666666666665E-3</v>
      </c>
      <c r="I4784">
        <v>2018</v>
      </c>
      <c r="J4784" t="s">
        <v>48</v>
      </c>
      <c r="K4784" s="2" t="str">
        <f>HYPERLINK("https://www.nba.com/stats/events?CFID=&amp;CFPARAMS=&amp;GameEventID=180&amp;GameID=0021800316&amp;Season=2018-19&amp;flag=1&amp;title=Leonard%202'%20Driving%20Layup%20(15%20PTS)", "Leonard 2' Driving Layup (15 PTS)")</f>
        <v>Leonard 2' Driving Layup (15 PTS)</v>
      </c>
      <c r="L4784" s="2" t="str">
        <f>HYPERLINK("https://www.nba.com/game/...-vs-...-0021800316/play-by-play?watchFullGame=true", "TOR vs GSW - Q2 10:03.00")</f>
        <v>TOR vs GSW - Q2 10:03.00</v>
      </c>
      <c r="M4784">
        <v>2</v>
      </c>
      <c r="N4784">
        <v>16</v>
      </c>
      <c r="O4784">
        <v>17</v>
      </c>
      <c r="P4784">
        <v>16</v>
      </c>
      <c r="Q4784">
        <v>17</v>
      </c>
      <c r="R4784" t="s">
        <v>21</v>
      </c>
      <c r="S4784" t="s">
        <v>21</v>
      </c>
    </row>
    <row r="4785" spans="1:19" hidden="1" x14ac:dyDescent="0.25">
      <c r="A4785">
        <v>21800766</v>
      </c>
      <c r="B4785" t="s">
        <v>18</v>
      </c>
      <c r="C4785" t="s">
        <v>33</v>
      </c>
      <c r="D4785">
        <v>49</v>
      </c>
      <c r="E4785">
        <v>63</v>
      </c>
      <c r="F4785">
        <v>14</v>
      </c>
      <c r="G4785">
        <v>3</v>
      </c>
      <c r="H4785" s="1">
        <v>7.0254629629629634E-3</v>
      </c>
      <c r="I4785">
        <v>2018</v>
      </c>
      <c r="J4785" t="s">
        <v>48</v>
      </c>
      <c r="K4785" s="2" t="str">
        <f>HYPERLINK("https://www.nba.com/stats/events?CFID=&amp;CFPARAMS=&amp;GameEventID=353&amp;GameID=0021800766&amp;Season=2018-19&amp;flag=1&amp;title=Leonard%202'%20Putback%20Layup%20(12%20PTS)", "Leonard 2' Putback Layup (12 PTS)")</f>
        <v>Leonard 2' Putback Layup (12 PTS)</v>
      </c>
      <c r="L4785" s="2" t="str">
        <f>HYPERLINK("https://www.nba.com/game/...-vs-...-0021800766/play-by-play?watchFullGame=true", "TOR vs MIL - Q3 10:07.00")</f>
        <v>TOR vs MIL - Q3 10:07.00</v>
      </c>
      <c r="M4785">
        <v>2</v>
      </c>
      <c r="N4785">
        <v>-11</v>
      </c>
      <c r="O4785">
        <v>11</v>
      </c>
      <c r="P4785">
        <v>-11</v>
      </c>
      <c r="Q4785">
        <v>11</v>
      </c>
      <c r="R4785" t="s">
        <v>21</v>
      </c>
      <c r="S4785" t="s">
        <v>21</v>
      </c>
    </row>
    <row r="4786" spans="1:19" hidden="1" x14ac:dyDescent="0.25">
      <c r="A4786">
        <v>21500465</v>
      </c>
      <c r="B4786" t="s">
        <v>18</v>
      </c>
      <c r="C4786" t="s">
        <v>69</v>
      </c>
      <c r="D4786">
        <v>54</v>
      </c>
      <c r="E4786">
        <v>54</v>
      </c>
      <c r="F4786">
        <v>0</v>
      </c>
      <c r="G4786">
        <v>3</v>
      </c>
      <c r="H4786" s="1">
        <v>7.037037037037037E-3</v>
      </c>
      <c r="I4786">
        <v>2015</v>
      </c>
      <c r="J4786" t="s">
        <v>20</v>
      </c>
      <c r="K4786" s="2" t="str">
        <f>HYPERLINK("https://www.nba.com/stats/events?CFID=&amp;CFPARAMS=&amp;GameEventID=262&amp;GameID=0021500465&amp;Season=2015-16&amp;flag=1&amp;title=Leonard%202'%20Driving%20Bank%20Hook%20Shot%20(11%20PTS)", "Leonard 2' Driving Bank Hook Shot (11 PTS)")</f>
        <v>Leonard 2' Driving Bank Hook Shot (11 PTS)</v>
      </c>
      <c r="L4786" s="2" t="str">
        <f>HYPERLINK("https://www.nba.com/game/...-vs-...-0021500465/play-by-play?watchFullGame=true", "SAS vs MIN - Q3 10:08.00")</f>
        <v>SAS vs MIN - Q3 10:08.00</v>
      </c>
      <c r="M4786">
        <v>2</v>
      </c>
      <c r="N4786">
        <v>9</v>
      </c>
      <c r="O4786">
        <v>18</v>
      </c>
      <c r="P4786">
        <v>9</v>
      </c>
      <c r="Q4786">
        <v>18</v>
      </c>
      <c r="R4786" t="s">
        <v>21</v>
      </c>
      <c r="S4786" t="s">
        <v>21</v>
      </c>
    </row>
    <row r="4787" spans="1:19" hidden="1" x14ac:dyDescent="0.25">
      <c r="A4787">
        <v>21700428</v>
      </c>
      <c r="B4787" t="s">
        <v>18</v>
      </c>
      <c r="C4787" t="s">
        <v>22</v>
      </c>
      <c r="D4787">
        <v>20</v>
      </c>
      <c r="E4787">
        <v>36</v>
      </c>
      <c r="F4787">
        <v>16</v>
      </c>
      <c r="G4787">
        <v>2</v>
      </c>
      <c r="H4787" s="1">
        <v>7.0949074074074074E-3</v>
      </c>
      <c r="I4787">
        <v>2017</v>
      </c>
      <c r="J4787" t="s">
        <v>20</v>
      </c>
      <c r="K4787" s="2" t="str">
        <f>HYPERLINK("https://www.nba.com/stats/events?CFID=&amp;CFPARAMS=&amp;GameEventID=190&amp;GameID=0021700428&amp;Season=2017-18&amp;flag=1&amp;title=Leonard%202'%20Driving%20Layup%20(6%20PTS)", "Leonard 2' Driving Layup (6 PTS)")</f>
        <v>Leonard 2' Driving Layup (6 PTS)</v>
      </c>
      <c r="L4787" s="2" t="str">
        <f>HYPERLINK("https://www.nba.com/game/...-vs-...-0021700428/play-by-play?watchFullGame=true", "SAS vs HOU - Q2 10:13.00")</f>
        <v>SAS vs HOU - Q2 10:13.00</v>
      </c>
      <c r="M4787">
        <v>2</v>
      </c>
      <c r="N4787">
        <v>15</v>
      </c>
      <c r="O4787">
        <v>2</v>
      </c>
      <c r="P4787">
        <v>15</v>
      </c>
      <c r="Q4787">
        <v>2</v>
      </c>
      <c r="R4787" t="s">
        <v>21</v>
      </c>
      <c r="S4787" t="s">
        <v>21</v>
      </c>
    </row>
    <row r="4788" spans="1:19" hidden="1" x14ac:dyDescent="0.25">
      <c r="A4788">
        <v>21500928</v>
      </c>
      <c r="B4788" t="s">
        <v>18</v>
      </c>
      <c r="C4788" t="s">
        <v>22</v>
      </c>
      <c r="D4788">
        <v>61</v>
      </c>
      <c r="E4788">
        <v>54</v>
      </c>
      <c r="F4788">
        <v>7</v>
      </c>
      <c r="G4788">
        <v>3</v>
      </c>
      <c r="H4788" s="1">
        <v>7.0949074074074074E-3</v>
      </c>
      <c r="I4788">
        <v>2015</v>
      </c>
      <c r="J4788" t="s">
        <v>20</v>
      </c>
      <c r="K4788" s="2" t="str">
        <f>HYPERLINK("https://www.nba.com/stats/events?CFID=&amp;CFPARAMS=&amp;GameEventID=290&amp;GameID=0021500928&amp;Season=2015-16&amp;flag=1&amp;title=Leonard%202'%20Driving%20Layup%20(14%20PTS)", "Leonard 2' Driving Layup (14 PTS)")</f>
        <v>Leonard 2' Driving Layup (14 PTS)</v>
      </c>
      <c r="L4788" s="2" t="str">
        <f>HYPERLINK("https://www.nba.com/game/...-vs-...-0021500928/play-by-play?watchFullGame=true", "SAS vs SAC - Q3 10:13.00")</f>
        <v>SAS vs SAC - Q3 10:13.00</v>
      </c>
      <c r="M4788">
        <v>2</v>
      </c>
      <c r="N4788">
        <v>17</v>
      </c>
      <c r="O4788">
        <v>-6</v>
      </c>
      <c r="P4788">
        <v>17</v>
      </c>
      <c r="Q4788">
        <v>-6</v>
      </c>
      <c r="R4788" t="s">
        <v>21</v>
      </c>
      <c r="S4788" t="s">
        <v>21</v>
      </c>
    </row>
    <row r="4789" spans="1:19" hidden="1" x14ac:dyDescent="0.25">
      <c r="A4789">
        <v>41200312</v>
      </c>
      <c r="B4789" t="s">
        <v>18</v>
      </c>
      <c r="C4789" t="s">
        <v>35</v>
      </c>
      <c r="D4789">
        <v>4</v>
      </c>
      <c r="E4789">
        <v>0</v>
      </c>
      <c r="F4789">
        <v>4</v>
      </c>
      <c r="G4789">
        <v>1</v>
      </c>
      <c r="H4789" s="1">
        <v>7.1180555555555554E-3</v>
      </c>
      <c r="I4789" t="s">
        <v>53</v>
      </c>
      <c r="J4789" t="s">
        <v>20</v>
      </c>
      <c r="K4789" s="2" t="str">
        <f>HYPERLINK("https://www.nba.com/stats/events?CFID=&amp;CFPARAMS=&amp;GameEventID=14&amp;GameID=0041200312&amp;Season=2012-13&amp;flag=1&amp;title=Leonard%202'%20Reverse%20Layup%20(2%20PTS)%20(Green%201%20AST)", "Leonard 2' Reverse Layup (2 PTS) (Green 1 AST)")</f>
        <v>Leonard 2' Reverse Layup (2 PTS) (Green 1 AST)</v>
      </c>
      <c r="L4789" s="2" t="str">
        <f>HYPERLINK("https://www.nba.com/game/...-vs-...-0041200312/play-by-play?watchFullGame=true", "SAS vs MEM - Q1 10:15.00")</f>
        <v>SAS vs MEM - Q1 10:15.00</v>
      </c>
      <c r="M4789">
        <v>2</v>
      </c>
      <c r="N4789">
        <v>15</v>
      </c>
      <c r="O4789">
        <v>0</v>
      </c>
      <c r="P4789">
        <v>15</v>
      </c>
      <c r="Q4789">
        <v>0</v>
      </c>
      <c r="R4789" t="s">
        <v>21</v>
      </c>
      <c r="S4789" t="s">
        <v>21</v>
      </c>
    </row>
    <row r="4790" spans="1:19" hidden="1" x14ac:dyDescent="0.25">
      <c r="A4790">
        <v>21300170</v>
      </c>
      <c r="B4790" t="s">
        <v>18</v>
      </c>
      <c r="C4790" t="s">
        <v>22</v>
      </c>
      <c r="D4790">
        <v>51</v>
      </c>
      <c r="E4790">
        <v>50</v>
      </c>
      <c r="F4790">
        <v>1</v>
      </c>
      <c r="G4790">
        <v>3</v>
      </c>
      <c r="H4790" s="1">
        <v>7.1643518518518514E-3</v>
      </c>
      <c r="I4790">
        <v>2013</v>
      </c>
      <c r="J4790" t="s">
        <v>20</v>
      </c>
      <c r="K4790" s="2" t="str">
        <f>HYPERLINK("https://www.nba.com/stats/events?CFID=&amp;CFPARAMS=&amp;GameEventID=255&amp;GameID=0021300170&amp;Season=2013-14&amp;flag=1&amp;title=Leonard%202'%20Driving%20Layup%20(6%20PTS)", "Leonard 2' Driving Layup (6 PTS)")</f>
        <v>Leonard 2' Driving Layup (6 PTS)</v>
      </c>
      <c r="L4790" s="2" t="str">
        <f>HYPERLINK("https://www.nba.com/game/...-vs-...-0021300170/play-by-play?watchFullGame=true", "SAS vs BOS - Q3 10:19.00")</f>
        <v>SAS vs BOS - Q3 10:19.00</v>
      </c>
      <c r="M4790">
        <v>2</v>
      </c>
      <c r="N4790">
        <v>-4</v>
      </c>
      <c r="O4790">
        <v>17</v>
      </c>
      <c r="P4790">
        <v>-4</v>
      </c>
      <c r="Q4790">
        <v>17</v>
      </c>
      <c r="R4790" t="s">
        <v>21</v>
      </c>
      <c r="S4790" t="s">
        <v>21</v>
      </c>
    </row>
    <row r="4791" spans="1:19" hidden="1" x14ac:dyDescent="0.25">
      <c r="A4791">
        <v>21401098</v>
      </c>
      <c r="B4791" t="s">
        <v>18</v>
      </c>
      <c r="C4791" t="s">
        <v>24</v>
      </c>
      <c r="D4791">
        <v>55</v>
      </c>
      <c r="E4791">
        <v>44</v>
      </c>
      <c r="F4791">
        <v>11</v>
      </c>
      <c r="G4791">
        <v>3</v>
      </c>
      <c r="H4791" s="1">
        <v>7.1875000000000003E-3</v>
      </c>
      <c r="I4791">
        <v>2014</v>
      </c>
      <c r="J4791" t="s">
        <v>20</v>
      </c>
      <c r="K4791" s="2" t="str">
        <f>HYPERLINK("https://www.nba.com/stats/events?CFID=&amp;CFPARAMS=&amp;GameEventID=249&amp;GameID=0021401098&amp;Season=2014-15&amp;flag=1&amp;title=Leonard%202'%20Layup%20(10%20PTS)%20(Splitter%202%20AST)", "Leonard 2' Layup (10 PTS) (Splitter 2 AST)")</f>
        <v>Leonard 2' Layup (10 PTS) (Splitter 2 AST)</v>
      </c>
      <c r="L4791" s="2" t="str">
        <f>HYPERLINK("https://www.nba.com/game/...-vs-...-0021401098/play-by-play?watchFullGame=true", "SAS vs MEM - Q3 10:21.00")</f>
        <v>SAS vs MEM - Q3 10:21.00</v>
      </c>
      <c r="M4791">
        <v>2</v>
      </c>
      <c r="N4791">
        <v>20</v>
      </c>
      <c r="O4791">
        <v>0</v>
      </c>
      <c r="P4791">
        <v>20</v>
      </c>
      <c r="Q4791">
        <v>0</v>
      </c>
      <c r="R4791" t="s">
        <v>21</v>
      </c>
      <c r="S4791" t="s">
        <v>21</v>
      </c>
    </row>
    <row r="4792" spans="1:19" hidden="1" x14ac:dyDescent="0.25">
      <c r="A4792">
        <v>21600605</v>
      </c>
      <c r="B4792" t="s">
        <v>18</v>
      </c>
      <c r="C4792" t="s">
        <v>22</v>
      </c>
      <c r="D4792">
        <v>60</v>
      </c>
      <c r="E4792">
        <v>56</v>
      </c>
      <c r="F4792">
        <v>4</v>
      </c>
      <c r="G4792">
        <v>3</v>
      </c>
      <c r="H4792" s="1">
        <v>7.2337962962962963E-3</v>
      </c>
      <c r="I4792">
        <v>2016</v>
      </c>
      <c r="J4792" t="s">
        <v>20</v>
      </c>
      <c r="K4792" s="2" t="str">
        <f>HYPERLINK("https://www.nba.com/stats/events?CFID=&amp;CFPARAMS=&amp;GameEventID=298&amp;GameID=0021600605&amp;Season=2016-17&amp;flag=1&amp;title=Leonard%202'%20Driving%20Layup%20(18%20PTS)", "Leonard 2' Driving Layup (18 PTS)")</f>
        <v>Leonard 2' Driving Layup (18 PTS)</v>
      </c>
      <c r="L4792" s="2" t="str">
        <f>HYPERLINK("https://www.nba.com/game/...-vs-...-0021600605/play-by-play?watchFullGame=true", "SAS vs PHX - Q3 10:25.00")</f>
        <v>SAS vs PHX - Q3 10:25.00</v>
      </c>
      <c r="M4792">
        <v>2</v>
      </c>
      <c r="N4792">
        <v>24</v>
      </c>
      <c r="O4792">
        <v>3</v>
      </c>
      <c r="P4792">
        <v>24</v>
      </c>
      <c r="Q4792">
        <v>3</v>
      </c>
      <c r="R4792" t="s">
        <v>21</v>
      </c>
      <c r="S4792" t="s">
        <v>21</v>
      </c>
    </row>
    <row r="4793" spans="1:19" hidden="1" x14ac:dyDescent="0.25">
      <c r="A4793">
        <v>21500713</v>
      </c>
      <c r="B4793" t="s">
        <v>18</v>
      </c>
      <c r="C4793" t="s">
        <v>22</v>
      </c>
      <c r="D4793">
        <v>55</v>
      </c>
      <c r="E4793">
        <v>66</v>
      </c>
      <c r="F4793">
        <v>11</v>
      </c>
      <c r="G4793">
        <v>3</v>
      </c>
      <c r="H4793" s="1">
        <v>7.2453703703703708E-3</v>
      </c>
      <c r="I4793">
        <v>2015</v>
      </c>
      <c r="J4793" t="s">
        <v>20</v>
      </c>
      <c r="K4793" s="2" t="str">
        <f>HYPERLINK("https://www.nba.com/stats/events?CFID=&amp;CFPARAMS=&amp;GameEventID=279&amp;GameID=0021500713&amp;Season=2015-16&amp;flag=1&amp;title=Leonard%202'%20Driving%20Layup%20(13%20PTS)%20(Parker%205%20AST)", "Leonard 2' Driving Layup (13 PTS) (Parker 5 AST)")</f>
        <v>Leonard 2' Driving Layup (13 PTS) (Parker 5 AST)</v>
      </c>
      <c r="L4793" s="2" t="str">
        <f>HYPERLINK("https://www.nba.com/game/...-vs-...-0021500713/play-by-play?watchFullGame=true", "SAS vs CLE - Q3 10:26.00")</f>
        <v>SAS vs CLE - Q3 10:26.00</v>
      </c>
      <c r="M4793">
        <v>2</v>
      </c>
      <c r="N4793">
        <v>-14</v>
      </c>
      <c r="O4793">
        <v>7</v>
      </c>
      <c r="P4793">
        <v>-14</v>
      </c>
      <c r="Q4793">
        <v>7</v>
      </c>
      <c r="R4793" t="s">
        <v>21</v>
      </c>
      <c r="S4793" t="s">
        <v>21</v>
      </c>
    </row>
    <row r="4794" spans="1:19" hidden="1" x14ac:dyDescent="0.25">
      <c r="A4794">
        <v>21600003</v>
      </c>
      <c r="B4794" t="s">
        <v>18</v>
      </c>
      <c r="C4794" t="s">
        <v>41</v>
      </c>
      <c r="D4794">
        <v>66</v>
      </c>
      <c r="E4794">
        <v>52</v>
      </c>
      <c r="F4794">
        <v>14</v>
      </c>
      <c r="G4794">
        <v>3</v>
      </c>
      <c r="H4794" s="1">
        <v>7.2569444444444443E-3</v>
      </c>
      <c r="I4794">
        <v>2016</v>
      </c>
      <c r="J4794" t="s">
        <v>20</v>
      </c>
      <c r="K4794" s="2" t="str">
        <f>HYPERLINK("https://www.nba.com/stats/events?CFID=&amp;CFPARAMS=&amp;GameEventID=275&amp;GameID=0021600003&amp;Season=2016-17&amp;flag=1&amp;title=Leonard%202'%20Tip%20Layup%20Shot%20(20%20PTS)", "Leonard 2' Tip Layup Shot (20 PTS)")</f>
        <v>Leonard 2' Tip Layup Shot (20 PTS)</v>
      </c>
      <c r="L4794" s="2" t="str">
        <f>HYPERLINK("https://www.nba.com/game/...-vs-...-0021600003/play-by-play?watchFullGame=true", "SAS vs GSW - Q3 10:27.00")</f>
        <v>SAS vs GSW - Q3 10:27.00</v>
      </c>
      <c r="M4794">
        <v>2</v>
      </c>
      <c r="N4794">
        <v>-8</v>
      </c>
      <c r="O4794">
        <v>15</v>
      </c>
      <c r="P4794">
        <v>-8</v>
      </c>
      <c r="Q4794">
        <v>15</v>
      </c>
      <c r="R4794" t="s">
        <v>21</v>
      </c>
      <c r="S4794" t="s">
        <v>21</v>
      </c>
    </row>
    <row r="4795" spans="1:19" hidden="1" x14ac:dyDescent="0.25">
      <c r="A4795">
        <v>21300312</v>
      </c>
      <c r="B4795" t="s">
        <v>18</v>
      </c>
      <c r="C4795" t="s">
        <v>44</v>
      </c>
      <c r="D4795">
        <v>61</v>
      </c>
      <c r="E4795">
        <v>53</v>
      </c>
      <c r="F4795">
        <v>8</v>
      </c>
      <c r="G4795">
        <v>3</v>
      </c>
      <c r="H4795" s="1">
        <v>7.3148148148148148E-3</v>
      </c>
      <c r="I4795">
        <v>2013</v>
      </c>
      <c r="J4795" t="s">
        <v>20</v>
      </c>
      <c r="K4795" s="2" t="str">
        <f>HYPERLINK("https://www.nba.com/stats/events?CFID=&amp;CFPARAMS=&amp;GameEventID=255&amp;GameID=0021300312&amp;Season=2013-14&amp;flag=1&amp;title=Leonard%202'%20Driving%20Reverse%20Layup%20(7%20PTS)%20(Green%202%20AST)", "Leonard 2' Driving Reverse Layup (7 PTS) (Green 2 AST)")</f>
        <v>Leonard 2' Driving Reverse Layup (7 PTS) (Green 2 AST)</v>
      </c>
      <c r="L4795" s="2" t="str">
        <f>HYPERLINK("https://www.nba.com/game/...-vs-...-0021300312/play-by-play?watchFullGame=true", "SAS vs TOR - Q3 10:32.00")</f>
        <v>SAS vs TOR - Q3 10:32.00</v>
      </c>
      <c r="M4795">
        <v>2</v>
      </c>
      <c r="N4795">
        <v>15</v>
      </c>
      <c r="O4795">
        <v>15</v>
      </c>
      <c r="P4795">
        <v>15</v>
      </c>
      <c r="Q4795">
        <v>15</v>
      </c>
      <c r="R4795" t="s">
        <v>21</v>
      </c>
      <c r="S4795" t="s">
        <v>21</v>
      </c>
    </row>
    <row r="4796" spans="1:19" hidden="1" x14ac:dyDescent="0.25">
      <c r="A4796">
        <v>21801180</v>
      </c>
      <c r="B4796" t="s">
        <v>18</v>
      </c>
      <c r="C4796" t="s">
        <v>22</v>
      </c>
      <c r="D4796">
        <v>5</v>
      </c>
      <c r="E4796">
        <v>1</v>
      </c>
      <c r="F4796">
        <v>4</v>
      </c>
      <c r="G4796">
        <v>1</v>
      </c>
      <c r="H4796" s="1">
        <v>7.3726851851851852E-3</v>
      </c>
      <c r="I4796">
        <v>2018</v>
      </c>
      <c r="J4796" t="s">
        <v>48</v>
      </c>
      <c r="K4796" s="2" t="str">
        <f>HYPERLINK("https://www.nba.com/stats/events?CFID=&amp;CFPARAMS=&amp;GameEventID=16&amp;GameID=0021801180&amp;Season=2018-19&amp;flag=1&amp;title=Leonard%202'%20Driving%20Layup%20(2%20PTS)", "Leonard 2' Driving Layup (2 PTS)")</f>
        <v>Leonard 2' Driving Layup (2 PTS)</v>
      </c>
      <c r="L4796" s="2" t="str">
        <f>HYPERLINK("https://www.nba.com/game/...-vs-...-0021801180/play-by-play?watchFullGame=true", "TOR vs CHA - Q1 10:37.00")</f>
        <v>TOR vs CHA - Q1 10:37.00</v>
      </c>
      <c r="M4796">
        <v>2</v>
      </c>
      <c r="N4796">
        <v>14</v>
      </c>
      <c r="O4796">
        <v>16</v>
      </c>
      <c r="P4796">
        <v>14</v>
      </c>
      <c r="Q4796">
        <v>16</v>
      </c>
      <c r="R4796" t="s">
        <v>21</v>
      </c>
      <c r="S4796" t="s">
        <v>21</v>
      </c>
    </row>
    <row r="4797" spans="1:19" hidden="1" x14ac:dyDescent="0.25">
      <c r="A4797">
        <v>21600925</v>
      </c>
      <c r="B4797" t="s">
        <v>18</v>
      </c>
      <c r="C4797" t="s">
        <v>22</v>
      </c>
      <c r="D4797">
        <v>47</v>
      </c>
      <c r="E4797">
        <v>57</v>
      </c>
      <c r="F4797">
        <v>10</v>
      </c>
      <c r="G4797">
        <v>3</v>
      </c>
      <c r="H4797" s="1">
        <v>7.4189814814814813E-3</v>
      </c>
      <c r="I4797">
        <v>2016</v>
      </c>
      <c r="J4797" t="s">
        <v>20</v>
      </c>
      <c r="K4797" s="2" t="str">
        <f>HYPERLINK("https://www.nba.com/stats/events?CFID=&amp;CFPARAMS=&amp;GameEventID=275&amp;GameID=0021600925&amp;Season=2016-17&amp;flag=1&amp;title=Leonard%202'%20Driving%20Layup%20(12%20PTS)", "Leonard 2' Driving Layup (12 PTS)")</f>
        <v>Leonard 2' Driving Layup (12 PTS)</v>
      </c>
      <c r="L4797" s="2" t="str">
        <f>HYPERLINK("https://www.nba.com/game/...-vs-...-0021600925/play-by-play?watchFullGame=true", "SAS vs MIN - Q3 10:41.00")</f>
        <v>SAS vs MIN - Q3 10:41.00</v>
      </c>
      <c r="M4797">
        <v>2</v>
      </c>
      <c r="N4797">
        <v>4</v>
      </c>
      <c r="O4797">
        <v>16</v>
      </c>
      <c r="P4797">
        <v>4</v>
      </c>
      <c r="Q4797">
        <v>16</v>
      </c>
      <c r="R4797" t="s">
        <v>21</v>
      </c>
      <c r="S4797" t="s">
        <v>21</v>
      </c>
    </row>
    <row r="4798" spans="1:19" hidden="1" x14ac:dyDescent="0.25">
      <c r="A4798">
        <v>21401134</v>
      </c>
      <c r="B4798" t="s">
        <v>18</v>
      </c>
      <c r="C4798" t="s">
        <v>32</v>
      </c>
      <c r="D4798">
        <v>7</v>
      </c>
      <c r="E4798">
        <v>4</v>
      </c>
      <c r="F4798">
        <v>3</v>
      </c>
      <c r="G4798">
        <v>1</v>
      </c>
      <c r="H4798" s="1">
        <v>7.4884259259259262E-3</v>
      </c>
      <c r="I4798">
        <v>2014</v>
      </c>
      <c r="J4798" t="s">
        <v>20</v>
      </c>
      <c r="K4798" s="2" t="str">
        <f>HYPERLINK("https://www.nba.com/stats/events?CFID=&amp;CFPARAMS=&amp;GameEventID=13&amp;GameID=0021401134&amp;Season=2014-15&amp;flag=1&amp;title=Leonard%202'%20Alley%20Oop%20Layup%20(4%20PTS)%20(Duncan%201%20AST)", "Leonard 2' Alley Oop Layup (4 PTS) (Duncan 1 AST)")</f>
        <v>Leonard 2' Alley Oop Layup (4 PTS) (Duncan 1 AST)</v>
      </c>
      <c r="L4798" s="2" t="str">
        <f>HYPERLINK("https://www.nba.com/game/...-vs-...-0021401134/play-by-play?watchFullGame=true", "SAS vs DEN - Q1 10:47.00")</f>
        <v>SAS vs DEN - Q1 10:47.00</v>
      </c>
      <c r="M4798">
        <v>2</v>
      </c>
      <c r="N4798">
        <v>-18</v>
      </c>
      <c r="O4798">
        <v>-2</v>
      </c>
      <c r="P4798">
        <v>-18</v>
      </c>
      <c r="Q4798">
        <v>-2</v>
      </c>
      <c r="R4798" t="s">
        <v>21</v>
      </c>
      <c r="S4798" t="s">
        <v>21</v>
      </c>
    </row>
    <row r="4799" spans="1:19" hidden="1" x14ac:dyDescent="0.25">
      <c r="A4799">
        <v>21500784</v>
      </c>
      <c r="B4799" t="s">
        <v>18</v>
      </c>
      <c r="C4799" t="s">
        <v>22</v>
      </c>
      <c r="D4799">
        <v>2</v>
      </c>
      <c r="E4799">
        <v>2</v>
      </c>
      <c r="F4799">
        <v>0</v>
      </c>
      <c r="G4799">
        <v>1</v>
      </c>
      <c r="H4799" s="1">
        <v>7.4999999999999997E-3</v>
      </c>
      <c r="I4799">
        <v>2015</v>
      </c>
      <c r="J4799" t="s">
        <v>20</v>
      </c>
      <c r="K4799" s="2" t="str">
        <f>HYPERLINK("https://www.nba.com/stats/events?CFID=&amp;CFPARAMS=&amp;GameEventID=7&amp;GameID=0021500784&amp;Season=2015-16&amp;flag=1&amp;title=Leonard%202'%20Driving%20Layup%20(2%20PTS)", "Leonard 2' Driving Layup (2 PTS)")</f>
        <v>Leonard 2' Driving Layup (2 PTS)</v>
      </c>
      <c r="L4799" s="2" t="str">
        <f>HYPERLINK("https://www.nba.com/game/...-vs-...-0021500784/play-by-play?watchFullGame=true", "SAS vs MIA - Q1 10:48.00")</f>
        <v>SAS vs MIA - Q1 10:48.00</v>
      </c>
      <c r="M4799">
        <v>2</v>
      </c>
      <c r="N4799">
        <v>10</v>
      </c>
      <c r="O4799">
        <v>16</v>
      </c>
      <c r="P4799">
        <v>10</v>
      </c>
      <c r="Q4799">
        <v>16</v>
      </c>
      <c r="R4799" t="s">
        <v>21</v>
      </c>
      <c r="S4799" t="s">
        <v>21</v>
      </c>
    </row>
    <row r="4800" spans="1:19" hidden="1" x14ac:dyDescent="0.25">
      <c r="A4800">
        <v>41200404</v>
      </c>
      <c r="B4800" t="s">
        <v>18</v>
      </c>
      <c r="C4800" t="s">
        <v>22</v>
      </c>
      <c r="D4800">
        <v>51</v>
      </c>
      <c r="E4800">
        <v>51</v>
      </c>
      <c r="F4800">
        <v>0</v>
      </c>
      <c r="G4800">
        <v>3</v>
      </c>
      <c r="H4800" s="1">
        <v>7.5115740740740742E-3</v>
      </c>
      <c r="I4800" t="s">
        <v>53</v>
      </c>
      <c r="J4800" t="s">
        <v>20</v>
      </c>
      <c r="K4800" s="2" t="str">
        <f>HYPERLINK("https://www.nba.com/stats/events?CFID=&amp;CFPARAMS=&amp;GameEventID=260&amp;GameID=0041200404&amp;Season=2012-13&amp;flag=1&amp;title=Leonard%202'%20Driving%20Layup%20(7%20PTS)", "Leonard 2' Driving Layup (7 PTS)")</f>
        <v>Leonard 2' Driving Layup (7 PTS)</v>
      </c>
      <c r="L4800" s="2" t="str">
        <f>HYPERLINK("https://www.nba.com/game/...-vs-...-0041200404/play-by-play?watchFullGame=true", "SAS vs MIA - Q3 10:49.00")</f>
        <v>SAS vs MIA - Q3 10:49.00</v>
      </c>
      <c r="M4800">
        <v>2</v>
      </c>
      <c r="N4800">
        <v>-19</v>
      </c>
      <c r="O4800">
        <v>14</v>
      </c>
      <c r="P4800">
        <v>-19</v>
      </c>
      <c r="Q4800">
        <v>14</v>
      </c>
      <c r="R4800" t="s">
        <v>21</v>
      </c>
      <c r="S4800" t="s">
        <v>21</v>
      </c>
    </row>
    <row r="4801" spans="1:19" hidden="1" x14ac:dyDescent="0.25">
      <c r="A4801">
        <v>21600625</v>
      </c>
      <c r="B4801" t="s">
        <v>18</v>
      </c>
      <c r="C4801" t="s">
        <v>22</v>
      </c>
      <c r="D4801">
        <v>2</v>
      </c>
      <c r="E4801">
        <v>3</v>
      </c>
      <c r="F4801">
        <v>1</v>
      </c>
      <c r="G4801">
        <v>1</v>
      </c>
      <c r="H4801" s="1">
        <v>7.5115740740740742E-3</v>
      </c>
      <c r="I4801">
        <v>2016</v>
      </c>
      <c r="J4801" t="s">
        <v>20</v>
      </c>
      <c r="K4801" s="2" t="str">
        <f>HYPERLINK("https://www.nba.com/stats/events?CFID=&amp;CFPARAMS=&amp;GameEventID=12&amp;GameID=0021600625&amp;Season=2016-17&amp;flag=1&amp;title=Leonard%202'%20Driving%20Layup%20(2%20PTS)", "Leonard 2' Driving Layup (2 PTS)")</f>
        <v>Leonard 2' Driving Layup (2 PTS)</v>
      </c>
      <c r="L4801" s="2" t="str">
        <f>HYPERLINK("https://www.nba.com/game/...-vs-...-0021600625/play-by-play?watchFullGame=true", "SAS vs MIN - Q1 10:49.00")</f>
        <v>SAS vs MIN - Q1 10:49.00</v>
      </c>
      <c r="M4801">
        <v>2</v>
      </c>
      <c r="N4801">
        <v>20</v>
      </c>
      <c r="O4801">
        <v>-1</v>
      </c>
      <c r="P4801">
        <v>20</v>
      </c>
      <c r="Q4801">
        <v>-1</v>
      </c>
      <c r="R4801" t="s">
        <v>21</v>
      </c>
      <c r="S4801" t="s">
        <v>21</v>
      </c>
    </row>
    <row r="4802" spans="1:19" hidden="1" x14ac:dyDescent="0.25">
      <c r="A4802">
        <v>41300314</v>
      </c>
      <c r="B4802" t="s">
        <v>18</v>
      </c>
      <c r="C4802" t="s">
        <v>35</v>
      </c>
      <c r="D4802">
        <v>22</v>
      </c>
      <c r="E4802">
        <v>26</v>
      </c>
      <c r="F4802">
        <v>4</v>
      </c>
      <c r="G4802">
        <v>2</v>
      </c>
      <c r="H4802" s="1">
        <v>7.5462962962962966E-3</v>
      </c>
      <c r="I4802" t="s">
        <v>55</v>
      </c>
      <c r="J4802" t="s">
        <v>20</v>
      </c>
      <c r="K4802" s="2" t="str">
        <f>HYPERLINK("https://www.nba.com/stats/events?CFID=&amp;CFPARAMS=&amp;GameEventID=121&amp;GameID=0041300314&amp;Season=2013-14&amp;flag=1&amp;title=Leonard%202'%20Reverse%20Layup%20(8%20PTS)%20(Diaw%201%20AST)", "Leonard 2' Reverse Layup (8 PTS) (Diaw 1 AST)")</f>
        <v>Leonard 2' Reverse Layup (8 PTS) (Diaw 1 AST)</v>
      </c>
      <c r="L4802" s="2" t="str">
        <f>HYPERLINK("https://www.nba.com/game/...-vs-...-0041300314/play-by-play?watchFullGame=true", "SAS vs OKC - Q2 10:52.00")</f>
        <v>SAS vs OKC - Q2 10:52.00</v>
      </c>
      <c r="M4802">
        <v>2</v>
      </c>
      <c r="N4802">
        <v>-24</v>
      </c>
      <c r="O4802">
        <v>0</v>
      </c>
      <c r="P4802">
        <v>-24</v>
      </c>
      <c r="Q4802">
        <v>0</v>
      </c>
      <c r="R4802" t="s">
        <v>21</v>
      </c>
      <c r="S4802" t="s">
        <v>21</v>
      </c>
    </row>
    <row r="4803" spans="1:19" hidden="1" x14ac:dyDescent="0.25">
      <c r="A4803">
        <v>21800192</v>
      </c>
      <c r="B4803" t="s">
        <v>18</v>
      </c>
      <c r="C4803" t="s">
        <v>47</v>
      </c>
      <c r="D4803">
        <v>63</v>
      </c>
      <c r="E4803">
        <v>68</v>
      </c>
      <c r="F4803">
        <v>5</v>
      </c>
      <c r="G4803">
        <v>3</v>
      </c>
      <c r="H4803" s="1">
        <v>7.5925925925925926E-3</v>
      </c>
      <c r="I4803">
        <v>2018</v>
      </c>
      <c r="J4803" t="s">
        <v>48</v>
      </c>
      <c r="K4803" s="2" t="str">
        <f>HYPERLINK("https://www.nba.com/stats/events?CFID=&amp;CFPARAMS=&amp;GameEventID=357&amp;GameID=0021800192&amp;Season=2018-19&amp;flag=1&amp;title=Leonard%202'%20Hook%20Shot%20(17%20PTS)", "Leonard 2' Hook Shot (17 PTS)")</f>
        <v>Leonard 2' Hook Shot (17 PTS)</v>
      </c>
      <c r="L4803" s="2" t="str">
        <f>HYPERLINK("https://www.nba.com/game/...-vs-...-0021800192/play-by-play?watchFullGame=true", "TOR vs NOP - Q3 10:56.00")</f>
        <v>TOR vs NOP - Q3 10:56.00</v>
      </c>
      <c r="M4803">
        <v>2</v>
      </c>
      <c r="N4803">
        <v>-2</v>
      </c>
      <c r="O4803">
        <v>21</v>
      </c>
      <c r="P4803">
        <v>-2</v>
      </c>
      <c r="Q4803">
        <v>21</v>
      </c>
      <c r="R4803" t="s">
        <v>21</v>
      </c>
      <c r="S4803" t="s">
        <v>21</v>
      </c>
    </row>
    <row r="4804" spans="1:19" hidden="1" x14ac:dyDescent="0.25">
      <c r="A4804">
        <v>21801169</v>
      </c>
      <c r="B4804" t="s">
        <v>18</v>
      </c>
      <c r="C4804" t="s">
        <v>51</v>
      </c>
      <c r="D4804">
        <v>2</v>
      </c>
      <c r="E4804">
        <v>0</v>
      </c>
      <c r="F4804">
        <v>2</v>
      </c>
      <c r="G4804">
        <v>1</v>
      </c>
      <c r="H4804" s="1">
        <v>7.5925925925925926E-3</v>
      </c>
      <c r="I4804">
        <v>2018</v>
      </c>
      <c r="J4804" t="s">
        <v>48</v>
      </c>
      <c r="K4804" s="2" t="str">
        <f>HYPERLINK("https://www.nba.com/stats/events?CFID=&amp;CFPARAMS=&amp;GameEventID=17&amp;GameID=0021801169&amp;Season=2018-19&amp;flag=1&amp;title=Leonard%202'%20Running%20Layup%20(2%20PTS)%20(Green%201%20AST)", "Leonard 2' Running Layup (2 PTS) (Green 1 AST)")</f>
        <v>Leonard 2' Running Layup (2 PTS) (Green 1 AST)</v>
      </c>
      <c r="L4804" s="2" t="str">
        <f>HYPERLINK("https://www.nba.com/game/...-vs-...-0021801169/play-by-play?watchFullGame=true", "TOR vs BKN - Q1 10:56.00")</f>
        <v>TOR vs BKN - Q1 10:56.00</v>
      </c>
      <c r="M4804">
        <v>2</v>
      </c>
      <c r="N4804">
        <v>19</v>
      </c>
      <c r="O4804">
        <v>11</v>
      </c>
      <c r="P4804">
        <v>19</v>
      </c>
      <c r="Q4804">
        <v>11</v>
      </c>
      <c r="R4804" t="s">
        <v>21</v>
      </c>
      <c r="S4804" t="s">
        <v>21</v>
      </c>
    </row>
    <row r="4805" spans="1:19" hidden="1" x14ac:dyDescent="0.25">
      <c r="A4805">
        <v>21400595</v>
      </c>
      <c r="B4805" t="s">
        <v>18</v>
      </c>
      <c r="C4805" t="s">
        <v>24</v>
      </c>
      <c r="D4805">
        <v>2</v>
      </c>
      <c r="E4805">
        <v>2</v>
      </c>
      <c r="F4805">
        <v>0</v>
      </c>
      <c r="G4805">
        <v>1</v>
      </c>
      <c r="H4805" s="1">
        <v>7.6388888888888886E-3</v>
      </c>
      <c r="I4805">
        <v>2014</v>
      </c>
      <c r="J4805" t="s">
        <v>20</v>
      </c>
      <c r="K4805" s="2" t="str">
        <f>HYPERLINK("https://www.nba.com/stats/events?CFID=&amp;CFPARAMS=&amp;GameEventID=9&amp;GameID=0021400595&amp;Season=2014-15&amp;flag=1&amp;title=Leonard%202'%20Layup%20(2%20PTS)%20(Splitter%201%20AST)", "Leonard 2' Layup (2 PTS) (Splitter 1 AST)")</f>
        <v>Leonard 2' Layup (2 PTS) (Splitter 1 AST)</v>
      </c>
      <c r="L4805" s="2" t="str">
        <f>HYPERLINK("https://www.nba.com/game/...-vs-...-0021400595/play-by-play?watchFullGame=true", "SAS vs POR - Q1 11:00.00")</f>
        <v>SAS vs POR - Q1 11:00.00</v>
      </c>
      <c r="M4805">
        <v>2</v>
      </c>
      <c r="N4805">
        <v>15</v>
      </c>
      <c r="O4805">
        <v>12</v>
      </c>
      <c r="P4805">
        <v>15</v>
      </c>
      <c r="Q4805">
        <v>12</v>
      </c>
      <c r="R4805" t="s">
        <v>21</v>
      </c>
      <c r="S4805" t="s">
        <v>21</v>
      </c>
    </row>
    <row r="4806" spans="1:19" hidden="1" x14ac:dyDescent="0.25">
      <c r="A4806">
        <v>21500103</v>
      </c>
      <c r="B4806" t="s">
        <v>18</v>
      </c>
      <c r="C4806" t="s">
        <v>22</v>
      </c>
      <c r="D4806">
        <v>51</v>
      </c>
      <c r="E4806">
        <v>45</v>
      </c>
      <c r="F4806">
        <v>6</v>
      </c>
      <c r="G4806">
        <v>3</v>
      </c>
      <c r="H4806" s="1">
        <v>7.7199074074074071E-3</v>
      </c>
      <c r="I4806">
        <v>2015</v>
      </c>
      <c r="J4806" t="s">
        <v>20</v>
      </c>
      <c r="K4806" s="2" t="str">
        <f>HYPERLINK("https://www.nba.com/stats/events?CFID=&amp;CFPARAMS=&amp;GameEventID=254&amp;GameID=0021500103&amp;Season=2015-16&amp;flag=1&amp;title=Leonard%202'%20Driving%20Layup%20(13%20PTS)", "Leonard 2' Driving Layup (13 PTS)")</f>
        <v>Leonard 2' Driving Layup (13 PTS)</v>
      </c>
      <c r="L4806" s="2" t="str">
        <f>HYPERLINK("https://www.nba.com/game/...-vs-...-0021500103/play-by-play?watchFullGame=true", "SAS vs SAC - Q3 11:07.00")</f>
        <v>SAS vs SAC - Q3 11:07.00</v>
      </c>
      <c r="M4806">
        <v>2</v>
      </c>
      <c r="N4806">
        <v>19</v>
      </c>
      <c r="O4806">
        <v>13</v>
      </c>
      <c r="P4806">
        <v>19</v>
      </c>
      <c r="Q4806">
        <v>13</v>
      </c>
      <c r="R4806" t="s">
        <v>21</v>
      </c>
      <c r="S4806" t="s">
        <v>21</v>
      </c>
    </row>
    <row r="4807" spans="1:19" hidden="1" x14ac:dyDescent="0.25">
      <c r="A4807">
        <v>41300224</v>
      </c>
      <c r="B4807" t="s">
        <v>18</v>
      </c>
      <c r="C4807" t="s">
        <v>33</v>
      </c>
      <c r="D4807">
        <v>2</v>
      </c>
      <c r="E4807">
        <v>2</v>
      </c>
      <c r="F4807">
        <v>0</v>
      </c>
      <c r="G4807">
        <v>1</v>
      </c>
      <c r="H4807" s="1">
        <v>7.7546296296296295E-3</v>
      </c>
      <c r="I4807" t="s">
        <v>55</v>
      </c>
      <c r="J4807" t="s">
        <v>20</v>
      </c>
      <c r="K4807" s="2" t="str">
        <f>HYPERLINK("https://www.nba.com/stats/events?CFID=&amp;CFPARAMS=&amp;GameEventID=7&amp;GameID=0041300224&amp;Season=2013-14&amp;flag=1&amp;title=Leonard%202'%20Putback%20Layup%20(2%20PTS)", "Leonard 2' Putback Layup (2 PTS)")</f>
        <v>Leonard 2' Putback Layup (2 PTS)</v>
      </c>
      <c r="L4807" s="2" t="str">
        <f>HYPERLINK("https://www.nba.com/game/...-vs-...-0041300224/play-by-play?watchFullGame=true", "SAS vs POR - Q1 11:10.00")</f>
        <v>SAS vs POR - Q1 11:10.00</v>
      </c>
      <c r="M4807">
        <v>2</v>
      </c>
      <c r="N4807">
        <v>-15</v>
      </c>
      <c r="O4807">
        <v>6</v>
      </c>
      <c r="P4807">
        <v>-15</v>
      </c>
      <c r="Q4807">
        <v>6</v>
      </c>
      <c r="R4807" t="s">
        <v>21</v>
      </c>
      <c r="S4807" t="s">
        <v>21</v>
      </c>
    </row>
    <row r="4808" spans="1:19" hidden="1" x14ac:dyDescent="0.25">
      <c r="A4808">
        <v>21800442</v>
      </c>
      <c r="B4808" t="s">
        <v>18</v>
      </c>
      <c r="C4808" t="s">
        <v>24</v>
      </c>
      <c r="D4808">
        <v>52</v>
      </c>
      <c r="E4808">
        <v>39</v>
      </c>
      <c r="F4808">
        <v>13</v>
      </c>
      <c r="G4808">
        <v>3</v>
      </c>
      <c r="H4808" s="1">
        <v>7.766203703703704E-3</v>
      </c>
      <c r="I4808">
        <v>2018</v>
      </c>
      <c r="J4808" t="s">
        <v>48</v>
      </c>
      <c r="K4808" s="2" t="str">
        <f>HYPERLINK("https://www.nba.com/stats/events?CFID=&amp;CFPARAMS=&amp;GameEventID=298&amp;GameID=0021800442&amp;Season=2018-19&amp;flag=1&amp;title=Leonard%202'%20Layup%20(12%20PTS)", "Leonard 2' Layup (12 PTS)")</f>
        <v>Leonard 2' Layup (12 PTS)</v>
      </c>
      <c r="L4808" s="2" t="str">
        <f>HYPERLINK("https://www.nba.com/game/...-vs-...-0021800442/play-by-play?watchFullGame=true", "TOR vs DEN - Q3 11:11.00")</f>
        <v>TOR vs DEN - Q3 11:11.00</v>
      </c>
      <c r="M4808">
        <v>2</v>
      </c>
      <c r="N4808">
        <v>15</v>
      </c>
      <c r="O4808">
        <v>15</v>
      </c>
      <c r="P4808">
        <v>15</v>
      </c>
      <c r="Q4808">
        <v>15</v>
      </c>
      <c r="R4808" t="s">
        <v>21</v>
      </c>
      <c r="S4808" t="s">
        <v>21</v>
      </c>
    </row>
    <row r="4809" spans="1:19" hidden="1" x14ac:dyDescent="0.25">
      <c r="A4809">
        <v>21400774</v>
      </c>
      <c r="B4809" t="s">
        <v>18</v>
      </c>
      <c r="C4809" t="s">
        <v>24</v>
      </c>
      <c r="D4809">
        <v>4</v>
      </c>
      <c r="E4809">
        <v>2</v>
      </c>
      <c r="F4809">
        <v>2</v>
      </c>
      <c r="G4809">
        <v>1</v>
      </c>
      <c r="H4809" s="1">
        <v>7.8240740740740736E-3</v>
      </c>
      <c r="I4809">
        <v>2014</v>
      </c>
      <c r="J4809" t="s">
        <v>20</v>
      </c>
      <c r="K4809" s="2" t="str">
        <f>HYPERLINK("https://www.nba.com/stats/events?CFID=&amp;CFPARAMS=&amp;GameEventID=8&amp;GameID=0021400774&amp;Season=2014-15&amp;flag=1&amp;title=Leonard%202'%20Layup%20(2%20PTS)", "Leonard 2' Layup (2 PTS)")</f>
        <v>Leonard 2' Layup (2 PTS)</v>
      </c>
      <c r="L4809" s="2" t="str">
        <f>HYPERLINK("https://www.nba.com/game/...-vs-...-0021400774/play-by-play?watchFullGame=true", "SAS vs IND - Q1 11:16.00")</f>
        <v>SAS vs IND - Q1 11:16.00</v>
      </c>
      <c r="M4809">
        <v>2</v>
      </c>
      <c r="N4809">
        <v>17</v>
      </c>
      <c r="O4809">
        <v>15</v>
      </c>
      <c r="P4809">
        <v>17</v>
      </c>
      <c r="Q4809">
        <v>15</v>
      </c>
      <c r="R4809" t="s">
        <v>21</v>
      </c>
      <c r="S4809" t="s">
        <v>21</v>
      </c>
    </row>
    <row r="4810" spans="1:19" hidden="1" x14ac:dyDescent="0.25">
      <c r="A4810">
        <v>21401150</v>
      </c>
      <c r="B4810" t="s">
        <v>18</v>
      </c>
      <c r="C4810" t="s">
        <v>22</v>
      </c>
      <c r="D4810">
        <v>2</v>
      </c>
      <c r="E4810">
        <v>0</v>
      </c>
      <c r="F4810">
        <v>2</v>
      </c>
      <c r="G4810">
        <v>1</v>
      </c>
      <c r="H4810" s="1">
        <v>7.858796296296296E-3</v>
      </c>
      <c r="I4810">
        <v>2014</v>
      </c>
      <c r="J4810" t="s">
        <v>20</v>
      </c>
      <c r="K4810" s="2" t="str">
        <f>HYPERLINK("https://www.nba.com/stats/events?CFID=&amp;CFPARAMS=&amp;GameEventID=4&amp;GameID=0021401150&amp;Season=2014-15&amp;flag=1&amp;title=Leonard%202'%20Driving%20Layup%20(2%20PTS)%20(Duncan%201%20AST)", "Leonard 2' Driving Layup (2 PTS) (Duncan 1 AST)")</f>
        <v>Leonard 2' Driving Layup (2 PTS) (Duncan 1 AST)</v>
      </c>
      <c r="L4810" s="2" t="str">
        <f>HYPERLINK("https://www.nba.com/game/...-vs-...-0021401150/play-by-play?watchFullGame=true", "SAS vs GSW - Q1 11:19.00")</f>
        <v>SAS vs GSW - Q1 11:19.00</v>
      </c>
      <c r="M4810">
        <v>2</v>
      </c>
      <c r="N4810">
        <v>17</v>
      </c>
      <c r="O4810">
        <v>3</v>
      </c>
      <c r="P4810">
        <v>17</v>
      </c>
      <c r="Q4810">
        <v>3</v>
      </c>
      <c r="R4810" t="s">
        <v>21</v>
      </c>
      <c r="S4810" t="s">
        <v>21</v>
      </c>
    </row>
    <row r="4811" spans="1:19" hidden="1" x14ac:dyDescent="0.25">
      <c r="A4811">
        <v>21400354</v>
      </c>
      <c r="B4811" t="s">
        <v>18</v>
      </c>
      <c r="C4811" t="s">
        <v>22</v>
      </c>
      <c r="D4811">
        <v>49</v>
      </c>
      <c r="E4811">
        <v>36</v>
      </c>
      <c r="F4811">
        <v>13</v>
      </c>
      <c r="G4811">
        <v>3</v>
      </c>
      <c r="H4811" s="1">
        <v>7.858796296296296E-3</v>
      </c>
      <c r="I4811">
        <v>2014</v>
      </c>
      <c r="J4811" t="s">
        <v>20</v>
      </c>
      <c r="K4811" s="2" t="str">
        <f>HYPERLINK("https://www.nba.com/stats/events?CFID=&amp;CFPARAMS=&amp;GameEventID=273&amp;GameID=0021400354&amp;Season=2014-15&amp;flag=1&amp;title=Leonard%202'%20Driving%20Layup%20(8%20PTS)%20(Splitter%202%20AST)", "Leonard 2' Driving Layup (8 PTS) (Splitter 2 AST)")</f>
        <v>Leonard 2' Driving Layup (8 PTS) (Splitter 2 AST)</v>
      </c>
      <c r="L4811" s="2" t="str">
        <f>HYPERLINK("https://www.nba.com/game/...-vs-...-0021400354/play-by-play?watchFullGame=true", "SAS vs DEN - Q3 11:19.00")</f>
        <v>SAS vs DEN - Q3 11:19.00</v>
      </c>
      <c r="M4811">
        <v>2</v>
      </c>
      <c r="N4811">
        <v>24</v>
      </c>
      <c r="O4811">
        <v>6</v>
      </c>
      <c r="P4811">
        <v>24</v>
      </c>
      <c r="Q4811">
        <v>6</v>
      </c>
      <c r="R4811" t="s">
        <v>21</v>
      </c>
      <c r="S4811" t="s">
        <v>21</v>
      </c>
    </row>
    <row r="4812" spans="1:19" hidden="1" x14ac:dyDescent="0.25">
      <c r="A4812">
        <v>21401200</v>
      </c>
      <c r="B4812" t="s">
        <v>18</v>
      </c>
      <c r="C4812" t="s">
        <v>22</v>
      </c>
      <c r="D4812">
        <v>23</v>
      </c>
      <c r="E4812">
        <v>18</v>
      </c>
      <c r="F4812">
        <v>5</v>
      </c>
      <c r="G4812">
        <v>2</v>
      </c>
      <c r="H4812" s="1">
        <v>7.8703703703703696E-3</v>
      </c>
      <c r="I4812">
        <v>2014</v>
      </c>
      <c r="J4812" t="s">
        <v>20</v>
      </c>
      <c r="K4812" s="2" t="str">
        <f>HYPERLINK("https://www.nba.com/stats/events?CFID=&amp;CFPARAMS=&amp;GameEventID=135&amp;GameID=0021401200&amp;Season=2014-15&amp;flag=1&amp;title=Leonard%202'%20Driving%20Layup%20(5%20PTS)", "Leonard 2' Driving Layup (5 PTS)")</f>
        <v>Leonard 2' Driving Layup (5 PTS)</v>
      </c>
      <c r="L4812" s="2" t="str">
        <f>HYPERLINK("https://www.nba.com/game/...-vs-...-0021401200/play-by-play?watchFullGame=true", "SAS vs PHX - Q2 11:20.00")</f>
        <v>SAS vs PHX - Q2 11:20.00</v>
      </c>
      <c r="M4812">
        <v>2</v>
      </c>
      <c r="N4812">
        <v>18</v>
      </c>
      <c r="O4812">
        <v>6</v>
      </c>
      <c r="P4812">
        <v>18</v>
      </c>
      <c r="Q4812">
        <v>6</v>
      </c>
      <c r="R4812" t="s">
        <v>21</v>
      </c>
      <c r="S4812" t="s">
        <v>21</v>
      </c>
    </row>
    <row r="4813" spans="1:19" hidden="1" x14ac:dyDescent="0.25">
      <c r="A4813">
        <v>41200232</v>
      </c>
      <c r="B4813" t="s">
        <v>18</v>
      </c>
      <c r="C4813" t="s">
        <v>24</v>
      </c>
      <c r="D4813">
        <v>45</v>
      </c>
      <c r="E4813">
        <v>62</v>
      </c>
      <c r="F4813">
        <v>17</v>
      </c>
      <c r="G4813">
        <v>3</v>
      </c>
      <c r="H4813" s="1">
        <v>7.9629629629629634E-3</v>
      </c>
      <c r="I4813" t="s">
        <v>53</v>
      </c>
      <c r="J4813" t="s">
        <v>20</v>
      </c>
      <c r="K4813" s="2" t="str">
        <f>HYPERLINK("https://www.nba.com/stats/events?CFID=&amp;CFPARAMS=&amp;GameEventID=263&amp;GameID=0041200232&amp;Season=2012-13&amp;flag=1&amp;title=Leonard%202'%20Layup%20(7%20PTS)%20(Duncan%202%20AST)", "Leonard 2' Layup (7 PTS) (Duncan 2 AST)")</f>
        <v>Leonard 2' Layup (7 PTS) (Duncan 2 AST)</v>
      </c>
      <c r="L4813" s="2" t="str">
        <f>HYPERLINK("https://www.nba.com/game/...-vs-...-0041200232/play-by-play?watchFullGame=true", "SAS vs GSW - Q3 11:28.00")</f>
        <v>SAS vs GSW - Q3 11:28.00</v>
      </c>
      <c r="M4813">
        <v>2</v>
      </c>
      <c r="N4813">
        <v>-15</v>
      </c>
      <c r="O4813">
        <v>3</v>
      </c>
      <c r="P4813">
        <v>-15</v>
      </c>
      <c r="Q4813">
        <v>3</v>
      </c>
      <c r="R4813" t="s">
        <v>21</v>
      </c>
      <c r="S4813" t="s">
        <v>21</v>
      </c>
    </row>
    <row r="4814" spans="1:19" hidden="1" x14ac:dyDescent="0.25">
      <c r="A4814">
        <v>21801001</v>
      </c>
      <c r="B4814" t="s">
        <v>18</v>
      </c>
      <c r="C4814" t="s">
        <v>24</v>
      </c>
      <c r="D4814">
        <v>2</v>
      </c>
      <c r="E4814">
        <v>0</v>
      </c>
      <c r="F4814">
        <v>2</v>
      </c>
      <c r="G4814">
        <v>1</v>
      </c>
      <c r="H4814" s="1">
        <v>8.0555555555555554E-3</v>
      </c>
      <c r="I4814">
        <v>2018</v>
      </c>
      <c r="J4814" t="s">
        <v>48</v>
      </c>
      <c r="K4814" s="2" t="str">
        <f>HYPERLINK("https://www.nba.com/stats/events?CFID=&amp;CFPARAMS=&amp;GameEventID=8&amp;GameID=0021801001&amp;Season=2018-19&amp;flag=1&amp;title=Leonard%202'%20Layup%20(2%20PTS)%20(Lowry%201%20AST)", "Leonard 2' Layup (2 PTS) (Lowry 1 AST)")</f>
        <v>Leonard 2' Layup (2 PTS) (Lowry 1 AST)</v>
      </c>
      <c r="L4814" s="2" t="str">
        <f>HYPERLINK("https://www.nba.com/game/...-vs-...-0021801001/play-by-play?watchFullGame=true", "TOR vs CLE - Q1 11:36.00")</f>
        <v>TOR vs CLE - Q1 11:36.00</v>
      </c>
      <c r="M4814">
        <v>2</v>
      </c>
      <c r="N4814">
        <v>11</v>
      </c>
      <c r="O4814">
        <v>21</v>
      </c>
      <c r="P4814">
        <v>11</v>
      </c>
      <c r="Q4814">
        <v>21</v>
      </c>
      <c r="R4814" t="s">
        <v>21</v>
      </c>
      <c r="S4814" t="s">
        <v>21</v>
      </c>
    </row>
    <row r="4815" spans="1:19" hidden="1" x14ac:dyDescent="0.25">
      <c r="A4815">
        <v>21800828</v>
      </c>
      <c r="B4815" t="s">
        <v>18</v>
      </c>
      <c r="C4815" t="s">
        <v>22</v>
      </c>
      <c r="D4815">
        <v>49</v>
      </c>
      <c r="E4815">
        <v>42</v>
      </c>
      <c r="F4815">
        <v>7</v>
      </c>
      <c r="G4815">
        <v>3</v>
      </c>
      <c r="H4815" s="1">
        <v>8.1481481481481474E-3</v>
      </c>
      <c r="I4815">
        <v>2018</v>
      </c>
      <c r="J4815" t="s">
        <v>48</v>
      </c>
      <c r="K4815" s="2" t="str">
        <f>HYPERLINK("https://www.nba.com/stats/events?CFID=&amp;CFPARAMS=&amp;GameEventID=338&amp;GameID=0021800828&amp;Season=2018-19&amp;flag=1&amp;title=Leonard%202'%20Driving%20Layup%20(9%20PTS)%20(Lowry%202%20AST)", "Leonard 2' Driving Layup (9 PTS) (Lowry 2 AST)")</f>
        <v>Leonard 2' Driving Layup (9 PTS) (Lowry 2 AST)</v>
      </c>
      <c r="L4815" s="2" t="str">
        <f>HYPERLINK("https://www.nba.com/game/...-vs-...-0021800828/play-by-play?watchFullGame=true", "TOR vs NYK - Q3 11:44.00")</f>
        <v>TOR vs NYK - Q3 11:44.00</v>
      </c>
      <c r="M4815">
        <v>2</v>
      </c>
      <c r="N4815">
        <v>-2</v>
      </c>
      <c r="O4815">
        <v>15</v>
      </c>
      <c r="P4815">
        <v>-2</v>
      </c>
      <c r="Q4815">
        <v>15</v>
      </c>
      <c r="R4815" t="s">
        <v>21</v>
      </c>
      <c r="S4815" t="s">
        <v>21</v>
      </c>
    </row>
    <row r="4816" spans="1:19" hidden="1" x14ac:dyDescent="0.25">
      <c r="A4816">
        <v>21400986</v>
      </c>
      <c r="B4816" t="s">
        <v>18</v>
      </c>
      <c r="C4816" t="s">
        <v>24</v>
      </c>
      <c r="D4816">
        <v>62</v>
      </c>
      <c r="E4816">
        <v>50</v>
      </c>
      <c r="F4816">
        <v>12</v>
      </c>
      <c r="G4816">
        <v>3</v>
      </c>
      <c r="H4816" s="1">
        <v>8.1481481481481474E-3</v>
      </c>
      <c r="I4816">
        <v>2014</v>
      </c>
      <c r="J4816" t="s">
        <v>20</v>
      </c>
      <c r="K4816" s="2" t="str">
        <f>HYPERLINK("https://www.nba.com/stats/events?CFID=&amp;CFPARAMS=&amp;GameEventID=245&amp;GameID=0021400986&amp;Season=2014-15&amp;flag=1&amp;title=Leonard%202'%20Layup%20(10%20PTS)%20(Parker%203%20AST)", "Leonard 2' Layup (10 PTS) (Parker 3 AST)")</f>
        <v>Leonard 2' Layup (10 PTS) (Parker 3 AST)</v>
      </c>
      <c r="L4816" s="2" t="str">
        <f>HYPERLINK("https://www.nba.com/game/...-vs-...-0021400986/play-by-play?watchFullGame=true", "SAS vs MIN - Q3 11:44.00")</f>
        <v>SAS vs MIN - Q3 11:44.00</v>
      </c>
      <c r="M4816">
        <v>2</v>
      </c>
      <c r="N4816">
        <v>12</v>
      </c>
      <c r="O4816">
        <v>11</v>
      </c>
      <c r="P4816">
        <v>12</v>
      </c>
      <c r="Q4816">
        <v>11</v>
      </c>
      <c r="R4816" t="s">
        <v>21</v>
      </c>
      <c r="S4816" t="s">
        <v>21</v>
      </c>
    </row>
    <row r="4817" spans="1:19" hidden="1" x14ac:dyDescent="0.25">
      <c r="A4817">
        <v>21400069</v>
      </c>
      <c r="B4817" t="s">
        <v>18</v>
      </c>
      <c r="C4817" t="s">
        <v>24</v>
      </c>
      <c r="D4817">
        <v>31</v>
      </c>
      <c r="E4817">
        <v>45</v>
      </c>
      <c r="F4817">
        <v>14</v>
      </c>
      <c r="G4817">
        <v>3</v>
      </c>
      <c r="H4817" s="1">
        <v>8.1481481481481474E-3</v>
      </c>
      <c r="I4817">
        <v>2014</v>
      </c>
      <c r="J4817" t="s">
        <v>20</v>
      </c>
      <c r="K4817" s="2" t="str">
        <f>HYPERLINK("https://www.nba.com/stats/events?CFID=&amp;CFPARAMS=&amp;GameEventID=285&amp;GameID=0021400069&amp;Season=2014-15&amp;flag=1&amp;title=Leonard%202'%20Layup%20(5%20PTS)%20(Diaw%202%20AST)", "Leonard 2' Layup (5 PTS) (Diaw 2 AST)")</f>
        <v>Leonard 2' Layup (5 PTS) (Diaw 2 AST)</v>
      </c>
      <c r="L4817" s="2" t="str">
        <f>HYPERLINK("https://www.nba.com/game/...-vs-...-0021400069/play-by-play?watchFullGame=true", "SAS vs HOU - Q3 11:44.00")</f>
        <v>SAS vs HOU - Q3 11:44.00</v>
      </c>
      <c r="M4817">
        <v>2</v>
      </c>
      <c r="N4817">
        <v>19</v>
      </c>
      <c r="O4817">
        <v>6</v>
      </c>
      <c r="P4817">
        <v>19</v>
      </c>
      <c r="Q4817">
        <v>6</v>
      </c>
      <c r="R4817" t="s">
        <v>21</v>
      </c>
      <c r="S4817" t="s">
        <v>21</v>
      </c>
    </row>
    <row r="4818" spans="1:19" hidden="1" x14ac:dyDescent="0.25">
      <c r="A4818">
        <v>41800217</v>
      </c>
      <c r="B4818" t="s">
        <v>18</v>
      </c>
      <c r="C4818" t="s">
        <v>29</v>
      </c>
      <c r="D4818">
        <v>46</v>
      </c>
      <c r="E4818">
        <v>40</v>
      </c>
      <c r="F4818">
        <v>6</v>
      </c>
      <c r="G4818">
        <v>3</v>
      </c>
      <c r="H4818" s="1">
        <v>8.1597222222222227E-3</v>
      </c>
      <c r="I4818" t="s">
        <v>60</v>
      </c>
      <c r="J4818" t="s">
        <v>48</v>
      </c>
      <c r="K4818" s="2" t="str">
        <f>HYPERLINK("https://www.nba.com/stats/events?CFID=&amp;CFPARAMS=&amp;GameEventID=312&amp;GameID=0041800217&amp;Season=2018-19&amp;flag=1&amp;title=Leonard%202'%20Jump%20Bank%20Shot%20(17%20PTS)", "Leonard 2' Jump Bank Shot (17 PTS)")</f>
        <v>Leonard 2' Jump Bank Shot (17 PTS)</v>
      </c>
      <c r="L4818" s="2" t="str">
        <f>HYPERLINK("https://www.nba.com/game/...-vs-...-0041800217/play-by-play?watchFullGame=true", "TOR vs PHI - Q3 11:45.00")</f>
        <v>TOR vs PHI - Q3 11:45.00</v>
      </c>
      <c r="M4818">
        <v>2</v>
      </c>
      <c r="N4818">
        <v>14</v>
      </c>
      <c r="O4818">
        <v>10</v>
      </c>
      <c r="P4818">
        <v>14</v>
      </c>
      <c r="Q4818">
        <v>10</v>
      </c>
      <c r="R4818" t="s">
        <v>21</v>
      </c>
      <c r="S4818" t="s">
        <v>21</v>
      </c>
    </row>
    <row r="4819" spans="1:19" hidden="1" x14ac:dyDescent="0.25">
      <c r="A4819">
        <v>21301127</v>
      </c>
      <c r="B4819" t="s">
        <v>18</v>
      </c>
      <c r="C4819" t="s">
        <v>23</v>
      </c>
      <c r="D4819">
        <v>91</v>
      </c>
      <c r="E4819">
        <v>101</v>
      </c>
      <c r="F4819">
        <v>10</v>
      </c>
      <c r="G4819">
        <v>4</v>
      </c>
      <c r="H4819" s="1">
        <v>1.4120370370370369E-3</v>
      </c>
      <c r="I4819">
        <v>2013</v>
      </c>
      <c r="J4819" t="s">
        <v>20</v>
      </c>
      <c r="K4819" s="2" t="str">
        <f>HYPERLINK("https://www.nba.com/stats/events?CFID=&amp;CFPARAMS=&amp;GameEventID=491&amp;GameID=0021301127&amp;Season=2013-14&amp;flag=1&amp;title=Leonard%201'%20Dunk%20(17%20PTS)", "Leonard 1' Dunk (17 PTS)")</f>
        <v>Leonard 1' Dunk (17 PTS)</v>
      </c>
      <c r="L4819" s="2" t="str">
        <f>HYPERLINK("https://www.nba.com/game/...-vs-...-0021301127/play-by-play?watchFullGame=true", "SAS vs OKC - Q4 02:02.00")</f>
        <v>SAS vs OKC - Q4 02:02.00</v>
      </c>
      <c r="M4819">
        <v>1</v>
      </c>
      <c r="N4819">
        <v>-4</v>
      </c>
      <c r="O4819">
        <v>4</v>
      </c>
      <c r="P4819">
        <v>-4</v>
      </c>
      <c r="Q4819">
        <v>4</v>
      </c>
      <c r="R4819" t="s">
        <v>21</v>
      </c>
      <c r="S4819" t="s">
        <v>21</v>
      </c>
    </row>
    <row r="4820" spans="1:19" hidden="1" x14ac:dyDescent="0.25">
      <c r="A4820">
        <v>41200236</v>
      </c>
      <c r="B4820" t="s">
        <v>18</v>
      </c>
      <c r="C4820" t="s">
        <v>78</v>
      </c>
      <c r="D4820">
        <v>65</v>
      </c>
      <c r="E4820">
        <v>53</v>
      </c>
      <c r="F4820">
        <v>12</v>
      </c>
      <c r="G4820">
        <v>3</v>
      </c>
      <c r="H4820" s="1">
        <v>1.6782407407407408E-3</v>
      </c>
      <c r="I4820" t="s">
        <v>53</v>
      </c>
      <c r="J4820" t="s">
        <v>20</v>
      </c>
      <c r="K4820" s="2" t="str">
        <f>HYPERLINK("https://www.nba.com/stats/events?CFID=&amp;CFPARAMS=&amp;GameEventID=340&amp;GameID=0041200236&amp;Season=2012-13&amp;flag=1&amp;title=Leonard%201'%20Driving%20Slam%20Dunk%20(9%20PTS)", "Leonard 1' Driving Slam Dunk (9 PTS)")</f>
        <v>Leonard 1' Driving Slam Dunk (9 PTS)</v>
      </c>
      <c r="L4820" s="2" t="str">
        <f>HYPERLINK("https://www.nba.com/game/...-vs-...-0041200236/play-by-play?watchFullGame=true", "SAS vs GSW - Q3 02:25.00")</f>
        <v>SAS vs GSW - Q3 02:25.00</v>
      </c>
      <c r="M4820">
        <v>1</v>
      </c>
      <c r="N4820">
        <v>-4</v>
      </c>
      <c r="O4820">
        <v>11</v>
      </c>
      <c r="P4820">
        <v>-4</v>
      </c>
      <c r="Q4820">
        <v>11</v>
      </c>
      <c r="R4820" t="s">
        <v>21</v>
      </c>
      <c r="S4820" t="s">
        <v>21</v>
      </c>
    </row>
    <row r="4821" spans="1:19" hidden="1" x14ac:dyDescent="0.25">
      <c r="A4821">
        <v>41300141</v>
      </c>
      <c r="B4821" t="s">
        <v>18</v>
      </c>
      <c r="C4821" t="s">
        <v>23</v>
      </c>
      <c r="D4821">
        <v>32</v>
      </c>
      <c r="E4821">
        <v>33</v>
      </c>
      <c r="F4821">
        <v>1</v>
      </c>
      <c r="G4821">
        <v>2</v>
      </c>
      <c r="H4821" s="1">
        <v>3.9004629629629628E-3</v>
      </c>
      <c r="I4821" t="s">
        <v>55</v>
      </c>
      <c r="J4821" t="s">
        <v>20</v>
      </c>
      <c r="K4821" s="2" t="str">
        <f>HYPERLINK("https://www.nba.com/stats/events?CFID=&amp;CFPARAMS=&amp;GameEventID=158&amp;GameID=0041300141&amp;Season=2013-14&amp;flag=1&amp;title=Leonard%201'%20Dunk%20(4%20PTS)", "Leonard 1' Dunk (4 PTS)")</f>
        <v>Leonard 1' Dunk (4 PTS)</v>
      </c>
      <c r="L4821" s="2" t="str">
        <f>HYPERLINK("https://www.nba.com/game/...-vs-...-0041300141/play-by-play?watchFullGame=true", "SAS vs DAL - Q2 05:37.00")</f>
        <v>SAS vs DAL - Q2 05:37.00</v>
      </c>
      <c r="M4821">
        <v>1</v>
      </c>
      <c r="N4821">
        <v>-4</v>
      </c>
      <c r="O4821">
        <v>-8</v>
      </c>
      <c r="P4821">
        <v>-4</v>
      </c>
      <c r="Q4821">
        <v>-8</v>
      </c>
      <c r="R4821" t="s">
        <v>21</v>
      </c>
      <c r="S4821" t="s">
        <v>21</v>
      </c>
    </row>
    <row r="4822" spans="1:19" hidden="1" x14ac:dyDescent="0.25">
      <c r="A4822">
        <v>21800519</v>
      </c>
      <c r="B4822" t="s">
        <v>18</v>
      </c>
      <c r="C4822" t="s">
        <v>25</v>
      </c>
      <c r="D4822">
        <v>56</v>
      </c>
      <c r="E4822">
        <v>74</v>
      </c>
      <c r="F4822">
        <v>18</v>
      </c>
      <c r="G4822">
        <v>3</v>
      </c>
      <c r="H4822" s="1">
        <v>3.9930555555555552E-3</v>
      </c>
      <c r="I4822">
        <v>2018</v>
      </c>
      <c r="J4822" t="s">
        <v>48</v>
      </c>
      <c r="K4822" s="2" t="str">
        <f>HYPERLINK("https://www.nba.com/stats/events?CFID=&amp;CFPARAMS=&amp;GameEventID=421&amp;GameID=0021800519&amp;Season=2018-19&amp;flag=1&amp;title=Leonard%201'%20Driving%20Dunk%20(17%20PTS)", "Leonard 1' Driving Dunk (17 PTS)")</f>
        <v>Leonard 1' Driving Dunk (17 PTS)</v>
      </c>
      <c r="L4822" s="2" t="str">
        <f>HYPERLINK("https://www.nba.com/game/...-vs-...-0021800519/play-by-play?watchFullGame=true", "TOR vs ORL - Q3 05:45.00")</f>
        <v>TOR vs ORL - Q3 05:45.00</v>
      </c>
      <c r="M4822">
        <v>1</v>
      </c>
      <c r="N4822">
        <v>-4</v>
      </c>
      <c r="O4822">
        <v>10</v>
      </c>
      <c r="P4822">
        <v>-4</v>
      </c>
      <c r="Q4822">
        <v>10</v>
      </c>
      <c r="R4822" t="s">
        <v>21</v>
      </c>
      <c r="S4822" t="s">
        <v>21</v>
      </c>
    </row>
    <row r="4823" spans="1:19" hidden="1" x14ac:dyDescent="0.25">
      <c r="A4823">
        <v>41300225</v>
      </c>
      <c r="B4823" t="s">
        <v>18</v>
      </c>
      <c r="C4823" t="s">
        <v>23</v>
      </c>
      <c r="D4823">
        <v>69</v>
      </c>
      <c r="E4823">
        <v>52</v>
      </c>
      <c r="F4823">
        <v>17</v>
      </c>
      <c r="G4823">
        <v>3</v>
      </c>
      <c r="H4823" s="1">
        <v>4.8379629629629632E-3</v>
      </c>
      <c r="I4823" t="s">
        <v>55</v>
      </c>
      <c r="J4823" t="s">
        <v>20</v>
      </c>
      <c r="K4823" s="2" t="str">
        <f>HYPERLINK("https://www.nba.com/stats/events?CFID=&amp;CFPARAMS=&amp;GameEventID=296&amp;GameID=0041300225&amp;Season=2013-14&amp;flag=1&amp;title=Leonard%201'%20Dunk%20(17%20PTS)", "Leonard 1' Dunk (17 PTS)")</f>
        <v>Leonard 1' Dunk (17 PTS)</v>
      </c>
      <c r="L4823" s="2" t="str">
        <f>HYPERLINK("https://www.nba.com/game/...-vs-...-0041300225/play-by-play?watchFullGame=true", "SAS vs POR - Q3 06:58.00")</f>
        <v>SAS vs POR - Q3 06:58.00</v>
      </c>
      <c r="M4823">
        <v>1</v>
      </c>
      <c r="N4823">
        <v>-4</v>
      </c>
      <c r="O4823">
        <v>14</v>
      </c>
      <c r="P4823">
        <v>-4</v>
      </c>
      <c r="Q4823">
        <v>14</v>
      </c>
      <c r="R4823" t="s">
        <v>21</v>
      </c>
      <c r="S4823" t="s">
        <v>21</v>
      </c>
    </row>
    <row r="4824" spans="1:19" hidden="1" x14ac:dyDescent="0.25">
      <c r="A4824">
        <v>41800217</v>
      </c>
      <c r="B4824" t="s">
        <v>18</v>
      </c>
      <c r="C4824" t="s">
        <v>50</v>
      </c>
      <c r="D4824">
        <v>29</v>
      </c>
      <c r="E4824">
        <v>21</v>
      </c>
      <c r="F4824">
        <v>8</v>
      </c>
      <c r="G4824">
        <v>2</v>
      </c>
      <c r="H4824" s="1">
        <v>5.6018518518518518E-3</v>
      </c>
      <c r="I4824" t="s">
        <v>60</v>
      </c>
      <c r="J4824" t="s">
        <v>48</v>
      </c>
      <c r="K4824" s="2" t="str">
        <f>HYPERLINK("https://www.nba.com/stats/events?CFID=&amp;CFPARAMS=&amp;GameEventID=206&amp;GameID=0041800217&amp;Season=2018-19&amp;flag=1&amp;title=Leonard%201'%20Running%20Dunk%20(13%20PTS)", "Leonard 1' Running Dunk (13 PTS)")</f>
        <v>Leonard 1' Running Dunk (13 PTS)</v>
      </c>
      <c r="L4824" s="2" t="str">
        <f>HYPERLINK("https://www.nba.com/game/...-vs-...-0041800217/play-by-play?watchFullGame=true", "TOR vs PHI - Q2 08:04.00")</f>
        <v>TOR vs PHI - Q2 08:04.00</v>
      </c>
      <c r="M4824">
        <v>1</v>
      </c>
      <c r="N4824">
        <v>-4</v>
      </c>
      <c r="O4824">
        <v>8</v>
      </c>
      <c r="P4824">
        <v>-4</v>
      </c>
      <c r="Q4824">
        <v>8</v>
      </c>
      <c r="R4824" t="s">
        <v>21</v>
      </c>
      <c r="S4824" t="s">
        <v>21</v>
      </c>
    </row>
    <row r="4825" spans="1:19" hidden="1" x14ac:dyDescent="0.25">
      <c r="A4825">
        <v>21800008</v>
      </c>
      <c r="B4825" t="s">
        <v>18</v>
      </c>
      <c r="C4825" t="s">
        <v>25</v>
      </c>
      <c r="D4825">
        <v>65</v>
      </c>
      <c r="E4825">
        <v>53</v>
      </c>
      <c r="F4825">
        <v>12</v>
      </c>
      <c r="G4825">
        <v>3</v>
      </c>
      <c r="H4825" s="1">
        <v>7.4884259259259262E-3</v>
      </c>
      <c r="I4825">
        <v>2018</v>
      </c>
      <c r="J4825" t="s">
        <v>48</v>
      </c>
      <c r="K4825" s="2" t="str">
        <f>HYPERLINK("https://www.nba.com/stats/events?CFID=&amp;CFPARAMS=&amp;GameEventID=379&amp;GameID=0021800008&amp;Season=2018-19&amp;flag=1&amp;title=Leonard%20Driving%20Dunk%20(14%20PTS)", "Leonard Driving Dunk (14 PTS)")</f>
        <v>Leonard Driving Dunk (14 PTS)</v>
      </c>
      <c r="L4825" s="2" t="str">
        <f>HYPERLINK("https://www.nba.com/game/...-vs-...-0021800008/play-by-play?watchFullGame=true", "TOR vs CLE - Q3 10:47.00")</f>
        <v>TOR vs CLE - Q3 10:47.00</v>
      </c>
      <c r="M4825">
        <v>0</v>
      </c>
      <c r="N4825">
        <v>-4</v>
      </c>
      <c r="O4825">
        <v>1</v>
      </c>
      <c r="P4825">
        <v>-4</v>
      </c>
      <c r="Q4825">
        <v>1</v>
      </c>
      <c r="R4825" t="s">
        <v>21</v>
      </c>
      <c r="S4825" t="s">
        <v>21</v>
      </c>
    </row>
    <row r="4826" spans="1:19" hidden="1" x14ac:dyDescent="0.25">
      <c r="A4826">
        <v>41300316</v>
      </c>
      <c r="B4826" t="s">
        <v>18</v>
      </c>
      <c r="C4826" t="s">
        <v>70</v>
      </c>
      <c r="D4826">
        <v>2</v>
      </c>
      <c r="E4826">
        <v>2</v>
      </c>
      <c r="F4826">
        <v>0</v>
      </c>
      <c r="G4826">
        <v>1</v>
      </c>
      <c r="H4826" s="1">
        <v>7.858796296296296E-3</v>
      </c>
      <c r="I4826" t="s">
        <v>55</v>
      </c>
      <c r="J4826" t="s">
        <v>20</v>
      </c>
      <c r="K4826" s="2" t="str">
        <f>HYPERLINK("https://www.nba.com/stats/events?CFID=&amp;CFPARAMS=&amp;GameEventID=3&amp;GameID=0041300316&amp;Season=2013-14&amp;flag=1&amp;title=Leonard%20%20Slam%20Dunk%20(2%20PTS)", "Leonard  Slam Dunk (2 PTS)")</f>
        <v>Leonard  Slam Dunk (2 PTS)</v>
      </c>
      <c r="L4826" s="2" t="str">
        <f>HYPERLINK("https://www.nba.com/game/...-vs-...-0041300316/play-by-play?watchFullGame=true", "SAS vs OKC - Q1 11:19.00")</f>
        <v>SAS vs OKC - Q1 11:19.00</v>
      </c>
      <c r="M4826">
        <v>0</v>
      </c>
      <c r="N4826">
        <v>-4</v>
      </c>
      <c r="O4826">
        <v>0</v>
      </c>
      <c r="P4826">
        <v>-4</v>
      </c>
      <c r="Q4826">
        <v>0</v>
      </c>
      <c r="R4826" t="s">
        <v>21</v>
      </c>
      <c r="S4826" t="s">
        <v>21</v>
      </c>
    </row>
    <row r="4827" spans="1:19" hidden="1" x14ac:dyDescent="0.25">
      <c r="A4827">
        <v>41800304</v>
      </c>
      <c r="B4827" t="s">
        <v>18</v>
      </c>
      <c r="C4827" t="s">
        <v>46</v>
      </c>
      <c r="D4827">
        <v>70</v>
      </c>
      <c r="E4827">
        <v>60</v>
      </c>
      <c r="F4827">
        <v>10</v>
      </c>
      <c r="G4827">
        <v>3</v>
      </c>
      <c r="H4827" s="1">
        <v>6.3773148148148148E-3</v>
      </c>
      <c r="I4827" t="s">
        <v>60</v>
      </c>
      <c r="J4827" t="s">
        <v>48</v>
      </c>
      <c r="K4827" s="2" t="str">
        <f>HYPERLINK("https://www.nba.com/stats/events?CFID=&amp;CFPARAMS=&amp;GameEventID=416&amp;GameID=0041800304&amp;Season=2018-19&amp;flag=1&amp;title=Leonard%202'%20Cutting%20Dunk%20Shot%20(10%20PTS)%20(Gasol%205%20AST)", "Leonard 2' Cutting Dunk Shot (10 PTS) (Gasol 5 AST)")</f>
        <v>Leonard 2' Cutting Dunk Shot (10 PTS) (Gasol 5 AST)</v>
      </c>
      <c r="L4827" s="2" t="str">
        <f>HYPERLINK("https://www.nba.com/game/...-vs-...-0041800304/play-by-play?watchFullGame=true", "TOR vs MIL - Q3 09:11.00")</f>
        <v>TOR vs MIL - Q3 09:11.00</v>
      </c>
      <c r="M4827">
        <v>2</v>
      </c>
      <c r="N4827">
        <v>-3</v>
      </c>
      <c r="O4827">
        <v>18</v>
      </c>
      <c r="P4827">
        <v>-3</v>
      </c>
      <c r="Q4827">
        <v>18</v>
      </c>
      <c r="R4827" t="s">
        <v>21</v>
      </c>
      <c r="S4827" t="s">
        <v>21</v>
      </c>
    </row>
    <row r="4828" spans="1:19" hidden="1" x14ac:dyDescent="0.25">
      <c r="A4828">
        <v>21800519</v>
      </c>
      <c r="B4828" t="s">
        <v>18</v>
      </c>
      <c r="C4828" t="s">
        <v>25</v>
      </c>
      <c r="D4828">
        <v>58</v>
      </c>
      <c r="E4828">
        <v>85</v>
      </c>
      <c r="F4828">
        <v>27</v>
      </c>
      <c r="G4828">
        <v>3</v>
      </c>
      <c r="H4828" s="1">
        <v>1.7476851851851852E-3</v>
      </c>
      <c r="I4828">
        <v>2018</v>
      </c>
      <c r="J4828" t="s">
        <v>48</v>
      </c>
      <c r="K4828" s="2" t="str">
        <f>HYPERLINK("https://www.nba.com/stats/events?CFID=&amp;CFPARAMS=&amp;GameEventID=473&amp;GameID=0021800519&amp;Season=2018-19&amp;flag=1&amp;title=Leonard%201'%20Driving%20Dunk%20(19%20PTS)%20(Wright%201%20AST)", "Leonard 1' Driving Dunk (19 PTS) (Wright 1 AST)")</f>
        <v>Leonard 1' Driving Dunk (19 PTS) (Wright 1 AST)</v>
      </c>
      <c r="L4828" s="2" t="str">
        <f>HYPERLINK("https://www.nba.com/game/...-vs-...-0021800519/play-by-play?watchFullGame=true", "TOR vs ORL - Q3 02:31.00")</f>
        <v>TOR vs ORL - Q3 02:31.00</v>
      </c>
      <c r="M4828">
        <v>1</v>
      </c>
      <c r="N4828">
        <v>-3</v>
      </c>
      <c r="O4828">
        <v>-4</v>
      </c>
      <c r="P4828">
        <v>-3</v>
      </c>
      <c r="Q4828">
        <v>-4</v>
      </c>
      <c r="R4828" t="s">
        <v>21</v>
      </c>
      <c r="S4828" t="s">
        <v>21</v>
      </c>
    </row>
    <row r="4829" spans="1:19" hidden="1" x14ac:dyDescent="0.25">
      <c r="A4829">
        <v>21800192</v>
      </c>
      <c r="B4829" t="s">
        <v>18</v>
      </c>
      <c r="C4829" t="s">
        <v>50</v>
      </c>
      <c r="D4829">
        <v>22</v>
      </c>
      <c r="E4829">
        <v>19</v>
      </c>
      <c r="F4829">
        <v>3</v>
      </c>
      <c r="G4829">
        <v>1</v>
      </c>
      <c r="H4829" s="1">
        <v>2.7662037037037039E-3</v>
      </c>
      <c r="I4829">
        <v>2018</v>
      </c>
      <c r="J4829" t="s">
        <v>48</v>
      </c>
      <c r="K4829" s="2" t="str">
        <f>HYPERLINK("https://www.nba.com/stats/events?CFID=&amp;CFPARAMS=&amp;GameEventID=104&amp;GameID=0021800192&amp;Season=2018-19&amp;flag=1&amp;title=Leonard%201'%20Running%20Dunk%20(8%20PTS)%20(Lowry%203%20AST)", "Leonard 1' Running Dunk (8 PTS) (Lowry 3 AST)")</f>
        <v>Leonard 1' Running Dunk (8 PTS) (Lowry 3 AST)</v>
      </c>
      <c r="L4829" s="2" t="str">
        <f>HYPERLINK("https://www.nba.com/game/...-vs-...-0021800192/play-by-play?watchFullGame=true", "TOR vs NOP - Q1 03:59.00")</f>
        <v>TOR vs NOP - Q1 03:59.00</v>
      </c>
      <c r="M4829">
        <v>1</v>
      </c>
      <c r="N4829">
        <v>-3</v>
      </c>
      <c r="O4829">
        <v>4</v>
      </c>
      <c r="P4829">
        <v>-3</v>
      </c>
      <c r="Q4829">
        <v>4</v>
      </c>
      <c r="R4829" t="s">
        <v>21</v>
      </c>
      <c r="S4829" t="s">
        <v>21</v>
      </c>
    </row>
    <row r="4830" spans="1:19" hidden="1" x14ac:dyDescent="0.25">
      <c r="A4830">
        <v>21800983</v>
      </c>
      <c r="B4830" t="s">
        <v>18</v>
      </c>
      <c r="C4830" t="s">
        <v>23</v>
      </c>
      <c r="D4830">
        <v>13</v>
      </c>
      <c r="E4830">
        <v>11</v>
      </c>
      <c r="F4830">
        <v>2</v>
      </c>
      <c r="G4830">
        <v>1</v>
      </c>
      <c r="H4830" s="1">
        <v>4.2245370370370371E-3</v>
      </c>
      <c r="I4830">
        <v>2018</v>
      </c>
      <c r="J4830" t="s">
        <v>48</v>
      </c>
      <c r="K4830" s="2" t="str">
        <f>HYPERLINK("https://www.nba.com/stats/events?CFID=&amp;CFPARAMS=&amp;GameEventID=74&amp;GameID=0021800983&amp;Season=2018-19&amp;flag=1&amp;title=Leonard%201'%20Dunk%20(8%20PTS)%20(Siakam%202%20AST)", "Leonard 1' Dunk (8 PTS) (Siakam 2 AST)")</f>
        <v>Leonard 1' Dunk (8 PTS) (Siakam 2 AST)</v>
      </c>
      <c r="L4830" s="2" t="str">
        <f>HYPERLINK("https://www.nba.com/game/...-vs-...-0021800983/play-by-play?watchFullGame=true", "TOR vs NOP - Q1 06:05.00")</f>
        <v>TOR vs NOP - Q1 06:05.00</v>
      </c>
      <c r="M4830">
        <v>1</v>
      </c>
      <c r="N4830">
        <v>-3</v>
      </c>
      <c r="O4830">
        <v>-6</v>
      </c>
      <c r="P4830">
        <v>-3</v>
      </c>
      <c r="Q4830">
        <v>-6</v>
      </c>
      <c r="R4830" t="s">
        <v>21</v>
      </c>
      <c r="S4830" t="s">
        <v>21</v>
      </c>
    </row>
    <row r="4831" spans="1:19" hidden="1" x14ac:dyDescent="0.25">
      <c r="A4831">
        <v>41800114</v>
      </c>
      <c r="B4831" t="s">
        <v>18</v>
      </c>
      <c r="C4831" t="s">
        <v>50</v>
      </c>
      <c r="D4831">
        <v>65</v>
      </c>
      <c r="E4831">
        <v>46</v>
      </c>
      <c r="F4831">
        <v>19</v>
      </c>
      <c r="G4831">
        <v>3</v>
      </c>
      <c r="H4831" s="1">
        <v>5.8912037037037041E-3</v>
      </c>
      <c r="I4831" t="s">
        <v>60</v>
      </c>
      <c r="J4831" t="s">
        <v>48</v>
      </c>
      <c r="K4831" s="2" t="str">
        <f>HYPERLINK("https://www.nba.com/stats/events?CFID=&amp;CFPARAMS=&amp;GameEventID=331&amp;GameID=0041800114&amp;Season=2018-19&amp;flag=1&amp;title=Leonard%201'%20Running%20Dunk%20(22%20PTS)%20(Lowry%206%20AST)", "Leonard 1' Running Dunk (22 PTS) (Lowry 6 AST)")</f>
        <v>Leonard 1' Running Dunk (22 PTS) (Lowry 6 AST)</v>
      </c>
      <c r="L4831" s="2" t="str">
        <f>HYPERLINK("https://www.nba.com/game/...-vs-...-0041800114/play-by-play?watchFullGame=true", "TOR vs ORL - Q3 08:29.00")</f>
        <v>TOR vs ORL - Q3 08:29.00</v>
      </c>
      <c r="M4831">
        <v>1</v>
      </c>
      <c r="N4831">
        <v>-3</v>
      </c>
      <c r="O4831">
        <v>6</v>
      </c>
      <c r="P4831">
        <v>-3</v>
      </c>
      <c r="Q4831">
        <v>6</v>
      </c>
      <c r="R4831" t="s">
        <v>21</v>
      </c>
      <c r="S4831" t="s">
        <v>21</v>
      </c>
    </row>
    <row r="4832" spans="1:19" hidden="1" x14ac:dyDescent="0.25">
      <c r="A4832">
        <v>21800123</v>
      </c>
      <c r="B4832" t="s">
        <v>18</v>
      </c>
      <c r="C4832" t="s">
        <v>50</v>
      </c>
      <c r="D4832">
        <v>53</v>
      </c>
      <c r="E4832">
        <v>54</v>
      </c>
      <c r="F4832">
        <v>1</v>
      </c>
      <c r="G4832">
        <v>3</v>
      </c>
      <c r="H4832" s="1">
        <v>7.6388888888888886E-3</v>
      </c>
      <c r="I4832">
        <v>2018</v>
      </c>
      <c r="J4832" t="s">
        <v>48</v>
      </c>
      <c r="K4832" s="2" t="str">
        <f>HYPERLINK("https://www.nba.com/stats/events?CFID=&amp;CFPARAMS=&amp;GameEventID=355&amp;GameID=0021800123&amp;Season=2018-19&amp;flag=1&amp;title=Leonard%201'%20Running%20Dunk%20(14%20PTS)", "Leonard 1' Running Dunk (14 PTS)")</f>
        <v>Leonard 1' Running Dunk (14 PTS)</v>
      </c>
      <c r="L4832" s="2" t="str">
        <f>HYPERLINK("https://www.nba.com/game/...-vs-...-0021800123/play-by-play?watchFullGame=true", "TOR vs PHX - Q3 11:00.00")</f>
        <v>TOR vs PHX - Q3 11:00.00</v>
      </c>
      <c r="M4832">
        <v>1</v>
      </c>
      <c r="N4832">
        <v>-3</v>
      </c>
      <c r="O4832">
        <v>5</v>
      </c>
      <c r="P4832">
        <v>-3</v>
      </c>
      <c r="Q4832">
        <v>5</v>
      </c>
      <c r="R4832" t="s">
        <v>21</v>
      </c>
      <c r="S4832" t="s">
        <v>21</v>
      </c>
    </row>
    <row r="4833" spans="1:19" hidden="1" x14ac:dyDescent="0.25">
      <c r="A4833">
        <v>41800217</v>
      </c>
      <c r="B4833" t="s">
        <v>18</v>
      </c>
      <c r="C4833" t="s">
        <v>50</v>
      </c>
      <c r="D4833">
        <v>10</v>
      </c>
      <c r="E4833">
        <v>7</v>
      </c>
      <c r="F4833">
        <v>3</v>
      </c>
      <c r="G4833">
        <v>1</v>
      </c>
      <c r="H4833" s="1">
        <v>3.3912037037037036E-3</v>
      </c>
      <c r="I4833" t="s">
        <v>60</v>
      </c>
      <c r="J4833" t="s">
        <v>48</v>
      </c>
      <c r="K4833" s="2" t="str">
        <f>HYPERLINK("https://www.nba.com/stats/events?CFID=&amp;CFPARAMS=&amp;GameEventID=88&amp;GameID=0041800217&amp;Season=2018-19&amp;flag=1&amp;title=Leonard%20Running%20Dunk%20(6%20PTS)", "Leonard Running Dunk (6 PTS)")</f>
        <v>Leonard Running Dunk (6 PTS)</v>
      </c>
      <c r="L4833" s="2" t="str">
        <f>HYPERLINK("https://www.nba.com/game/...-vs-...-0041800217/play-by-play?watchFullGame=true", "TOR vs PHI - Q1 04:53.00")</f>
        <v>TOR vs PHI - Q1 04:53.00</v>
      </c>
      <c r="M4833">
        <v>0</v>
      </c>
      <c r="N4833">
        <v>-3</v>
      </c>
      <c r="O4833">
        <v>-2</v>
      </c>
      <c r="P4833">
        <v>-3</v>
      </c>
      <c r="Q4833">
        <v>-2</v>
      </c>
      <c r="R4833" t="s">
        <v>21</v>
      </c>
      <c r="S4833" t="s">
        <v>21</v>
      </c>
    </row>
    <row r="4834" spans="1:19" hidden="1" x14ac:dyDescent="0.25">
      <c r="A4834">
        <v>21800459</v>
      </c>
      <c r="B4834" t="s">
        <v>18</v>
      </c>
      <c r="C4834" t="s">
        <v>25</v>
      </c>
      <c r="D4834">
        <v>62</v>
      </c>
      <c r="E4834">
        <v>77</v>
      </c>
      <c r="F4834">
        <v>15</v>
      </c>
      <c r="G4834">
        <v>3</v>
      </c>
      <c r="H4834" s="1">
        <v>3.4027777777777776E-3</v>
      </c>
      <c r="I4834">
        <v>2018</v>
      </c>
      <c r="J4834" t="s">
        <v>48</v>
      </c>
      <c r="K4834" s="2" t="str">
        <f>HYPERLINK("https://www.nba.com/stats/events?CFID=&amp;CFPARAMS=&amp;GameEventID=437&amp;GameID=0021800459&amp;Season=2018-19&amp;flag=1&amp;title=Leonard%20Driving%20Dunk%20(19%20PTS)%20(Wright%203%20AST)", "Leonard Driving Dunk (19 PTS) (Wright 3 AST)")</f>
        <v>Leonard Driving Dunk (19 PTS) (Wright 3 AST)</v>
      </c>
      <c r="L4834" s="2" t="str">
        <f>HYPERLINK("https://www.nba.com/game/...-vs-...-0021800459/play-by-play?watchFullGame=true", "TOR vs IND - Q3 04:54.00")</f>
        <v>TOR vs IND - Q3 04:54.00</v>
      </c>
      <c r="M4834">
        <v>0</v>
      </c>
      <c r="N4834">
        <v>-3</v>
      </c>
      <c r="O4834">
        <v>0</v>
      </c>
      <c r="P4834">
        <v>-3</v>
      </c>
      <c r="Q4834">
        <v>0</v>
      </c>
      <c r="R4834" t="s">
        <v>21</v>
      </c>
      <c r="S4834" t="s">
        <v>21</v>
      </c>
    </row>
    <row r="4835" spans="1:19" hidden="1" x14ac:dyDescent="0.25">
      <c r="A4835">
        <v>41800304</v>
      </c>
      <c r="B4835" t="s">
        <v>18</v>
      </c>
      <c r="C4835" t="s">
        <v>46</v>
      </c>
      <c r="D4835">
        <v>67</v>
      </c>
      <c r="E4835">
        <v>57</v>
      </c>
      <c r="F4835">
        <v>10</v>
      </c>
      <c r="G4835">
        <v>3</v>
      </c>
      <c r="H4835" s="1">
        <v>7.6041666666666671E-3</v>
      </c>
      <c r="I4835" t="s">
        <v>60</v>
      </c>
      <c r="J4835" t="s">
        <v>48</v>
      </c>
      <c r="K4835" s="2" t="str">
        <f>HYPERLINK("https://www.nba.com/stats/events?CFID=&amp;CFPARAMS=&amp;GameEventID=391&amp;GameID=0041800304&amp;Season=2018-19&amp;flag=1&amp;title=Leonard%202'%20Cutting%20Dunk%20Shot%20(7%20PTS)%20(Gasol%204%20AST)", "Leonard 2' Cutting Dunk Shot (7 PTS) (Gasol 4 AST)")</f>
        <v>Leonard 2' Cutting Dunk Shot (7 PTS) (Gasol 4 AST)</v>
      </c>
      <c r="L4835" s="2" t="str">
        <f>HYPERLINK("https://www.nba.com/game/...-vs-...-0041800304/play-by-play?watchFullGame=true", "TOR vs MIL - Q3 10:57.00")</f>
        <v>TOR vs MIL - Q3 10:57.00</v>
      </c>
      <c r="M4835">
        <v>2</v>
      </c>
      <c r="N4835">
        <v>-2</v>
      </c>
      <c r="O4835">
        <v>16</v>
      </c>
      <c r="P4835">
        <v>-2</v>
      </c>
      <c r="Q4835">
        <v>16</v>
      </c>
      <c r="R4835" t="s">
        <v>21</v>
      </c>
      <c r="S4835" t="s">
        <v>21</v>
      </c>
    </row>
    <row r="4836" spans="1:19" hidden="1" x14ac:dyDescent="0.25">
      <c r="A4836">
        <v>21800983</v>
      </c>
      <c r="B4836" t="s">
        <v>18</v>
      </c>
      <c r="C4836" t="s">
        <v>25</v>
      </c>
      <c r="D4836">
        <v>64</v>
      </c>
      <c r="E4836">
        <v>61</v>
      </c>
      <c r="F4836">
        <v>3</v>
      </c>
      <c r="G4836">
        <v>2</v>
      </c>
      <c r="H4836" s="1">
        <v>1.2037037037037037E-4</v>
      </c>
      <c r="I4836">
        <v>2018</v>
      </c>
      <c r="J4836" t="s">
        <v>48</v>
      </c>
      <c r="K4836" s="2" t="str">
        <f>HYPERLINK("https://www.nba.com/stats/events?CFID=&amp;CFPARAMS=&amp;GameEventID=324&amp;GameID=0021800983&amp;Season=2018-19&amp;flag=1&amp;title=Leonard%201'%20Driving%20Dunk%20(24%20PTS)", "Leonard 1' Driving Dunk (24 PTS)")</f>
        <v>Leonard 1' Driving Dunk (24 PTS)</v>
      </c>
      <c r="L4836" s="2" t="str">
        <f>HYPERLINK("https://www.nba.com/game/...-vs-...-0021800983/play-by-play?watchFullGame=true", "TOR vs NOP - Q2 00:10.40")</f>
        <v>TOR vs NOP - Q2 00:10.40</v>
      </c>
      <c r="M4836">
        <v>1</v>
      </c>
      <c r="N4836">
        <v>-2</v>
      </c>
      <c r="O4836">
        <v>-10</v>
      </c>
      <c r="P4836">
        <v>-2</v>
      </c>
      <c r="Q4836">
        <v>-10</v>
      </c>
      <c r="R4836" t="s">
        <v>21</v>
      </c>
      <c r="S4836" t="s">
        <v>21</v>
      </c>
    </row>
    <row r="4837" spans="1:19" hidden="1" x14ac:dyDescent="0.25">
      <c r="A4837">
        <v>21801169</v>
      </c>
      <c r="B4837" t="s">
        <v>18</v>
      </c>
      <c r="C4837" t="s">
        <v>25</v>
      </c>
      <c r="D4837">
        <v>55</v>
      </c>
      <c r="E4837">
        <v>46</v>
      </c>
      <c r="F4837">
        <v>9</v>
      </c>
      <c r="G4837">
        <v>2</v>
      </c>
      <c r="H4837" s="1">
        <v>1.5277777777777779E-3</v>
      </c>
      <c r="I4837">
        <v>2018</v>
      </c>
      <c r="J4837" t="s">
        <v>48</v>
      </c>
      <c r="K4837" s="2" t="str">
        <f>HYPERLINK("https://www.nba.com/stats/events?CFID=&amp;CFPARAMS=&amp;GameEventID=300&amp;GameID=0021801169&amp;Season=2018-19&amp;flag=1&amp;title=Leonard%201'%20Driving%20Dunk%20(17%20PTS)", "Leonard 1' Driving Dunk (17 PTS)")</f>
        <v>Leonard 1' Driving Dunk (17 PTS)</v>
      </c>
      <c r="L4837" s="2" t="str">
        <f>HYPERLINK("https://www.nba.com/game/...-vs-...-0021801169/play-by-play?watchFullGame=true", "TOR vs BKN - Q2 02:12.00")</f>
        <v>TOR vs BKN - Q2 02:12.00</v>
      </c>
      <c r="M4837">
        <v>1</v>
      </c>
      <c r="N4837">
        <v>-2</v>
      </c>
      <c r="O4837">
        <v>6</v>
      </c>
      <c r="P4837">
        <v>-2</v>
      </c>
      <c r="Q4837">
        <v>6</v>
      </c>
      <c r="R4837" t="s">
        <v>21</v>
      </c>
      <c r="S4837" t="s">
        <v>21</v>
      </c>
    </row>
    <row r="4838" spans="1:19" hidden="1" x14ac:dyDescent="0.25">
      <c r="A4838">
        <v>21300057</v>
      </c>
      <c r="B4838" t="s">
        <v>18</v>
      </c>
      <c r="C4838" t="s">
        <v>23</v>
      </c>
      <c r="D4838">
        <v>98</v>
      </c>
      <c r="E4838">
        <v>88</v>
      </c>
      <c r="F4838">
        <v>10</v>
      </c>
      <c r="G4838">
        <v>4</v>
      </c>
      <c r="H4838" s="1">
        <v>1.6550925925925926E-3</v>
      </c>
      <c r="I4838">
        <v>2013</v>
      </c>
      <c r="J4838" t="s">
        <v>20</v>
      </c>
      <c r="K4838" s="2" t="str">
        <f>HYPERLINK("https://www.nba.com/stats/events?CFID=&amp;CFPARAMS=&amp;GameEventID=518&amp;GameID=0021300057&amp;Season=2013-14&amp;flag=1&amp;title=Leonard%201'%20Dunk%20(14%20PTS)%20(Parker%206%20AST)", "Leonard 1' Dunk (14 PTS) (Parker 6 AST)")</f>
        <v>Leonard 1' Dunk (14 PTS) (Parker 6 AST)</v>
      </c>
      <c r="L4838" s="2" t="str">
        <f>HYPERLINK("https://www.nba.com/game/...-vs-...-0021300057/play-by-play?watchFullGame=true", "SAS vs DEN - Q4 02:23.00")</f>
        <v>SAS vs DEN - Q4 02:23.00</v>
      </c>
      <c r="M4838">
        <v>1</v>
      </c>
      <c r="N4838">
        <v>-2</v>
      </c>
      <c r="O4838">
        <v>14</v>
      </c>
      <c r="P4838">
        <v>-2</v>
      </c>
      <c r="Q4838">
        <v>14</v>
      </c>
      <c r="R4838" t="s">
        <v>21</v>
      </c>
      <c r="S4838" t="s">
        <v>21</v>
      </c>
    </row>
    <row r="4839" spans="1:19" hidden="1" x14ac:dyDescent="0.25">
      <c r="A4839">
        <v>21800842</v>
      </c>
      <c r="B4839" t="s">
        <v>18</v>
      </c>
      <c r="C4839" t="s">
        <v>50</v>
      </c>
      <c r="D4839">
        <v>116</v>
      </c>
      <c r="E4839">
        <v>109</v>
      </c>
      <c r="F4839">
        <v>7</v>
      </c>
      <c r="G4839">
        <v>4</v>
      </c>
      <c r="H4839" s="1">
        <v>2.7314814814814814E-3</v>
      </c>
      <c r="I4839">
        <v>2018</v>
      </c>
      <c r="J4839" t="s">
        <v>48</v>
      </c>
      <c r="K4839" s="2" t="str">
        <f>HYPERLINK("https://www.nba.com/stats/events?CFID=&amp;CFPARAMS=&amp;GameEventID=568&amp;GameID=0021800842&amp;Season=2018-19&amp;flag=1&amp;title=Leonard%201'%20Running%20Dunk%20(25%20PTS)%20(Lowry%206%20AST)", "Leonard 1' Running Dunk (25 PTS) (Lowry 6 AST)")</f>
        <v>Leonard 1' Running Dunk (25 PTS) (Lowry 6 AST)</v>
      </c>
      <c r="L4839" s="2" t="str">
        <f>HYPERLINK("https://www.nba.com/game/...-vs-...-0021800842/play-by-play?watchFullGame=true", "TOR vs BKN - Q4 03:56.00")</f>
        <v>TOR vs BKN - Q4 03:56.00</v>
      </c>
      <c r="M4839">
        <v>1</v>
      </c>
      <c r="N4839">
        <v>-2</v>
      </c>
      <c r="O4839">
        <v>10</v>
      </c>
      <c r="P4839">
        <v>-2</v>
      </c>
      <c r="Q4839">
        <v>10</v>
      </c>
      <c r="R4839" t="s">
        <v>21</v>
      </c>
      <c r="S4839" t="s">
        <v>21</v>
      </c>
    </row>
    <row r="4840" spans="1:19" hidden="1" x14ac:dyDescent="0.25">
      <c r="A4840">
        <v>41800213</v>
      </c>
      <c r="B4840" t="s">
        <v>18</v>
      </c>
      <c r="C4840" t="s">
        <v>25</v>
      </c>
      <c r="D4840">
        <v>40</v>
      </c>
      <c r="E4840">
        <v>47</v>
      </c>
      <c r="F4840">
        <v>7</v>
      </c>
      <c r="G4840">
        <v>2</v>
      </c>
      <c r="H4840" s="1">
        <v>3.5532407407407409E-3</v>
      </c>
      <c r="I4840" t="s">
        <v>60</v>
      </c>
      <c r="J4840" t="s">
        <v>48</v>
      </c>
      <c r="K4840" s="2" t="str">
        <f>HYPERLINK("https://www.nba.com/stats/events?CFID=&amp;CFPARAMS=&amp;GameEventID=243&amp;GameID=0041800213&amp;Season=2018-19&amp;flag=1&amp;title=Leonard%201'%20Driving%20Dunk%20(13%20PTS)", "Leonard 1' Driving Dunk (13 PTS)")</f>
        <v>Leonard 1' Driving Dunk (13 PTS)</v>
      </c>
      <c r="L4840" s="2" t="str">
        <f>HYPERLINK("https://www.nba.com/game/...-vs-...-0041800213/play-by-play?watchFullGame=true", "TOR vs PHI - Q2 05:07.00")</f>
        <v>TOR vs PHI - Q2 05:07.00</v>
      </c>
      <c r="M4840">
        <v>1</v>
      </c>
      <c r="N4840">
        <v>-2</v>
      </c>
      <c r="O4840">
        <v>10</v>
      </c>
      <c r="P4840">
        <v>-2</v>
      </c>
      <c r="Q4840">
        <v>10</v>
      </c>
      <c r="R4840" t="s">
        <v>21</v>
      </c>
      <c r="S4840" t="s">
        <v>21</v>
      </c>
    </row>
    <row r="4841" spans="1:19" hidden="1" x14ac:dyDescent="0.25">
      <c r="A4841">
        <v>41300313</v>
      </c>
      <c r="B4841" t="s">
        <v>18</v>
      </c>
      <c r="C4841" t="s">
        <v>23</v>
      </c>
      <c r="D4841">
        <v>59</v>
      </c>
      <c r="E4841">
        <v>67</v>
      </c>
      <c r="F4841">
        <v>8</v>
      </c>
      <c r="G4841">
        <v>3</v>
      </c>
      <c r="H4841" s="1">
        <v>5.5787037037037038E-3</v>
      </c>
      <c r="I4841" t="s">
        <v>55</v>
      </c>
      <c r="J4841" t="s">
        <v>20</v>
      </c>
      <c r="K4841" s="2" t="str">
        <f>HYPERLINK("https://www.nba.com/stats/events?CFID=&amp;CFPARAMS=&amp;GameEventID=290&amp;GameID=0041300313&amp;Season=2013-14&amp;flag=1&amp;title=Leonard%201'%20Dunk%20(8%20PTS)%20(Parker%204%20AST)", "Leonard 1' Dunk (8 PTS) (Parker 4 AST)")</f>
        <v>Leonard 1' Dunk (8 PTS) (Parker 4 AST)</v>
      </c>
      <c r="L4841" s="2" t="str">
        <f>HYPERLINK("https://www.nba.com/game/...-vs-...-0041300313/play-by-play?watchFullGame=true", "SAS vs OKC - Q3 08:02.00")</f>
        <v>SAS vs OKC - Q3 08:02.00</v>
      </c>
      <c r="M4841">
        <v>1</v>
      </c>
      <c r="N4841">
        <v>-2</v>
      </c>
      <c r="O4841">
        <v>7</v>
      </c>
      <c r="P4841">
        <v>-2</v>
      </c>
      <c r="Q4841">
        <v>7</v>
      </c>
      <c r="R4841" t="s">
        <v>21</v>
      </c>
      <c r="S4841" t="s">
        <v>21</v>
      </c>
    </row>
    <row r="4842" spans="1:19" hidden="1" x14ac:dyDescent="0.25">
      <c r="A4842">
        <v>21300978</v>
      </c>
      <c r="B4842" t="s">
        <v>18</v>
      </c>
      <c r="C4842" t="s">
        <v>23</v>
      </c>
      <c r="D4842">
        <v>58</v>
      </c>
      <c r="E4842">
        <v>31</v>
      </c>
      <c r="F4842">
        <v>27</v>
      </c>
      <c r="G4842">
        <v>2</v>
      </c>
      <c r="H4842" s="1">
        <v>2.1296296296296298E-3</v>
      </c>
      <c r="I4842">
        <v>2013</v>
      </c>
      <c r="J4842" t="s">
        <v>20</v>
      </c>
      <c r="K4842" s="2" t="str">
        <f>HYPERLINK("https://www.nba.com/stats/events?CFID=&amp;CFPARAMS=&amp;GameEventID=245&amp;GameID=0021300978&amp;Season=2013-14&amp;flag=1&amp;title=Leonard%20%20Dunk%20(6%20PTS)%20(Joseph%205%20AST)", "Leonard  Dunk (6 PTS) (Joseph 5 AST)")</f>
        <v>Leonard  Dunk (6 PTS) (Joseph 5 AST)</v>
      </c>
      <c r="L4842" s="2" t="str">
        <f>HYPERLINK("https://www.nba.com/game/...-vs-...-0021300978/play-by-play?watchFullGame=true", "SAS vs LAL - Q2 03:04.00")</f>
        <v>SAS vs LAL - Q2 03:04.00</v>
      </c>
      <c r="M4842">
        <v>0</v>
      </c>
      <c r="N4842">
        <v>-2</v>
      </c>
      <c r="O4842">
        <v>-2</v>
      </c>
      <c r="P4842">
        <v>-2</v>
      </c>
      <c r="Q4842">
        <v>-2</v>
      </c>
      <c r="R4842" t="s">
        <v>21</v>
      </c>
      <c r="S4842" t="s">
        <v>21</v>
      </c>
    </row>
    <row r="4843" spans="1:19" hidden="1" x14ac:dyDescent="0.25">
      <c r="A4843">
        <v>41200401</v>
      </c>
      <c r="B4843" t="s">
        <v>18</v>
      </c>
      <c r="C4843" t="s">
        <v>25</v>
      </c>
      <c r="D4843">
        <v>55</v>
      </c>
      <c r="E4843">
        <v>58</v>
      </c>
      <c r="F4843">
        <v>3</v>
      </c>
      <c r="G4843">
        <v>3</v>
      </c>
      <c r="H4843" s="1">
        <v>5.4166666666666669E-3</v>
      </c>
      <c r="I4843" t="s">
        <v>53</v>
      </c>
      <c r="J4843" t="s">
        <v>20</v>
      </c>
      <c r="K4843" s="2" t="str">
        <f>HYPERLINK("https://www.nba.com/stats/events?CFID=&amp;CFPARAMS=&amp;GameEventID=287&amp;GameID=0041200401&amp;Season=2012-13&amp;flag=1&amp;title=Leonard%20%20Driving%20Dunk%20(8%20PTS)", "Leonard  Driving Dunk (8 PTS)")</f>
        <v>Leonard  Driving Dunk (8 PTS)</v>
      </c>
      <c r="L4843" s="2" t="str">
        <f>HYPERLINK("https://www.nba.com/game/...-vs-...-0041200401/play-by-play?watchFullGame=true", "SAS vs MIA - Q3 07:48.00")</f>
        <v>SAS vs MIA - Q3 07:48.00</v>
      </c>
      <c r="M4843">
        <v>0</v>
      </c>
      <c r="N4843">
        <v>-2</v>
      </c>
      <c r="O4843">
        <v>3</v>
      </c>
      <c r="P4843">
        <v>-2</v>
      </c>
      <c r="Q4843">
        <v>3</v>
      </c>
      <c r="R4843" t="s">
        <v>21</v>
      </c>
      <c r="S4843" t="s">
        <v>21</v>
      </c>
    </row>
    <row r="4844" spans="1:19" hidden="1" x14ac:dyDescent="0.25">
      <c r="A4844">
        <v>21300554</v>
      </c>
      <c r="B4844" t="s">
        <v>18</v>
      </c>
      <c r="C4844" t="s">
        <v>23</v>
      </c>
      <c r="D4844">
        <v>60</v>
      </c>
      <c r="E4844">
        <v>53</v>
      </c>
      <c r="F4844">
        <v>7</v>
      </c>
      <c r="G4844">
        <v>3</v>
      </c>
      <c r="H4844" s="1">
        <v>6.1805555555555555E-3</v>
      </c>
      <c r="I4844">
        <v>2013</v>
      </c>
      <c r="J4844" t="s">
        <v>20</v>
      </c>
      <c r="K4844" s="2" t="str">
        <f>HYPERLINK("https://www.nba.com/stats/events?CFID=&amp;CFPARAMS=&amp;GameEventID=267&amp;GameID=0021300554&amp;Season=2013-14&amp;flag=1&amp;title=Leonard%20%20Dunk%20(8%20PTS)%20(Belinelli%201%20AST)", "Leonard  Dunk (8 PTS) (Belinelli 1 AST)")</f>
        <v>Leonard  Dunk (8 PTS) (Belinelli 1 AST)</v>
      </c>
      <c r="L4844" s="2" t="str">
        <f>HYPERLINK("https://www.nba.com/game/...-vs-...-0021300554/play-by-play?watchFullGame=true", "SAS vs MIN - Q3 08:54.00")</f>
        <v>SAS vs MIN - Q3 08:54.00</v>
      </c>
      <c r="M4844">
        <v>0</v>
      </c>
      <c r="N4844">
        <v>-2</v>
      </c>
      <c r="O4844">
        <v>0</v>
      </c>
      <c r="P4844">
        <v>-2</v>
      </c>
      <c r="Q4844">
        <v>0</v>
      </c>
      <c r="R4844" t="s">
        <v>21</v>
      </c>
      <c r="S4844" t="s">
        <v>21</v>
      </c>
    </row>
    <row r="4845" spans="1:19" hidden="1" x14ac:dyDescent="0.25">
      <c r="A4845">
        <v>21300321</v>
      </c>
      <c r="B4845" t="s">
        <v>18</v>
      </c>
      <c r="C4845" t="s">
        <v>23</v>
      </c>
      <c r="D4845">
        <v>65</v>
      </c>
      <c r="E4845">
        <v>40</v>
      </c>
      <c r="F4845">
        <v>25</v>
      </c>
      <c r="G4845">
        <v>3</v>
      </c>
      <c r="H4845" s="1">
        <v>8.0902777777777778E-3</v>
      </c>
      <c r="I4845">
        <v>2013</v>
      </c>
      <c r="J4845" t="s">
        <v>20</v>
      </c>
      <c r="K4845" s="2" t="str">
        <f>HYPERLINK("https://www.nba.com/stats/events?CFID=&amp;CFPARAMS=&amp;GameEventID=263&amp;GameID=0021300321&amp;Season=2013-14&amp;flag=1&amp;title=Leonard%20%20Dunk%20(9%20PTS)", "Leonard  Dunk (9 PTS)")</f>
        <v>Leonard  Dunk (9 PTS)</v>
      </c>
      <c r="L4845" s="2" t="str">
        <f>HYPERLINK("https://www.nba.com/game/...-vs-...-0021300321/play-by-play?watchFullGame=true", "SAS vs MIL - Q3 11:39.00")</f>
        <v>SAS vs MIL - Q3 11:39.00</v>
      </c>
      <c r="M4845">
        <v>0</v>
      </c>
      <c r="N4845">
        <v>-2</v>
      </c>
      <c r="O4845">
        <v>0</v>
      </c>
      <c r="P4845">
        <v>-2</v>
      </c>
      <c r="Q4845">
        <v>0</v>
      </c>
      <c r="R4845" t="s">
        <v>21</v>
      </c>
      <c r="S4845" t="s">
        <v>21</v>
      </c>
    </row>
    <row r="4846" spans="1:19" hidden="1" x14ac:dyDescent="0.25">
      <c r="A4846">
        <v>41800113</v>
      </c>
      <c r="B4846" t="s">
        <v>18</v>
      </c>
      <c r="C4846" t="s">
        <v>25</v>
      </c>
      <c r="D4846">
        <v>20</v>
      </c>
      <c r="E4846">
        <v>9</v>
      </c>
      <c r="F4846">
        <v>11</v>
      </c>
      <c r="G4846">
        <v>1</v>
      </c>
      <c r="H4846" s="1">
        <v>2.638888888888889E-3</v>
      </c>
      <c r="I4846" t="s">
        <v>60</v>
      </c>
      <c r="J4846" t="s">
        <v>48</v>
      </c>
      <c r="K4846" s="2" t="str">
        <f>HYPERLINK("https://www.nba.com/stats/events?CFID=&amp;CFPARAMS=&amp;GameEventID=119&amp;GameID=0041800113&amp;Season=2018-19&amp;flag=1&amp;title=Leonard%202'%20Driving%20Dunk%20(2%20PTS)%20(Siakam%201%20AST)", "Leonard 2' Driving Dunk (2 PTS) (Siakam 1 AST)")</f>
        <v>Leonard 2' Driving Dunk (2 PTS) (Siakam 1 AST)</v>
      </c>
      <c r="L4846" s="2" t="str">
        <f>HYPERLINK("https://www.nba.com/game/...-vs-...-0041800113/play-by-play?watchFullGame=true", "TOR vs ORL - Q1 03:48.00")</f>
        <v>TOR vs ORL - Q1 03:48.00</v>
      </c>
      <c r="M4846">
        <v>2</v>
      </c>
      <c r="N4846">
        <v>-1</v>
      </c>
      <c r="O4846">
        <v>15</v>
      </c>
      <c r="P4846">
        <v>-1</v>
      </c>
      <c r="Q4846">
        <v>15</v>
      </c>
      <c r="R4846" t="s">
        <v>21</v>
      </c>
      <c r="S4846" t="s">
        <v>21</v>
      </c>
    </row>
    <row r="4847" spans="1:19" hidden="1" x14ac:dyDescent="0.25">
      <c r="A4847">
        <v>21600441</v>
      </c>
      <c r="B4847" t="s">
        <v>18</v>
      </c>
      <c r="C4847" t="s">
        <v>25</v>
      </c>
      <c r="D4847">
        <v>62</v>
      </c>
      <c r="E4847">
        <v>69</v>
      </c>
      <c r="F4847">
        <v>7</v>
      </c>
      <c r="G4847">
        <v>3</v>
      </c>
      <c r="H4847" s="1">
        <v>3.9583333333333337E-3</v>
      </c>
      <c r="I4847">
        <v>2016</v>
      </c>
      <c r="J4847" t="s">
        <v>20</v>
      </c>
      <c r="K4847" s="2" t="str">
        <f>HYPERLINK("https://www.nba.com/stats/events?CFID=&amp;CFPARAMS=&amp;GameEventID=375&amp;GameID=0021600441&amp;Season=2016-17&amp;flag=1&amp;title=Leonard%202'%20Driving%20Dunk%20(21%20PTS)%20(Gasol%201%20AST)", "Leonard 2' Driving Dunk (21 PTS) (Gasol 1 AST)")</f>
        <v>Leonard 2' Driving Dunk (21 PTS) (Gasol 1 AST)</v>
      </c>
      <c r="L4847" s="2" t="str">
        <f>HYPERLINK("https://www.nba.com/game/...-vs-...-0021600441/play-by-play?watchFullGame=true", "SAS vs LAC - Q3 05:42.00")</f>
        <v>SAS vs LAC - Q3 05:42.00</v>
      </c>
      <c r="M4847">
        <v>2</v>
      </c>
      <c r="N4847">
        <v>-1</v>
      </c>
      <c r="O4847">
        <v>16</v>
      </c>
      <c r="P4847">
        <v>-1</v>
      </c>
      <c r="Q4847">
        <v>16</v>
      </c>
      <c r="R4847" t="s">
        <v>21</v>
      </c>
      <c r="S4847" t="s">
        <v>21</v>
      </c>
    </row>
    <row r="4848" spans="1:19" hidden="1" x14ac:dyDescent="0.25">
      <c r="A4848">
        <v>41800111</v>
      </c>
      <c r="B4848" t="s">
        <v>18</v>
      </c>
      <c r="C4848" t="s">
        <v>25</v>
      </c>
      <c r="D4848">
        <v>15</v>
      </c>
      <c r="E4848">
        <v>10</v>
      </c>
      <c r="F4848">
        <v>5</v>
      </c>
      <c r="G4848">
        <v>1</v>
      </c>
      <c r="H4848" s="1">
        <v>3.9236111111111112E-3</v>
      </c>
      <c r="I4848" t="s">
        <v>60</v>
      </c>
      <c r="J4848" t="s">
        <v>48</v>
      </c>
      <c r="K4848" s="2" t="str">
        <f>HYPERLINK("https://www.nba.com/stats/events?CFID=&amp;CFPARAMS=&amp;GameEventID=77&amp;GameID=0041800111&amp;Season=2018-19&amp;flag=1&amp;title=Leonard%201'%20Driving%20Dunk%20(9%20PTS)%20(Gasol%201%20AST)", "Leonard 1' Driving Dunk (9 PTS) (Gasol 1 AST)")</f>
        <v>Leonard 1' Driving Dunk (9 PTS) (Gasol 1 AST)</v>
      </c>
      <c r="L4848" s="2" t="str">
        <f>HYPERLINK("https://www.nba.com/game/...-vs-...-0041800111/play-by-play?watchFullGame=true", "TOR vs ORL - Q1 05:39.00")</f>
        <v>TOR vs ORL - Q1 05:39.00</v>
      </c>
      <c r="M4848">
        <v>1</v>
      </c>
      <c r="N4848">
        <v>-1</v>
      </c>
      <c r="O4848">
        <v>10</v>
      </c>
      <c r="P4848">
        <v>-1</v>
      </c>
      <c r="Q4848">
        <v>10</v>
      </c>
      <c r="R4848" t="s">
        <v>21</v>
      </c>
      <c r="S4848" t="s">
        <v>21</v>
      </c>
    </row>
    <row r="4849" spans="1:19" hidden="1" x14ac:dyDescent="0.25">
      <c r="A4849">
        <v>21500860</v>
      </c>
      <c r="B4849" t="s">
        <v>18</v>
      </c>
      <c r="C4849" t="s">
        <v>50</v>
      </c>
      <c r="D4849">
        <v>54</v>
      </c>
      <c r="E4849">
        <v>49</v>
      </c>
      <c r="F4849">
        <v>5</v>
      </c>
      <c r="G4849">
        <v>3</v>
      </c>
      <c r="H4849" s="1">
        <v>3.9930555555555552E-3</v>
      </c>
      <c r="I4849">
        <v>2015</v>
      </c>
      <c r="J4849" t="s">
        <v>20</v>
      </c>
      <c r="K4849" s="2" t="str">
        <f>HYPERLINK("https://www.nba.com/stats/events?CFID=&amp;CFPARAMS=&amp;GameEventID=264&amp;GameID=0021500860&amp;Season=2015-16&amp;flag=1&amp;title=Leonard%201'%20Running%20Dunk%20(19%20PTS)", "Leonard 1' Running Dunk (19 PTS)")</f>
        <v>Leonard 1' Running Dunk (19 PTS)</v>
      </c>
      <c r="L4849" s="2" t="str">
        <f>HYPERLINK("https://www.nba.com/game/...-vs-...-0021500860/play-by-play?watchFullGame=true", "SAS vs UTA - Q3 05:45.00")</f>
        <v>SAS vs UTA - Q3 05:45.00</v>
      </c>
      <c r="M4849">
        <v>1</v>
      </c>
      <c r="N4849">
        <v>-1</v>
      </c>
      <c r="O4849">
        <v>11</v>
      </c>
      <c r="P4849">
        <v>-1</v>
      </c>
      <c r="Q4849">
        <v>11</v>
      </c>
      <c r="R4849" t="s">
        <v>21</v>
      </c>
      <c r="S4849" t="s">
        <v>21</v>
      </c>
    </row>
    <row r="4850" spans="1:19" hidden="1" x14ac:dyDescent="0.25">
      <c r="A4850">
        <v>41800114</v>
      </c>
      <c r="B4850" t="s">
        <v>18</v>
      </c>
      <c r="C4850" t="s">
        <v>25</v>
      </c>
      <c r="D4850">
        <v>14</v>
      </c>
      <c r="E4850">
        <v>13</v>
      </c>
      <c r="F4850">
        <v>1</v>
      </c>
      <c r="G4850">
        <v>1</v>
      </c>
      <c r="H4850" s="1">
        <v>4.6064814814814814E-3</v>
      </c>
      <c r="I4850" t="s">
        <v>60</v>
      </c>
      <c r="J4850" t="s">
        <v>48</v>
      </c>
      <c r="K4850" s="2" t="str">
        <f>HYPERLINK("https://www.nba.com/stats/events?CFID=&amp;CFPARAMS=&amp;GameEventID=62&amp;GameID=0041800114&amp;Season=2018-19&amp;flag=1&amp;title=Leonard%201'%20Driving%20Dunk%20(4%20PTS)", "Leonard 1' Driving Dunk (4 PTS)")</f>
        <v>Leonard 1' Driving Dunk (4 PTS)</v>
      </c>
      <c r="L4850" s="2" t="str">
        <f>HYPERLINK("https://www.nba.com/game/...-vs-...-0041800114/play-by-play?watchFullGame=true", "TOR vs ORL - Q1 06:38.00")</f>
        <v>TOR vs ORL - Q1 06:38.00</v>
      </c>
      <c r="M4850">
        <v>1</v>
      </c>
      <c r="N4850">
        <v>-1</v>
      </c>
      <c r="O4850">
        <v>13</v>
      </c>
      <c r="P4850">
        <v>-1</v>
      </c>
      <c r="Q4850">
        <v>13</v>
      </c>
      <c r="R4850" t="s">
        <v>21</v>
      </c>
      <c r="S4850" t="s">
        <v>21</v>
      </c>
    </row>
    <row r="4851" spans="1:19" hidden="1" x14ac:dyDescent="0.25">
      <c r="A4851">
        <v>21800876</v>
      </c>
      <c r="B4851" t="s">
        <v>18</v>
      </c>
      <c r="C4851" t="s">
        <v>46</v>
      </c>
      <c r="D4851">
        <v>71</v>
      </c>
      <c r="E4851">
        <v>65</v>
      </c>
      <c r="F4851">
        <v>6</v>
      </c>
      <c r="G4851">
        <v>3</v>
      </c>
      <c r="H4851" s="1">
        <v>4.6180555555555558E-3</v>
      </c>
      <c r="I4851">
        <v>2018</v>
      </c>
      <c r="J4851" t="s">
        <v>48</v>
      </c>
      <c r="K4851" s="2" t="str">
        <f>HYPERLINK("https://www.nba.com/stats/events?CFID=&amp;CFPARAMS=&amp;GameEventID=400&amp;GameID=0021800876&amp;Season=2018-19&amp;flag=1&amp;title=Leonard%201'%20Cutting%20Dunk%20Shot%20(10%20PTS)%20(Siakam%204%20AST)", "Leonard 1' Cutting Dunk Shot (10 PTS) (Siakam 4 AST)")</f>
        <v>Leonard 1' Cutting Dunk Shot (10 PTS) (Siakam 4 AST)</v>
      </c>
      <c r="L4851" s="2" t="str">
        <f>HYPERLINK("https://www.nba.com/game/...-vs-...-0021800876/play-by-play?watchFullGame=true", "TOR vs SAS - Q3 06:39.00")</f>
        <v>TOR vs SAS - Q3 06:39.00</v>
      </c>
      <c r="M4851">
        <v>1</v>
      </c>
      <c r="N4851">
        <v>-1</v>
      </c>
      <c r="O4851">
        <v>13</v>
      </c>
      <c r="P4851">
        <v>-1</v>
      </c>
      <c r="Q4851">
        <v>13</v>
      </c>
      <c r="R4851" t="s">
        <v>21</v>
      </c>
      <c r="S4851" t="s">
        <v>21</v>
      </c>
    </row>
    <row r="4852" spans="1:19" hidden="1" x14ac:dyDescent="0.25">
      <c r="A4852">
        <v>21800019</v>
      </c>
      <c r="B4852" t="s">
        <v>18</v>
      </c>
      <c r="C4852" t="s">
        <v>25</v>
      </c>
      <c r="D4852">
        <v>53</v>
      </c>
      <c r="E4852">
        <v>55</v>
      </c>
      <c r="F4852">
        <v>2</v>
      </c>
      <c r="G4852">
        <v>3</v>
      </c>
      <c r="H4852" s="1">
        <v>7.8472222222222224E-3</v>
      </c>
      <c r="I4852">
        <v>2018</v>
      </c>
      <c r="J4852" t="s">
        <v>48</v>
      </c>
      <c r="K4852" s="2" t="str">
        <f>HYPERLINK("https://www.nba.com/stats/events?CFID=&amp;CFPARAMS=&amp;GameEventID=341&amp;GameID=0021800019&amp;Season=2018-19&amp;flag=1&amp;title=Leonard%201'%20Driving%20Dunk%20(11%20PTS)%20(Green%202%20AST)", "Leonard 1' Driving Dunk (11 PTS) (Green 2 AST)")</f>
        <v>Leonard 1' Driving Dunk (11 PTS) (Green 2 AST)</v>
      </c>
      <c r="L4852" s="2" t="str">
        <f>HYPERLINK("https://www.nba.com/game/...-vs-...-0021800019/play-by-play?watchFullGame=true", "TOR vs BOS - Q3 11:18.00")</f>
        <v>TOR vs BOS - Q3 11:18.00</v>
      </c>
      <c r="M4852">
        <v>1</v>
      </c>
      <c r="N4852">
        <v>-1</v>
      </c>
      <c r="O4852">
        <v>7</v>
      </c>
      <c r="P4852">
        <v>-1</v>
      </c>
      <c r="Q4852">
        <v>7</v>
      </c>
      <c r="R4852" t="s">
        <v>21</v>
      </c>
      <c r="S4852" t="s">
        <v>21</v>
      </c>
    </row>
    <row r="4853" spans="1:19" hidden="1" x14ac:dyDescent="0.25">
      <c r="A4853">
        <v>41200405</v>
      </c>
      <c r="B4853" t="s">
        <v>18</v>
      </c>
      <c r="C4853" t="s">
        <v>23</v>
      </c>
      <c r="D4853">
        <v>29</v>
      </c>
      <c r="E4853">
        <v>17</v>
      </c>
      <c r="F4853">
        <v>12</v>
      </c>
      <c r="G4853">
        <v>1</v>
      </c>
      <c r="H4853" s="1">
        <v>7.291666666666667E-4</v>
      </c>
      <c r="I4853" t="s">
        <v>53</v>
      </c>
      <c r="J4853" t="s">
        <v>20</v>
      </c>
      <c r="K4853" s="2" t="str">
        <f>HYPERLINK("https://www.nba.com/stats/events?CFID=&amp;CFPARAMS=&amp;GameEventID=116&amp;GameID=0041200405&amp;Season=2012-13&amp;flag=1&amp;title=Leonard%201'%20Dunk%20(4%20PTS)%20(Diaw%201%20AST)", "Leonard 1' Dunk (4 PTS) (Diaw 1 AST)")</f>
        <v>Leonard 1' Dunk (4 PTS) (Diaw 1 AST)</v>
      </c>
      <c r="L4853" s="2" t="str">
        <f>HYPERLINK("https://www.nba.com/game/...-vs-...-0041200405/play-by-play?watchFullGame=true", "SAS vs MIA - Q1 01:03.00")</f>
        <v>SAS vs MIA - Q1 01:03.00</v>
      </c>
      <c r="M4853">
        <v>1</v>
      </c>
      <c r="N4853">
        <v>0</v>
      </c>
      <c r="O4853">
        <v>9</v>
      </c>
      <c r="P4853">
        <v>0</v>
      </c>
      <c r="Q4853">
        <v>9</v>
      </c>
      <c r="R4853" t="s">
        <v>21</v>
      </c>
      <c r="S4853" t="s">
        <v>21</v>
      </c>
    </row>
    <row r="4854" spans="1:19" hidden="1" x14ac:dyDescent="0.25">
      <c r="A4854">
        <v>21800909</v>
      </c>
      <c r="B4854" t="s">
        <v>18</v>
      </c>
      <c r="C4854" t="s">
        <v>50</v>
      </c>
      <c r="D4854">
        <v>59</v>
      </c>
      <c r="E4854">
        <v>39</v>
      </c>
      <c r="F4854">
        <v>20</v>
      </c>
      <c r="G4854">
        <v>2</v>
      </c>
      <c r="H4854" s="1">
        <v>2.1527777777777778E-3</v>
      </c>
      <c r="I4854">
        <v>2018</v>
      </c>
      <c r="J4854" t="s">
        <v>48</v>
      </c>
      <c r="K4854" s="2" t="str">
        <f>HYPERLINK("https://www.nba.com/stats/events?CFID=&amp;CFPARAMS=&amp;GameEventID=286&amp;GameID=0021800909&amp;Season=2018-19&amp;flag=1&amp;title=Leonard%201'%20Running%20Dunk%20(8%20PTS)%20(Green%202%20AST)", "Leonard 1' Running Dunk (8 PTS) (Green 2 AST)")</f>
        <v>Leonard 1' Running Dunk (8 PTS) (Green 2 AST)</v>
      </c>
      <c r="L4854" s="2" t="str">
        <f>HYPERLINK("https://www.nba.com/game/...-vs-...-0021800909/play-by-play?watchFullGame=true", "TOR vs BOS - Q2 03:06.00")</f>
        <v>TOR vs BOS - Q2 03:06.00</v>
      </c>
      <c r="M4854">
        <v>1</v>
      </c>
      <c r="N4854">
        <v>0</v>
      </c>
      <c r="O4854">
        <v>5</v>
      </c>
      <c r="P4854">
        <v>0</v>
      </c>
      <c r="Q4854">
        <v>5</v>
      </c>
      <c r="R4854" t="s">
        <v>21</v>
      </c>
      <c r="S4854" t="s">
        <v>21</v>
      </c>
    </row>
    <row r="4855" spans="1:19" hidden="1" x14ac:dyDescent="0.25">
      <c r="A4855">
        <v>21301102</v>
      </c>
      <c r="B4855" t="s">
        <v>18</v>
      </c>
      <c r="C4855" t="s">
        <v>70</v>
      </c>
      <c r="D4855">
        <v>91</v>
      </c>
      <c r="E4855">
        <v>71</v>
      </c>
      <c r="F4855">
        <v>20</v>
      </c>
      <c r="G4855">
        <v>4</v>
      </c>
      <c r="H4855" s="1">
        <v>2.8703703703703703E-3</v>
      </c>
      <c r="I4855">
        <v>2013</v>
      </c>
      <c r="J4855" t="s">
        <v>20</v>
      </c>
      <c r="K4855" s="2" t="str">
        <f>HYPERLINK("https://www.nba.com/stats/events?CFID=&amp;CFPARAMS=&amp;GameEventID=438&amp;GameID=0021301102&amp;Season=2013-14&amp;flag=1&amp;title=Leonard%201'%20Slam%20Dunk%20(13%20PTS)%20(Parker%204%20AST)", "Leonard 1' Slam Dunk (13 PTS) (Parker 4 AST)")</f>
        <v>Leonard 1' Slam Dunk (13 PTS) (Parker 4 AST)</v>
      </c>
      <c r="L4855" s="2" t="str">
        <f>HYPERLINK("https://www.nba.com/game/...-vs-...-0021301102/play-by-play?watchFullGame=true", "SAS vs IND - Q4 04:08.00")</f>
        <v>SAS vs IND - Q4 04:08.00</v>
      </c>
      <c r="M4855">
        <v>1</v>
      </c>
      <c r="N4855">
        <v>0</v>
      </c>
      <c r="O4855">
        <v>14</v>
      </c>
      <c r="P4855">
        <v>0</v>
      </c>
      <c r="Q4855">
        <v>14</v>
      </c>
      <c r="R4855" t="s">
        <v>21</v>
      </c>
      <c r="S4855" t="s">
        <v>21</v>
      </c>
    </row>
    <row r="4856" spans="1:19" hidden="1" x14ac:dyDescent="0.25">
      <c r="A4856">
        <v>41300144</v>
      </c>
      <c r="B4856" t="s">
        <v>18</v>
      </c>
      <c r="C4856" t="s">
        <v>79</v>
      </c>
      <c r="D4856">
        <v>36</v>
      </c>
      <c r="E4856">
        <v>27</v>
      </c>
      <c r="F4856">
        <v>9</v>
      </c>
      <c r="G4856">
        <v>2</v>
      </c>
      <c r="H4856" s="1">
        <v>3.7384259259259259E-3</v>
      </c>
      <c r="I4856" t="s">
        <v>55</v>
      </c>
      <c r="J4856" t="s">
        <v>20</v>
      </c>
      <c r="K4856" s="2" t="str">
        <f>HYPERLINK("https://www.nba.com/stats/events?CFID=&amp;CFPARAMS=&amp;GameEventID=202&amp;GameID=0041300144&amp;Season=2013-14&amp;flag=1&amp;title=Leonard%201'%20Running%20Slam%20Dunk%20(2%20PTS)%20(Mills%201%20AST)", "Leonard 1' Running Slam Dunk (2 PTS) (Mills 1 AST)")</f>
        <v>Leonard 1' Running Slam Dunk (2 PTS) (Mills 1 AST)</v>
      </c>
      <c r="L4856" s="2" t="str">
        <f>HYPERLINK("https://www.nba.com/game/...-vs-...-0041300144/play-by-play?watchFullGame=true", "SAS vs DAL - Q2 05:23.00")</f>
        <v>SAS vs DAL - Q2 05:23.00</v>
      </c>
      <c r="M4856">
        <v>1</v>
      </c>
      <c r="N4856">
        <v>0</v>
      </c>
      <c r="O4856">
        <v>7</v>
      </c>
      <c r="P4856">
        <v>0</v>
      </c>
      <c r="Q4856">
        <v>7</v>
      </c>
      <c r="R4856" t="s">
        <v>21</v>
      </c>
      <c r="S4856" t="s">
        <v>21</v>
      </c>
    </row>
    <row r="4857" spans="1:19" hidden="1" x14ac:dyDescent="0.25">
      <c r="A4857">
        <v>41800212</v>
      </c>
      <c r="B4857" t="s">
        <v>18</v>
      </c>
      <c r="C4857" t="s">
        <v>46</v>
      </c>
      <c r="D4857">
        <v>43</v>
      </c>
      <c r="E4857">
        <v>51</v>
      </c>
      <c r="F4857">
        <v>8</v>
      </c>
      <c r="G4857">
        <v>3</v>
      </c>
      <c r="H4857" s="1">
        <v>6.3425925925925924E-3</v>
      </c>
      <c r="I4857" t="s">
        <v>60</v>
      </c>
      <c r="J4857" t="s">
        <v>48</v>
      </c>
      <c r="K4857" s="2" t="str">
        <f>HYPERLINK("https://www.nba.com/stats/events?CFID=&amp;CFPARAMS=&amp;GameEventID=366&amp;GameID=0041800212&amp;Season=2018-19&amp;flag=1&amp;title=Leonard%201'%20Cutting%20Dunk%20Shot%20(20%20PTS)%20(Gasol%203%20AST)", "Leonard 1' Cutting Dunk Shot (20 PTS) (Gasol 3 AST)")</f>
        <v>Leonard 1' Cutting Dunk Shot (20 PTS) (Gasol 3 AST)</v>
      </c>
      <c r="L4857" s="2" t="str">
        <f>HYPERLINK("https://www.nba.com/game/...-vs-...-0041800212/play-by-play?watchFullGame=true", "TOR vs PHI - Q3 09:08.00")</f>
        <v>TOR vs PHI - Q3 09:08.00</v>
      </c>
      <c r="M4857">
        <v>1</v>
      </c>
      <c r="N4857">
        <v>0</v>
      </c>
      <c r="O4857">
        <v>6</v>
      </c>
      <c r="P4857">
        <v>0</v>
      </c>
      <c r="Q4857">
        <v>6</v>
      </c>
      <c r="R4857" t="s">
        <v>21</v>
      </c>
      <c r="S4857" t="s">
        <v>21</v>
      </c>
    </row>
    <row r="4858" spans="1:19" hidden="1" x14ac:dyDescent="0.25">
      <c r="A4858">
        <v>21300296</v>
      </c>
      <c r="B4858" t="s">
        <v>18</v>
      </c>
      <c r="C4858" t="s">
        <v>25</v>
      </c>
      <c r="D4858">
        <v>67</v>
      </c>
      <c r="E4858">
        <v>87</v>
      </c>
      <c r="F4858">
        <v>20</v>
      </c>
      <c r="G4858">
        <v>4</v>
      </c>
      <c r="H4858" s="1">
        <v>8.0902777777777778E-3</v>
      </c>
      <c r="I4858">
        <v>2013</v>
      </c>
      <c r="J4858" t="s">
        <v>20</v>
      </c>
      <c r="K4858" s="2" t="str">
        <f>HYPERLINK("https://www.nba.com/stats/events?CFID=&amp;CFPARAMS=&amp;GameEventID=320&amp;GameID=0021300296&amp;Season=2013-14&amp;flag=1&amp;title=Leonard%201'%20Driving%20Dunk%20(13%20PTS)", "Leonard 1' Driving Dunk (13 PTS)")</f>
        <v>Leonard 1' Driving Dunk (13 PTS)</v>
      </c>
      <c r="L4858" s="2" t="str">
        <f>HYPERLINK("https://www.nba.com/game/...-vs-...-0021300296/play-by-play?watchFullGame=true", "SAS vs IND - Q4 11:39.00")</f>
        <v>SAS vs IND - Q4 11:39.00</v>
      </c>
      <c r="M4858">
        <v>1</v>
      </c>
      <c r="N4858">
        <v>0</v>
      </c>
      <c r="O4858">
        <v>7</v>
      </c>
      <c r="P4858">
        <v>0</v>
      </c>
      <c r="Q4858">
        <v>7</v>
      </c>
      <c r="R4858" t="s">
        <v>21</v>
      </c>
      <c r="S4858" t="s">
        <v>21</v>
      </c>
    </row>
    <row r="4859" spans="1:19" hidden="1" x14ac:dyDescent="0.25">
      <c r="A4859">
        <v>21301127</v>
      </c>
      <c r="B4859" t="s">
        <v>18</v>
      </c>
      <c r="C4859" t="s">
        <v>23</v>
      </c>
      <c r="D4859">
        <v>2</v>
      </c>
      <c r="E4859">
        <v>0</v>
      </c>
      <c r="F4859">
        <v>2</v>
      </c>
      <c r="G4859">
        <v>1</v>
      </c>
      <c r="H4859" s="1">
        <v>8.1481481481481474E-3</v>
      </c>
      <c r="I4859">
        <v>2013</v>
      </c>
      <c r="J4859" t="s">
        <v>20</v>
      </c>
      <c r="K4859" s="2" t="str">
        <f>HYPERLINK("https://www.nba.com/stats/events?CFID=&amp;CFPARAMS=&amp;GameEventID=3&amp;GameID=0021301127&amp;Season=2013-14&amp;flag=1&amp;title=Leonard%201'%20Dunk%20(2%20PTS)", "Leonard 1' Dunk (2 PTS)")</f>
        <v>Leonard 1' Dunk (2 PTS)</v>
      </c>
      <c r="L4859" s="2" t="str">
        <f>HYPERLINK("https://www.nba.com/game/...-vs-...-0021301127/play-by-play?watchFullGame=true", "SAS vs OKC - Q1 11:44.00")</f>
        <v>SAS vs OKC - Q1 11:44.00</v>
      </c>
      <c r="M4859">
        <v>1</v>
      </c>
      <c r="N4859">
        <v>0</v>
      </c>
      <c r="O4859">
        <v>6</v>
      </c>
      <c r="P4859">
        <v>0</v>
      </c>
      <c r="Q4859">
        <v>6</v>
      </c>
      <c r="R4859" t="s">
        <v>21</v>
      </c>
      <c r="S4859" t="s">
        <v>21</v>
      </c>
    </row>
    <row r="4860" spans="1:19" hidden="1" x14ac:dyDescent="0.25">
      <c r="A4860">
        <v>21400949</v>
      </c>
      <c r="B4860" t="s">
        <v>18</v>
      </c>
      <c r="C4860" t="s">
        <v>23</v>
      </c>
      <c r="D4860">
        <v>28</v>
      </c>
      <c r="E4860">
        <v>17</v>
      </c>
      <c r="F4860">
        <v>11</v>
      </c>
      <c r="G4860">
        <v>1</v>
      </c>
      <c r="H4860" s="1">
        <v>2.199074074074074E-5</v>
      </c>
      <c r="I4860">
        <v>2014</v>
      </c>
      <c r="J4860" t="s">
        <v>20</v>
      </c>
      <c r="K4860" s="2" t="str">
        <f>HYPERLINK("https://www.nba.com/stats/events?CFID=&amp;CFPARAMS=&amp;GameEventID=111&amp;GameID=0021400949&amp;Season=2014-15&amp;flag=1&amp;title=Leonard%20Dunk%20(6%20PTS)%20(Mills%201%20AST)", "Leonard Dunk (6 PTS) (Mills 1 AST)")</f>
        <v>Leonard Dunk (6 PTS) (Mills 1 AST)</v>
      </c>
      <c r="L4860" s="2" t="str">
        <f>HYPERLINK("https://www.nba.com/game/...-vs-...-0021400949/play-by-play?watchFullGame=true", "SAS vs TOR - Q1 00:01.90")</f>
        <v>SAS vs TOR - Q1 00:01.90</v>
      </c>
      <c r="M4860">
        <v>0</v>
      </c>
      <c r="N4860">
        <v>0</v>
      </c>
      <c r="O4860">
        <v>1</v>
      </c>
      <c r="P4860">
        <v>0</v>
      </c>
      <c r="Q4860">
        <v>1</v>
      </c>
      <c r="R4860" t="s">
        <v>21</v>
      </c>
      <c r="S4860" t="s">
        <v>21</v>
      </c>
    </row>
    <row r="4861" spans="1:19" hidden="1" x14ac:dyDescent="0.25">
      <c r="A4861">
        <v>21600657</v>
      </c>
      <c r="B4861" t="s">
        <v>18</v>
      </c>
      <c r="C4861" t="s">
        <v>25</v>
      </c>
      <c r="D4861">
        <v>118</v>
      </c>
      <c r="E4861">
        <v>113</v>
      </c>
      <c r="F4861">
        <v>5</v>
      </c>
      <c r="G4861">
        <v>5</v>
      </c>
      <c r="H4861" s="1">
        <v>8.3333333333333331E-5</v>
      </c>
      <c r="I4861">
        <v>2016</v>
      </c>
      <c r="J4861" t="s">
        <v>20</v>
      </c>
      <c r="K4861" s="2" t="str">
        <f>HYPERLINK("https://www.nba.com/stats/events?CFID=&amp;CFPARAMS=&amp;GameEventID=572&amp;GameID=0021600657&amp;Season=2016-17&amp;flag=1&amp;title=Leonard%20%20Driving%20Dunk%20(41%20PTS)", "Leonard  Driving Dunk (41 PTS)")</f>
        <v>Leonard  Driving Dunk (41 PTS)</v>
      </c>
      <c r="L4861" s="2" t="str">
        <f>HYPERLINK("https://www.nba.com/game/...-vs-...-0021600657/play-by-play?watchFullGame=true", "SAS vs CLE - Q5 00:07.20")</f>
        <v>SAS vs CLE - Q5 00:07.20</v>
      </c>
      <c r="M4861">
        <v>0</v>
      </c>
      <c r="N4861">
        <v>0</v>
      </c>
      <c r="O4861">
        <v>1</v>
      </c>
      <c r="P4861">
        <v>0</v>
      </c>
      <c r="Q4861">
        <v>1</v>
      </c>
      <c r="R4861" t="s">
        <v>21</v>
      </c>
      <c r="S4861" t="s">
        <v>21</v>
      </c>
    </row>
    <row r="4862" spans="1:19" hidden="1" x14ac:dyDescent="0.25">
      <c r="A4862">
        <v>21501201</v>
      </c>
      <c r="B4862" t="s">
        <v>18</v>
      </c>
      <c r="C4862" t="s">
        <v>25</v>
      </c>
      <c r="D4862">
        <v>86</v>
      </c>
      <c r="E4862">
        <v>90</v>
      </c>
      <c r="F4862">
        <v>4</v>
      </c>
      <c r="G4862">
        <v>4</v>
      </c>
      <c r="H4862" s="1">
        <v>2.3958333333333332E-4</v>
      </c>
      <c r="I4862">
        <v>2015</v>
      </c>
      <c r="J4862" t="s">
        <v>20</v>
      </c>
      <c r="K4862" s="2" t="str">
        <f>HYPERLINK("https://www.nba.com/stats/events?CFID=&amp;CFPARAMS=&amp;GameEventID=521&amp;GameID=0021501201&amp;Season=2015-16&amp;flag=1&amp;title=Leonard%20%20Driving%20Dunk%20(20%20PTS)", "Leonard  Driving Dunk (20 PTS)")</f>
        <v>Leonard  Driving Dunk (20 PTS)</v>
      </c>
      <c r="L4862" s="2" t="str">
        <f>HYPERLINK("https://www.nba.com/game/...-vs-...-0021501201/play-by-play?watchFullGame=true", "SAS vs GSW - Q4 00:20.70")</f>
        <v>SAS vs GSW - Q4 00:20.70</v>
      </c>
      <c r="M4862">
        <v>0</v>
      </c>
      <c r="N4862">
        <v>0</v>
      </c>
      <c r="O4862">
        <v>1</v>
      </c>
      <c r="P4862">
        <v>0</v>
      </c>
      <c r="Q4862">
        <v>1</v>
      </c>
      <c r="R4862" t="s">
        <v>21</v>
      </c>
      <c r="S4862" t="s">
        <v>21</v>
      </c>
    </row>
    <row r="4863" spans="1:19" hidden="1" x14ac:dyDescent="0.25">
      <c r="A4863">
        <v>21600003</v>
      </c>
      <c r="B4863" t="s">
        <v>18</v>
      </c>
      <c r="C4863" t="s">
        <v>50</v>
      </c>
      <c r="D4863">
        <v>95</v>
      </c>
      <c r="E4863">
        <v>75</v>
      </c>
      <c r="F4863">
        <v>20</v>
      </c>
      <c r="G4863">
        <v>3</v>
      </c>
      <c r="H4863" s="1">
        <v>3.4606481481481478E-4</v>
      </c>
      <c r="I4863">
        <v>2016</v>
      </c>
      <c r="J4863" t="s">
        <v>20</v>
      </c>
      <c r="K4863" s="2" t="str">
        <f>HYPERLINK("https://www.nba.com/stats/events?CFID=&amp;CFPARAMS=&amp;GameEventID=395&amp;GameID=0021600003&amp;Season=2016-17&amp;flag=1&amp;title=Leonard%20%20Running%20Dunk%20(29%20PTS)", "Leonard  Running Dunk (29 PTS)")</f>
        <v>Leonard  Running Dunk (29 PTS)</v>
      </c>
      <c r="L4863" s="2" t="str">
        <f>HYPERLINK("https://www.nba.com/game/...-vs-...-0021600003/play-by-play?watchFullGame=true", "SAS vs GSW - Q3 00:29.90")</f>
        <v>SAS vs GSW - Q3 00:29.90</v>
      </c>
      <c r="M4863">
        <v>0</v>
      </c>
      <c r="N4863">
        <v>0</v>
      </c>
      <c r="O4863">
        <v>1</v>
      </c>
      <c r="P4863">
        <v>0</v>
      </c>
      <c r="Q4863">
        <v>1</v>
      </c>
      <c r="R4863" t="s">
        <v>21</v>
      </c>
      <c r="S4863" t="s">
        <v>21</v>
      </c>
    </row>
    <row r="4864" spans="1:19" hidden="1" x14ac:dyDescent="0.25">
      <c r="A4864">
        <v>21601135</v>
      </c>
      <c r="B4864" t="s">
        <v>18</v>
      </c>
      <c r="C4864" t="s">
        <v>50</v>
      </c>
      <c r="D4864">
        <v>41</v>
      </c>
      <c r="E4864">
        <v>51</v>
      </c>
      <c r="F4864">
        <v>10</v>
      </c>
      <c r="G4864">
        <v>2</v>
      </c>
      <c r="H4864" s="1">
        <v>3.8425925925925927E-4</v>
      </c>
      <c r="I4864">
        <v>2016</v>
      </c>
      <c r="J4864" t="s">
        <v>20</v>
      </c>
      <c r="K4864" s="2" t="str">
        <f>HYPERLINK("https://www.nba.com/stats/events?CFID=&amp;CFPARAMS=&amp;GameEventID=236&amp;GameID=0021601135&amp;Season=2016-17&amp;flag=1&amp;title=Leonard%20%20Running%20Dunk%20(8%20PTS)%20(Lee%202%20AST)", "Leonard  Running Dunk (8 PTS) (Lee 2 AST)")</f>
        <v>Leonard  Running Dunk (8 PTS) (Lee 2 AST)</v>
      </c>
      <c r="L4864" s="2" t="str">
        <f>HYPERLINK("https://www.nba.com/game/...-vs-...-0021601135/play-by-play?watchFullGame=true", "SAS vs OKC - Q2 00:33.20")</f>
        <v>SAS vs OKC - Q2 00:33.20</v>
      </c>
      <c r="M4864">
        <v>0</v>
      </c>
      <c r="N4864">
        <v>0</v>
      </c>
      <c r="O4864">
        <v>1</v>
      </c>
      <c r="P4864">
        <v>0</v>
      </c>
      <c r="Q4864">
        <v>1</v>
      </c>
      <c r="R4864" t="s">
        <v>21</v>
      </c>
      <c r="S4864" t="s">
        <v>21</v>
      </c>
    </row>
    <row r="4865" spans="1:19" hidden="1" x14ac:dyDescent="0.25">
      <c r="A4865">
        <v>21400637</v>
      </c>
      <c r="B4865" t="s">
        <v>18</v>
      </c>
      <c r="C4865" t="s">
        <v>23</v>
      </c>
      <c r="D4865">
        <v>40</v>
      </c>
      <c r="E4865">
        <v>43</v>
      </c>
      <c r="F4865">
        <v>3</v>
      </c>
      <c r="G4865">
        <v>2</v>
      </c>
      <c r="H4865" s="1">
        <v>4.270833333333333E-4</v>
      </c>
      <c r="I4865">
        <v>2014</v>
      </c>
      <c r="J4865" t="s">
        <v>20</v>
      </c>
      <c r="K4865" s="2" t="str">
        <f>HYPERLINK("https://www.nba.com/stats/events?CFID=&amp;CFPARAMS=&amp;GameEventID=220&amp;GameID=0021400637&amp;Season=2014-15&amp;flag=1&amp;title=Leonard%20Dunk%20(16%20PTS)%20(Splitter%201%20AST)", "Leonard Dunk (16 PTS) (Splitter 1 AST)")</f>
        <v>Leonard Dunk (16 PTS) (Splitter 1 AST)</v>
      </c>
      <c r="L4865" s="2" t="str">
        <f>HYPERLINK("https://www.nba.com/game/...-vs-...-0021400637/play-by-play?watchFullGame=true", "SAS vs CHI - Q2 00:36.90")</f>
        <v>SAS vs CHI - Q2 00:36.90</v>
      </c>
      <c r="M4865">
        <v>0</v>
      </c>
      <c r="N4865">
        <v>0</v>
      </c>
      <c r="O4865">
        <v>1</v>
      </c>
      <c r="P4865">
        <v>0</v>
      </c>
      <c r="Q4865">
        <v>1</v>
      </c>
      <c r="R4865" t="s">
        <v>21</v>
      </c>
      <c r="S4865" t="s">
        <v>21</v>
      </c>
    </row>
    <row r="4866" spans="1:19" hidden="1" x14ac:dyDescent="0.25">
      <c r="A4866">
        <v>21600917</v>
      </c>
      <c r="B4866" t="s">
        <v>18</v>
      </c>
      <c r="C4866" t="s">
        <v>23</v>
      </c>
      <c r="D4866">
        <v>88</v>
      </c>
      <c r="E4866">
        <v>89</v>
      </c>
      <c r="F4866">
        <v>1</v>
      </c>
      <c r="G4866">
        <v>4</v>
      </c>
      <c r="H4866" s="1">
        <v>4.4444444444444441E-4</v>
      </c>
      <c r="I4866">
        <v>2016</v>
      </c>
      <c r="J4866" t="s">
        <v>20</v>
      </c>
      <c r="K4866" s="2" t="str">
        <f>HYPERLINK("https://www.nba.com/stats/events?CFID=&amp;CFPARAMS=&amp;GameEventID=557&amp;GameID=0021600917&amp;Season=2016-17&amp;flag=1&amp;title=Leonard%20%20Dunk%20(31%20PTS)", "Leonard  Dunk (31 PTS)")</f>
        <v>Leonard  Dunk (31 PTS)</v>
      </c>
      <c r="L4866" s="2" t="str">
        <f>HYPERLINK("https://www.nba.com/game/...-vs-...-0021600917/play-by-play?watchFullGame=true", "SAS vs NOP - Q4 00:38.40")</f>
        <v>SAS vs NOP - Q4 00:38.40</v>
      </c>
      <c r="M4866">
        <v>0</v>
      </c>
      <c r="N4866">
        <v>0</v>
      </c>
      <c r="O4866">
        <v>1</v>
      </c>
      <c r="P4866">
        <v>0</v>
      </c>
      <c r="Q4866">
        <v>1</v>
      </c>
      <c r="R4866" t="s">
        <v>21</v>
      </c>
      <c r="S4866" t="s">
        <v>21</v>
      </c>
    </row>
    <row r="4867" spans="1:19" hidden="1" x14ac:dyDescent="0.25">
      <c r="A4867">
        <v>41200152</v>
      </c>
      <c r="B4867" t="s">
        <v>18</v>
      </c>
      <c r="C4867" t="s">
        <v>23</v>
      </c>
      <c r="D4867">
        <v>53</v>
      </c>
      <c r="E4867">
        <v>46</v>
      </c>
      <c r="F4867">
        <v>7</v>
      </c>
      <c r="G4867">
        <v>2</v>
      </c>
      <c r="H4867" s="1">
        <v>4.8379629629629624E-4</v>
      </c>
      <c r="I4867" t="s">
        <v>53</v>
      </c>
      <c r="J4867" t="s">
        <v>20</v>
      </c>
      <c r="K4867" s="2" t="str">
        <f>HYPERLINK("https://www.nba.com/stats/events?CFID=&amp;CFPARAMS=&amp;GameEventID=220&amp;GameID=0041200152&amp;Season=2012-13&amp;flag=1&amp;title=Leonard%20%20Dunk%20(14%20PTS)%20(Ginobili%204%20AST)", "Leonard  Dunk (14 PTS) (Ginobili 4 AST)")</f>
        <v>Leonard  Dunk (14 PTS) (Ginobili 4 AST)</v>
      </c>
      <c r="L4867" s="2" t="str">
        <f>HYPERLINK("https://www.nba.com/game/...-vs-...-0041200152/play-by-play?watchFullGame=true", "SAS vs LAL - Q2 00:41.80")</f>
        <v>SAS vs LAL - Q2 00:41.80</v>
      </c>
      <c r="M4867">
        <v>0</v>
      </c>
      <c r="N4867">
        <v>0</v>
      </c>
      <c r="O4867">
        <v>1</v>
      </c>
      <c r="P4867">
        <v>0</v>
      </c>
      <c r="Q4867">
        <v>1</v>
      </c>
      <c r="R4867" t="s">
        <v>21</v>
      </c>
      <c r="S4867" t="s">
        <v>21</v>
      </c>
    </row>
    <row r="4868" spans="1:19" hidden="1" x14ac:dyDescent="0.25">
      <c r="A4868">
        <v>41600152</v>
      </c>
      <c r="B4868" t="s">
        <v>18</v>
      </c>
      <c r="C4868" t="s">
        <v>25</v>
      </c>
      <c r="D4868">
        <v>96</v>
      </c>
      <c r="E4868">
        <v>82</v>
      </c>
      <c r="F4868">
        <v>14</v>
      </c>
      <c r="G4868">
        <v>4</v>
      </c>
      <c r="H4868" s="1">
        <v>5.8333333333333327E-4</v>
      </c>
      <c r="I4868" t="s">
        <v>58</v>
      </c>
      <c r="J4868" t="s">
        <v>20</v>
      </c>
      <c r="K4868" s="2" t="str">
        <f>HYPERLINK("https://www.nba.com/stats/events?CFID=&amp;CFPARAMS=&amp;GameEventID=484&amp;GameID=0041600152&amp;Season=2016-17&amp;flag=1&amp;title=Leonard%20%20Driving%20Dunk%20(37%20PTS)", "Leonard  Driving Dunk (37 PTS)")</f>
        <v>Leonard  Driving Dunk (37 PTS)</v>
      </c>
      <c r="L4868" s="2" t="str">
        <f>HYPERLINK("https://www.nba.com/game/...-vs-...-0041600152/play-by-play?watchFullGame=true", "SAS vs MEM - Q4 00:50.40")</f>
        <v>SAS vs MEM - Q4 00:50.40</v>
      </c>
      <c r="M4868">
        <v>0</v>
      </c>
      <c r="N4868">
        <v>0</v>
      </c>
      <c r="O4868">
        <v>1</v>
      </c>
      <c r="P4868">
        <v>0</v>
      </c>
      <c r="Q4868">
        <v>1</v>
      </c>
      <c r="R4868" t="s">
        <v>21</v>
      </c>
      <c r="S4868" t="s">
        <v>21</v>
      </c>
    </row>
    <row r="4869" spans="1:19" hidden="1" x14ac:dyDescent="0.25">
      <c r="A4869">
        <v>21500242</v>
      </c>
      <c r="B4869" t="s">
        <v>18</v>
      </c>
      <c r="C4869" t="s">
        <v>23</v>
      </c>
      <c r="D4869">
        <v>51</v>
      </c>
      <c r="E4869">
        <v>37</v>
      </c>
      <c r="F4869">
        <v>14</v>
      </c>
      <c r="G4869">
        <v>2</v>
      </c>
      <c r="H4869" s="1">
        <v>8.6805555555555551E-4</v>
      </c>
      <c r="I4869">
        <v>2015</v>
      </c>
      <c r="J4869" t="s">
        <v>20</v>
      </c>
      <c r="K4869" s="2" t="str">
        <f>HYPERLINK("https://www.nba.com/stats/events?CFID=&amp;CFPARAMS=&amp;GameEventID=248&amp;GameID=0021500242&amp;Season=2015-16&amp;flag=1&amp;title=Leonard%20%20Dunk%20(12%20PTS)%20(Mills%201%20AST)", "Leonard  Dunk (12 PTS) (Mills 1 AST)")</f>
        <v>Leonard  Dunk (12 PTS) (Mills 1 AST)</v>
      </c>
      <c r="L4869" s="2" t="str">
        <f>HYPERLINK("https://www.nba.com/game/...-vs-...-0021500242/play-by-play?watchFullGame=true", "SAS vs ATL - Q2 01:15.00")</f>
        <v>SAS vs ATL - Q2 01:15.00</v>
      </c>
      <c r="M4869">
        <v>0</v>
      </c>
      <c r="N4869">
        <v>0</v>
      </c>
      <c r="O4869">
        <v>1</v>
      </c>
      <c r="P4869">
        <v>0</v>
      </c>
      <c r="Q4869">
        <v>1</v>
      </c>
      <c r="R4869" t="s">
        <v>21</v>
      </c>
      <c r="S4869" t="s">
        <v>21</v>
      </c>
    </row>
    <row r="4870" spans="1:19" hidden="1" x14ac:dyDescent="0.25">
      <c r="A4870">
        <v>21400949</v>
      </c>
      <c r="B4870" t="s">
        <v>18</v>
      </c>
      <c r="C4870" t="s">
        <v>23</v>
      </c>
      <c r="D4870">
        <v>82</v>
      </c>
      <c r="E4870">
        <v>66</v>
      </c>
      <c r="F4870">
        <v>16</v>
      </c>
      <c r="G4870">
        <v>3</v>
      </c>
      <c r="H4870" s="1">
        <v>8.6805555555555551E-4</v>
      </c>
      <c r="I4870">
        <v>2014</v>
      </c>
      <c r="J4870" t="s">
        <v>20</v>
      </c>
      <c r="K4870" s="2" t="str">
        <f>HYPERLINK("https://www.nba.com/stats/events?CFID=&amp;CFPARAMS=&amp;GameEventID=342&amp;GameID=0021400949&amp;Season=2014-15&amp;flag=1&amp;title=Leonard%20Dunk%20(18%20PTS)", "Leonard Dunk (18 PTS)")</f>
        <v>Leonard Dunk (18 PTS)</v>
      </c>
      <c r="L4870" s="2" t="str">
        <f>HYPERLINK("https://www.nba.com/game/...-vs-...-0021400949/play-by-play?watchFullGame=true", "SAS vs TOR - Q3 01:15.00")</f>
        <v>SAS vs TOR - Q3 01:15.00</v>
      </c>
      <c r="M4870">
        <v>0</v>
      </c>
      <c r="N4870">
        <v>0</v>
      </c>
      <c r="O4870">
        <v>1</v>
      </c>
      <c r="P4870">
        <v>0</v>
      </c>
      <c r="Q4870">
        <v>1</v>
      </c>
      <c r="R4870" t="s">
        <v>21</v>
      </c>
      <c r="S4870" t="s">
        <v>21</v>
      </c>
    </row>
    <row r="4871" spans="1:19" hidden="1" x14ac:dyDescent="0.25">
      <c r="A4871">
        <v>21400191</v>
      </c>
      <c r="B4871" t="s">
        <v>18</v>
      </c>
      <c r="C4871" t="s">
        <v>23</v>
      </c>
      <c r="D4871">
        <v>77</v>
      </c>
      <c r="E4871">
        <v>60</v>
      </c>
      <c r="F4871">
        <v>17</v>
      </c>
      <c r="G4871">
        <v>3</v>
      </c>
      <c r="H4871" s="1">
        <v>9.9537037037037042E-4</v>
      </c>
      <c r="I4871">
        <v>2014</v>
      </c>
      <c r="J4871" t="s">
        <v>20</v>
      </c>
      <c r="K4871" s="2" t="str">
        <f>HYPERLINK("https://www.nba.com/stats/events?CFID=&amp;CFPARAMS=&amp;GameEventID=331&amp;GameID=0021400191&amp;Season=2014-15&amp;flag=1&amp;title=Leonard%20%20Dunk%20(15%20PTS)%20(Parker%206%20AST)", "Leonard  Dunk (15 PTS) (Parker 6 AST)")</f>
        <v>Leonard  Dunk (15 PTS) (Parker 6 AST)</v>
      </c>
      <c r="L4871" s="2" t="str">
        <f>HYPERLINK("https://www.nba.com/game/...-vs-...-0021400191/play-by-play?watchFullGame=true", "SAS vs BKN - Q3 01:26.00")</f>
        <v>SAS vs BKN - Q3 01:26.00</v>
      </c>
      <c r="M4871">
        <v>0</v>
      </c>
      <c r="N4871">
        <v>0</v>
      </c>
      <c r="O4871">
        <v>1</v>
      </c>
      <c r="P4871">
        <v>0</v>
      </c>
      <c r="Q4871">
        <v>1</v>
      </c>
      <c r="R4871" t="s">
        <v>21</v>
      </c>
      <c r="S4871" t="s">
        <v>21</v>
      </c>
    </row>
    <row r="4872" spans="1:19" hidden="1" x14ac:dyDescent="0.25">
      <c r="A4872">
        <v>21600727</v>
      </c>
      <c r="B4872" t="s">
        <v>18</v>
      </c>
      <c r="C4872" t="s">
        <v>23</v>
      </c>
      <c r="D4872">
        <v>27</v>
      </c>
      <c r="E4872">
        <v>17</v>
      </c>
      <c r="F4872">
        <v>10</v>
      </c>
      <c r="G4872">
        <v>1</v>
      </c>
      <c r="H4872" s="1">
        <v>1.0185185185185184E-3</v>
      </c>
      <c r="I4872">
        <v>2016</v>
      </c>
      <c r="J4872" t="s">
        <v>20</v>
      </c>
      <c r="K4872" s="2" t="str">
        <f>HYPERLINK("https://www.nba.com/stats/events?CFID=&amp;CFPARAMS=&amp;GameEventID=138&amp;GameID=0021600727&amp;Season=2016-17&amp;flag=1&amp;title=Leonard%20%20Dunk%20(6%20PTS)%20(Ginobili%202%20AST)", "Leonard  Dunk (6 PTS) (Ginobili 2 AST)")</f>
        <v>Leonard  Dunk (6 PTS) (Ginobili 2 AST)</v>
      </c>
      <c r="L4872" s="2" t="str">
        <f>HYPERLINK("https://www.nba.com/game/...-vs-...-0021600727/play-by-play?watchFullGame=true", "SAS vs OKC - Q1 01:28.00")</f>
        <v>SAS vs OKC - Q1 01:28.00</v>
      </c>
      <c r="M4872">
        <v>0</v>
      </c>
      <c r="N4872">
        <v>0</v>
      </c>
      <c r="O4872">
        <v>1</v>
      </c>
      <c r="P4872">
        <v>0</v>
      </c>
      <c r="Q4872">
        <v>1</v>
      </c>
      <c r="R4872" t="s">
        <v>21</v>
      </c>
      <c r="S4872" t="s">
        <v>21</v>
      </c>
    </row>
    <row r="4873" spans="1:19" hidden="1" x14ac:dyDescent="0.25">
      <c r="A4873">
        <v>21500172</v>
      </c>
      <c r="B4873" t="s">
        <v>18</v>
      </c>
      <c r="C4873" t="s">
        <v>23</v>
      </c>
      <c r="D4873">
        <v>89</v>
      </c>
      <c r="E4873">
        <v>77</v>
      </c>
      <c r="F4873">
        <v>12</v>
      </c>
      <c r="G4873">
        <v>3</v>
      </c>
      <c r="H4873" s="1">
        <v>1.0185185185185184E-3</v>
      </c>
      <c r="I4873">
        <v>2015</v>
      </c>
      <c r="J4873" t="s">
        <v>20</v>
      </c>
      <c r="K4873" s="2" t="str">
        <f>HYPERLINK("https://www.nba.com/stats/events?CFID=&amp;CFPARAMS=&amp;GameEventID=370&amp;GameID=0021500172&amp;Season=2015-16&amp;flag=1&amp;title=Leonard%20%20Dunk%20(15%20PTS)%20(Diaw%201%20AST)", "Leonard  Dunk (15 PTS) (Diaw 1 AST)")</f>
        <v>Leonard  Dunk (15 PTS) (Diaw 1 AST)</v>
      </c>
      <c r="L4873" s="2" t="str">
        <f>HYPERLINK("https://www.nba.com/game/...-vs-...-0021500172/play-by-play?watchFullGame=true", "SAS vs DEN - Q3 01:28.00")</f>
        <v>SAS vs DEN - Q3 01:28.00</v>
      </c>
      <c r="M4873">
        <v>0</v>
      </c>
      <c r="N4873">
        <v>0</v>
      </c>
      <c r="O4873">
        <v>1</v>
      </c>
      <c r="P4873">
        <v>0</v>
      </c>
      <c r="Q4873">
        <v>1</v>
      </c>
      <c r="R4873" t="s">
        <v>21</v>
      </c>
      <c r="S4873" t="s">
        <v>21</v>
      </c>
    </row>
    <row r="4874" spans="1:19" hidden="1" x14ac:dyDescent="0.25">
      <c r="A4874">
        <v>41500234</v>
      </c>
      <c r="B4874" t="s">
        <v>18</v>
      </c>
      <c r="C4874" t="s">
        <v>25</v>
      </c>
      <c r="D4874">
        <v>46</v>
      </c>
      <c r="E4874">
        <v>45</v>
      </c>
      <c r="F4874">
        <v>1</v>
      </c>
      <c r="G4874">
        <v>2</v>
      </c>
      <c r="H4874" s="1">
        <v>1.0763888888888889E-3</v>
      </c>
      <c r="I4874" t="s">
        <v>57</v>
      </c>
      <c r="J4874" t="s">
        <v>20</v>
      </c>
      <c r="K4874" s="2" t="str">
        <f>HYPERLINK("https://www.nba.com/stats/events?CFID=&amp;CFPARAMS=&amp;GameEventID=249&amp;GameID=0041500234&amp;Season=2015-16&amp;flag=1&amp;title=Leonard%20%20Driving%20Dunk%20(12%20PTS)", "Leonard  Driving Dunk (12 PTS)")</f>
        <v>Leonard  Driving Dunk (12 PTS)</v>
      </c>
      <c r="L4874" s="2" t="str">
        <f>HYPERLINK("https://www.nba.com/game/...-vs-...-0041500234/play-by-play?watchFullGame=true", "SAS vs OKC - Q2 01:33.00")</f>
        <v>SAS vs OKC - Q2 01:33.00</v>
      </c>
      <c r="M4874">
        <v>0</v>
      </c>
      <c r="N4874">
        <v>0</v>
      </c>
      <c r="O4874">
        <v>1</v>
      </c>
      <c r="P4874">
        <v>0</v>
      </c>
      <c r="Q4874">
        <v>1</v>
      </c>
      <c r="R4874" t="s">
        <v>21</v>
      </c>
      <c r="S4874" t="s">
        <v>21</v>
      </c>
    </row>
    <row r="4875" spans="1:19" hidden="1" x14ac:dyDescent="0.25">
      <c r="A4875">
        <v>21400108</v>
      </c>
      <c r="B4875" t="s">
        <v>18</v>
      </c>
      <c r="C4875" t="s">
        <v>70</v>
      </c>
      <c r="D4875">
        <v>77</v>
      </c>
      <c r="E4875">
        <v>64</v>
      </c>
      <c r="F4875">
        <v>13</v>
      </c>
      <c r="G4875">
        <v>3</v>
      </c>
      <c r="H4875" s="1">
        <v>1.2962962962962963E-3</v>
      </c>
      <c r="I4875">
        <v>2014</v>
      </c>
      <c r="J4875" t="s">
        <v>20</v>
      </c>
      <c r="K4875" s="2" t="str">
        <f>HYPERLINK("https://www.nba.com/stats/events?CFID=&amp;CFPARAMS=&amp;GameEventID=335&amp;GameID=0021400108&amp;Season=2014-15&amp;flag=1&amp;title=Leonard%20%20Slam%20Dunk%20(13%20PTS)%20(Joseph%204%20AST)", "Leonard  Slam Dunk (13 PTS) (Joseph 4 AST)")</f>
        <v>Leonard  Slam Dunk (13 PTS) (Joseph 4 AST)</v>
      </c>
      <c r="L4875" s="2" t="str">
        <f>HYPERLINK("https://www.nba.com/game/...-vs-...-0021400108/play-by-play?watchFullGame=true", "SAS vs GSW - Q3 01:52.00")</f>
        <v>SAS vs GSW - Q3 01:52.00</v>
      </c>
      <c r="M4875">
        <v>0</v>
      </c>
      <c r="N4875">
        <v>0</v>
      </c>
      <c r="O4875">
        <v>1</v>
      </c>
      <c r="P4875">
        <v>0</v>
      </c>
      <c r="Q4875">
        <v>1</v>
      </c>
      <c r="R4875" t="s">
        <v>21</v>
      </c>
      <c r="S4875" t="s">
        <v>21</v>
      </c>
    </row>
    <row r="4876" spans="1:19" hidden="1" x14ac:dyDescent="0.25">
      <c r="A4876">
        <v>21600336</v>
      </c>
      <c r="B4876" t="s">
        <v>18</v>
      </c>
      <c r="C4876" t="s">
        <v>72</v>
      </c>
      <c r="D4876">
        <v>88</v>
      </c>
      <c r="E4876">
        <v>93</v>
      </c>
      <c r="F4876">
        <v>5</v>
      </c>
      <c r="G4876">
        <v>4</v>
      </c>
      <c r="H4876" s="1">
        <v>1.3425925925925925E-3</v>
      </c>
      <c r="I4876">
        <v>2016</v>
      </c>
      <c r="J4876" t="s">
        <v>20</v>
      </c>
      <c r="K4876" s="2" t="str">
        <f>HYPERLINK("https://www.nba.com/stats/events?CFID=&amp;CFPARAMS=&amp;GameEventID=517&amp;GameID=0021600336&amp;Season=2016-17&amp;flag=1&amp;title=Leonard%20%20Putback%20Dunk%20(24%20PTS)", "Leonard  Putback Dunk (24 PTS)")</f>
        <v>Leonard  Putback Dunk (24 PTS)</v>
      </c>
      <c r="L4876" s="2" t="str">
        <f>HYPERLINK("https://www.nba.com/game/...-vs-...-0021600336/play-by-play?watchFullGame=true", "SAS vs CHI - Q4 01:56.00")</f>
        <v>SAS vs CHI - Q4 01:56.00</v>
      </c>
      <c r="M4876">
        <v>0</v>
      </c>
      <c r="N4876">
        <v>0</v>
      </c>
      <c r="O4876">
        <v>1</v>
      </c>
      <c r="P4876">
        <v>0</v>
      </c>
      <c r="Q4876">
        <v>1</v>
      </c>
      <c r="R4876" t="s">
        <v>21</v>
      </c>
      <c r="S4876" t="s">
        <v>21</v>
      </c>
    </row>
    <row r="4877" spans="1:19" hidden="1" x14ac:dyDescent="0.25">
      <c r="A4877">
        <v>41500233</v>
      </c>
      <c r="B4877" t="s">
        <v>18</v>
      </c>
      <c r="C4877" t="s">
        <v>46</v>
      </c>
      <c r="D4877">
        <v>25</v>
      </c>
      <c r="E4877">
        <v>20</v>
      </c>
      <c r="F4877">
        <v>5</v>
      </c>
      <c r="G4877">
        <v>1</v>
      </c>
      <c r="H4877" s="1">
        <v>1.3541666666666667E-3</v>
      </c>
      <c r="I4877" t="s">
        <v>57</v>
      </c>
      <c r="J4877" t="s">
        <v>20</v>
      </c>
      <c r="K4877" s="2" t="str">
        <f>HYPERLINK("https://www.nba.com/stats/events?CFID=&amp;CFPARAMS=&amp;GameEventID=96&amp;GameID=0041500233&amp;Season=2015-16&amp;flag=1&amp;title=Leonard%20%20Cutting%20Dunk%20Shot%20(11%20PTS)%20(West%201%20AST)", "Leonard  Cutting Dunk Shot (11 PTS) (West 1 AST)")</f>
        <v>Leonard  Cutting Dunk Shot (11 PTS) (West 1 AST)</v>
      </c>
      <c r="L4877" s="2" t="str">
        <f>HYPERLINK("https://www.nba.com/game/...-vs-...-0041500233/play-by-play?watchFullGame=true", "SAS vs OKC - Q1 01:57.00")</f>
        <v>SAS vs OKC - Q1 01:57.00</v>
      </c>
      <c r="M4877">
        <v>0</v>
      </c>
      <c r="N4877">
        <v>0</v>
      </c>
      <c r="O4877">
        <v>1</v>
      </c>
      <c r="P4877">
        <v>0</v>
      </c>
      <c r="Q4877">
        <v>1</v>
      </c>
      <c r="R4877" t="s">
        <v>21</v>
      </c>
      <c r="S4877" t="s">
        <v>21</v>
      </c>
    </row>
    <row r="4878" spans="1:19" hidden="1" x14ac:dyDescent="0.25">
      <c r="A4878">
        <v>21600441</v>
      </c>
      <c r="B4878" t="s">
        <v>18</v>
      </c>
      <c r="C4878" t="s">
        <v>25</v>
      </c>
      <c r="D4878">
        <v>38</v>
      </c>
      <c r="E4878">
        <v>50</v>
      </c>
      <c r="F4878">
        <v>12</v>
      </c>
      <c r="G4878">
        <v>2</v>
      </c>
      <c r="H4878" s="1">
        <v>1.3541666666666667E-3</v>
      </c>
      <c r="I4878">
        <v>2016</v>
      </c>
      <c r="J4878" t="s">
        <v>20</v>
      </c>
      <c r="K4878" s="2" t="str">
        <f>HYPERLINK("https://www.nba.com/stats/events?CFID=&amp;CFPARAMS=&amp;GameEventID=264&amp;GameID=0021600441&amp;Season=2016-17&amp;flag=1&amp;title=Leonard%20%20Driving%20Dunk%20(15%20PTS)%20(Green%201%20AST)", "Leonard  Driving Dunk (15 PTS) (Green 1 AST)")</f>
        <v>Leonard  Driving Dunk (15 PTS) (Green 1 AST)</v>
      </c>
      <c r="L4878" s="2" t="str">
        <f>HYPERLINK("https://www.nba.com/game/...-vs-...-0021600441/play-by-play?watchFullGame=true", "SAS vs LAC - Q2 01:57.00")</f>
        <v>SAS vs LAC - Q2 01:57.00</v>
      </c>
      <c r="M4878">
        <v>0</v>
      </c>
      <c r="N4878">
        <v>0</v>
      </c>
      <c r="O4878">
        <v>1</v>
      </c>
      <c r="P4878">
        <v>0</v>
      </c>
      <c r="Q4878">
        <v>1</v>
      </c>
      <c r="R4878" t="s">
        <v>21</v>
      </c>
      <c r="S4878" t="s">
        <v>21</v>
      </c>
    </row>
    <row r="4879" spans="1:19" hidden="1" x14ac:dyDescent="0.25">
      <c r="A4879">
        <v>21600605</v>
      </c>
      <c r="B4879" t="s">
        <v>18</v>
      </c>
      <c r="C4879" t="s">
        <v>25</v>
      </c>
      <c r="D4879">
        <v>55</v>
      </c>
      <c r="E4879">
        <v>46</v>
      </c>
      <c r="F4879">
        <v>9</v>
      </c>
      <c r="G4879">
        <v>2</v>
      </c>
      <c r="H4879" s="1">
        <v>1.4351851851851852E-3</v>
      </c>
      <c r="I4879">
        <v>2016</v>
      </c>
      <c r="J4879" t="s">
        <v>20</v>
      </c>
      <c r="K4879" s="2" t="str">
        <f>HYPERLINK("https://www.nba.com/stats/events?CFID=&amp;CFPARAMS=&amp;GameEventID=249&amp;GameID=0021600605&amp;Season=2016-17&amp;flag=1&amp;title=Leonard%20%20Driving%20Dunk%20(14%20PTS)", "Leonard  Driving Dunk (14 PTS)")</f>
        <v>Leonard  Driving Dunk (14 PTS)</v>
      </c>
      <c r="L4879" s="2" t="str">
        <f>HYPERLINK("https://www.nba.com/game/...-vs-...-0021600605/play-by-play?watchFullGame=true", "SAS vs PHX - Q2 02:04.00")</f>
        <v>SAS vs PHX - Q2 02:04.00</v>
      </c>
      <c r="M4879">
        <v>0</v>
      </c>
      <c r="N4879">
        <v>0</v>
      </c>
      <c r="O4879">
        <v>1</v>
      </c>
      <c r="P4879">
        <v>0</v>
      </c>
      <c r="Q4879">
        <v>1</v>
      </c>
      <c r="R4879" t="s">
        <v>21</v>
      </c>
      <c r="S4879" t="s">
        <v>21</v>
      </c>
    </row>
    <row r="4880" spans="1:19" hidden="1" x14ac:dyDescent="0.25">
      <c r="A4880">
        <v>21400867</v>
      </c>
      <c r="B4880" t="s">
        <v>18</v>
      </c>
      <c r="C4880" t="s">
        <v>25</v>
      </c>
      <c r="D4880">
        <v>41</v>
      </c>
      <c r="E4880">
        <v>43</v>
      </c>
      <c r="F4880">
        <v>2</v>
      </c>
      <c r="G4880">
        <v>2</v>
      </c>
      <c r="H4880" s="1">
        <v>1.4467592592592592E-3</v>
      </c>
      <c r="I4880">
        <v>2014</v>
      </c>
      <c r="J4880" t="s">
        <v>20</v>
      </c>
      <c r="K4880" s="2" t="str">
        <f>HYPERLINK("https://www.nba.com/stats/events?CFID=&amp;CFPARAMS=&amp;GameEventID=250&amp;GameID=0021400867&amp;Season=2014-15&amp;flag=1&amp;title=Leonard%20%20Driving%20Dunk%20(13%20PTS)", "Leonard  Driving Dunk (13 PTS)")</f>
        <v>Leonard  Driving Dunk (13 PTS)</v>
      </c>
      <c r="L4880" s="2" t="str">
        <f>HYPERLINK("https://www.nba.com/game/...-vs-...-0021400867/play-by-play?watchFullGame=true", "SAS vs SAC - Q2 02:05.00")</f>
        <v>SAS vs SAC - Q2 02:05.00</v>
      </c>
      <c r="M4880">
        <v>0</v>
      </c>
      <c r="N4880">
        <v>0</v>
      </c>
      <c r="O4880">
        <v>1</v>
      </c>
      <c r="P4880">
        <v>0</v>
      </c>
      <c r="Q4880">
        <v>1</v>
      </c>
      <c r="R4880" t="s">
        <v>21</v>
      </c>
      <c r="S4880" t="s">
        <v>21</v>
      </c>
    </row>
    <row r="4881" spans="1:19" hidden="1" x14ac:dyDescent="0.25">
      <c r="A4881">
        <v>21600206</v>
      </c>
      <c r="B4881" t="s">
        <v>18</v>
      </c>
      <c r="C4881" t="s">
        <v>23</v>
      </c>
      <c r="D4881">
        <v>92</v>
      </c>
      <c r="E4881">
        <v>88</v>
      </c>
      <c r="F4881">
        <v>4</v>
      </c>
      <c r="G4881">
        <v>4</v>
      </c>
      <c r="H4881" s="1">
        <v>1.4699074074074074E-3</v>
      </c>
      <c r="I4881">
        <v>2016</v>
      </c>
      <c r="J4881" t="s">
        <v>20</v>
      </c>
      <c r="K4881" s="2" t="str">
        <f>HYPERLINK("https://www.nba.com/stats/events?CFID=&amp;CFPARAMS=&amp;GameEventID=463&amp;GameID=0021600206&amp;Season=2016-17&amp;flag=1&amp;title=Leonard%20%20Dunk%20(24%20PTS)", "Leonard  Dunk (24 PTS)")</f>
        <v>Leonard  Dunk (24 PTS)</v>
      </c>
      <c r="L4881" s="2" t="str">
        <f>HYPERLINK("https://www.nba.com/game/...-vs-...-0021600206/play-by-play?watchFullGame=true", "SAS vs DAL - Q4 02:07.00")</f>
        <v>SAS vs DAL - Q4 02:07.00</v>
      </c>
      <c r="M4881">
        <v>0</v>
      </c>
      <c r="N4881">
        <v>0</v>
      </c>
      <c r="O4881">
        <v>1</v>
      </c>
      <c r="P4881">
        <v>0</v>
      </c>
      <c r="Q4881">
        <v>1</v>
      </c>
      <c r="R4881" t="s">
        <v>21</v>
      </c>
      <c r="S4881" t="s">
        <v>21</v>
      </c>
    </row>
    <row r="4882" spans="1:19" hidden="1" x14ac:dyDescent="0.25">
      <c r="A4882">
        <v>21500416</v>
      </c>
      <c r="B4882" t="s">
        <v>18</v>
      </c>
      <c r="C4882" t="s">
        <v>68</v>
      </c>
      <c r="D4882">
        <v>46</v>
      </c>
      <c r="E4882">
        <v>46</v>
      </c>
      <c r="F4882">
        <v>0</v>
      </c>
      <c r="G4882">
        <v>2</v>
      </c>
      <c r="H4882" s="1">
        <v>1.5509259259259259E-3</v>
      </c>
      <c r="I4882">
        <v>2015</v>
      </c>
      <c r="J4882" t="s">
        <v>20</v>
      </c>
      <c r="K4882" s="2" t="str">
        <f>HYPERLINK("https://www.nba.com/stats/events?CFID=&amp;CFPARAMS=&amp;GameEventID=212&amp;GameID=0021500416&amp;Season=2015-16&amp;flag=1&amp;title=Leonard%20Alley%20Oop%20Dunk%20(8%20PTS)%20(Duncan%202%20AST)", "Leonard Alley Oop Dunk (8 PTS) (Duncan 2 AST)")</f>
        <v>Leonard Alley Oop Dunk (8 PTS) (Duncan 2 AST)</v>
      </c>
      <c r="L4882" s="2" t="str">
        <f>HYPERLINK("https://www.nba.com/game/...-vs-...-0021500416/play-by-play?watchFullGame=true", "SAS vs IND - Q2 02:14.00")</f>
        <v>SAS vs IND - Q2 02:14.00</v>
      </c>
      <c r="M4882">
        <v>0</v>
      </c>
      <c r="N4882">
        <v>0</v>
      </c>
      <c r="O4882">
        <v>1</v>
      </c>
      <c r="P4882">
        <v>0</v>
      </c>
      <c r="Q4882">
        <v>1</v>
      </c>
      <c r="R4882" t="s">
        <v>21</v>
      </c>
      <c r="S4882" t="s">
        <v>21</v>
      </c>
    </row>
    <row r="4883" spans="1:19" hidden="1" x14ac:dyDescent="0.25">
      <c r="A4883">
        <v>41500152</v>
      </c>
      <c r="B4883" t="s">
        <v>18</v>
      </c>
      <c r="C4883" t="s">
        <v>25</v>
      </c>
      <c r="D4883">
        <v>46</v>
      </c>
      <c r="E4883">
        <v>28</v>
      </c>
      <c r="F4883">
        <v>18</v>
      </c>
      <c r="G4883">
        <v>2</v>
      </c>
      <c r="H4883" s="1">
        <v>1.5625000000000001E-3</v>
      </c>
      <c r="I4883" t="s">
        <v>57</v>
      </c>
      <c r="J4883" t="s">
        <v>20</v>
      </c>
      <c r="K4883" s="2" t="str">
        <f>HYPERLINK("https://www.nba.com/stats/events?CFID=&amp;CFPARAMS=&amp;GameEventID=210&amp;GameID=0041500152&amp;Season=2015-16&amp;flag=1&amp;title=Leonard%20%20Driving%20Dunk%20(8%20PTS)", "Leonard  Driving Dunk (8 PTS)")</f>
        <v>Leonard  Driving Dunk (8 PTS)</v>
      </c>
      <c r="L4883" s="2" t="str">
        <f>HYPERLINK("https://www.nba.com/game/...-vs-...-0041500152/play-by-play?watchFullGame=true", "SAS vs MEM - Q2 02:15.00")</f>
        <v>SAS vs MEM - Q2 02:15.00</v>
      </c>
      <c r="M4883">
        <v>0</v>
      </c>
      <c r="N4883">
        <v>0</v>
      </c>
      <c r="O4883">
        <v>1</v>
      </c>
      <c r="P4883">
        <v>0</v>
      </c>
      <c r="Q4883">
        <v>1</v>
      </c>
      <c r="R4883" t="s">
        <v>21</v>
      </c>
      <c r="S4883" t="s">
        <v>21</v>
      </c>
    </row>
    <row r="4884" spans="1:19" hidden="1" x14ac:dyDescent="0.25">
      <c r="A4884">
        <v>21400266</v>
      </c>
      <c r="B4884" t="s">
        <v>18</v>
      </c>
      <c r="C4884" t="s">
        <v>25</v>
      </c>
      <c r="D4884">
        <v>39</v>
      </c>
      <c r="E4884">
        <v>35</v>
      </c>
      <c r="F4884">
        <v>4</v>
      </c>
      <c r="G4884">
        <v>2</v>
      </c>
      <c r="H4884" s="1">
        <v>1.5856481481481481E-3</v>
      </c>
      <c r="I4884">
        <v>2014</v>
      </c>
      <c r="J4884" t="s">
        <v>20</v>
      </c>
      <c r="K4884" s="2" t="str">
        <f>HYPERLINK("https://www.nba.com/stats/events?CFID=&amp;CFPARAMS=&amp;GameEventID=208&amp;GameID=0021400266&amp;Season=2014-15&amp;flag=1&amp;title=Leonard%20%20Driving%20Dunk%20(8%20PTS)%20(Ginobili%201%20AST)", "Leonard  Driving Dunk (8 PTS) (Ginobili 1 AST)")</f>
        <v>Leonard  Driving Dunk (8 PTS) (Ginobili 1 AST)</v>
      </c>
      <c r="L4884" s="2" t="str">
        <f>HYPERLINK("https://www.nba.com/game/...-vs-...-0021400266/play-by-play?watchFullGame=true", "SAS vs BKN - Q2 02:17.00")</f>
        <v>SAS vs BKN - Q2 02:17.00</v>
      </c>
      <c r="M4884">
        <v>0</v>
      </c>
      <c r="N4884">
        <v>0</v>
      </c>
      <c r="O4884">
        <v>1</v>
      </c>
      <c r="P4884">
        <v>0</v>
      </c>
      <c r="Q4884">
        <v>1</v>
      </c>
      <c r="R4884" t="s">
        <v>21</v>
      </c>
      <c r="S4884" t="s">
        <v>21</v>
      </c>
    </row>
    <row r="4885" spans="1:19" hidden="1" x14ac:dyDescent="0.25">
      <c r="A4885">
        <v>21600032</v>
      </c>
      <c r="B4885" t="s">
        <v>18</v>
      </c>
      <c r="C4885" t="s">
        <v>23</v>
      </c>
      <c r="D4885">
        <v>48</v>
      </c>
      <c r="E4885">
        <v>38</v>
      </c>
      <c r="F4885">
        <v>10</v>
      </c>
      <c r="G4885">
        <v>2</v>
      </c>
      <c r="H4885" s="1">
        <v>1.6435185185185185E-3</v>
      </c>
      <c r="I4885">
        <v>2016</v>
      </c>
      <c r="J4885" t="s">
        <v>20</v>
      </c>
      <c r="K4885" s="2" t="str">
        <f>HYPERLINK("https://www.nba.com/stats/events?CFID=&amp;CFPARAMS=&amp;GameEventID=224&amp;GameID=0021600032&amp;Season=2016-17&amp;flag=1&amp;title=Leonard%20%20Dunk%20(4%20PTS)", "Leonard  Dunk (4 PTS)")</f>
        <v>Leonard  Dunk (4 PTS)</v>
      </c>
      <c r="L4885" s="2" t="str">
        <f>HYPERLINK("https://www.nba.com/game/...-vs-...-0021600032/play-by-play?watchFullGame=true", "SAS vs NOP - Q2 02:22.00")</f>
        <v>SAS vs NOP - Q2 02:22.00</v>
      </c>
      <c r="M4885">
        <v>0</v>
      </c>
      <c r="N4885">
        <v>0</v>
      </c>
      <c r="O4885">
        <v>1</v>
      </c>
      <c r="P4885">
        <v>0</v>
      </c>
      <c r="Q4885">
        <v>1</v>
      </c>
      <c r="R4885" t="s">
        <v>21</v>
      </c>
      <c r="S4885" t="s">
        <v>21</v>
      </c>
    </row>
    <row r="4886" spans="1:19" hidden="1" x14ac:dyDescent="0.25">
      <c r="A4886">
        <v>41400163</v>
      </c>
      <c r="B4886" t="s">
        <v>18</v>
      </c>
      <c r="C4886" t="s">
        <v>68</v>
      </c>
      <c r="D4886">
        <v>41</v>
      </c>
      <c r="E4886">
        <v>33</v>
      </c>
      <c r="F4886">
        <v>8</v>
      </c>
      <c r="G4886">
        <v>2</v>
      </c>
      <c r="H4886" s="1">
        <v>1.712962962962963E-3</v>
      </c>
      <c r="I4886" t="s">
        <v>56</v>
      </c>
      <c r="J4886" t="s">
        <v>20</v>
      </c>
      <c r="K4886" s="2" t="str">
        <f>HYPERLINK("https://www.nba.com/stats/events?CFID=&amp;CFPARAMS=&amp;GameEventID=205&amp;GameID=0041400163&amp;Season=2014-15&amp;flag=1&amp;title=Leonard%20%20Alley%20Oop%20Dunk%20(14%20PTS)%20(Green%202%20AST)", "Leonard  Alley Oop Dunk (14 PTS) (Green 2 AST)")</f>
        <v>Leonard  Alley Oop Dunk (14 PTS) (Green 2 AST)</v>
      </c>
      <c r="L4886" s="2" t="str">
        <f>HYPERLINK("https://www.nba.com/game/...-vs-...-0041400163/play-by-play?watchFullGame=true", "SAS vs LAC - Q2 02:28.00")</f>
        <v>SAS vs LAC - Q2 02:28.00</v>
      </c>
      <c r="M4886">
        <v>0</v>
      </c>
      <c r="N4886">
        <v>0</v>
      </c>
      <c r="O4886">
        <v>1</v>
      </c>
      <c r="P4886">
        <v>0</v>
      </c>
      <c r="Q4886">
        <v>1</v>
      </c>
      <c r="R4886" t="s">
        <v>21</v>
      </c>
      <c r="S4886" t="s">
        <v>21</v>
      </c>
    </row>
    <row r="4887" spans="1:19" hidden="1" x14ac:dyDescent="0.25">
      <c r="A4887">
        <v>21400191</v>
      </c>
      <c r="B4887" t="s">
        <v>18</v>
      </c>
      <c r="C4887" t="s">
        <v>23</v>
      </c>
      <c r="D4887">
        <v>47</v>
      </c>
      <c r="E4887">
        <v>32</v>
      </c>
      <c r="F4887">
        <v>15</v>
      </c>
      <c r="G4887">
        <v>2</v>
      </c>
      <c r="H4887" s="1">
        <v>1.8287037037037037E-3</v>
      </c>
      <c r="I4887">
        <v>2014</v>
      </c>
      <c r="J4887" t="s">
        <v>20</v>
      </c>
      <c r="K4887" s="2" t="str">
        <f>HYPERLINK("https://www.nba.com/stats/events?CFID=&amp;CFPARAMS=&amp;GameEventID=196&amp;GameID=0021400191&amp;Season=2014-15&amp;flag=1&amp;title=Leonard%20%20Dunk%20(11%20PTS)%20(Baynes%201%20AST)", "Leonard  Dunk (11 PTS) (Baynes 1 AST)")</f>
        <v>Leonard  Dunk (11 PTS) (Baynes 1 AST)</v>
      </c>
      <c r="L4887" s="2" t="str">
        <f>HYPERLINK("https://www.nba.com/game/...-vs-...-0021400191/play-by-play?watchFullGame=true", "SAS vs BKN - Q2 02:38.00")</f>
        <v>SAS vs BKN - Q2 02:38.00</v>
      </c>
      <c r="M4887">
        <v>0</v>
      </c>
      <c r="N4887">
        <v>0</v>
      </c>
      <c r="O4887">
        <v>1</v>
      </c>
      <c r="P4887">
        <v>0</v>
      </c>
      <c r="Q4887">
        <v>1</v>
      </c>
      <c r="R4887" t="s">
        <v>21</v>
      </c>
      <c r="S4887" t="s">
        <v>21</v>
      </c>
    </row>
    <row r="4888" spans="1:19" hidden="1" x14ac:dyDescent="0.25">
      <c r="A4888">
        <v>21601118</v>
      </c>
      <c r="B4888" t="s">
        <v>18</v>
      </c>
      <c r="C4888" t="s">
        <v>23</v>
      </c>
      <c r="D4888">
        <v>96</v>
      </c>
      <c r="E4888">
        <v>105</v>
      </c>
      <c r="F4888">
        <v>9</v>
      </c>
      <c r="G4888">
        <v>4</v>
      </c>
      <c r="H4888" s="1">
        <v>1.8402777777777777E-3</v>
      </c>
      <c r="I4888">
        <v>2016</v>
      </c>
      <c r="J4888" t="s">
        <v>20</v>
      </c>
      <c r="K4888" s="2" t="str">
        <f>HYPERLINK("https://www.nba.com/stats/events?CFID=&amp;CFPARAMS=&amp;GameEventID=491&amp;GameID=0021601118&amp;Season=2016-17&amp;flag=1&amp;title=Leonard%20%20Dunk%20(19%20PTS)%20(Gasol%205%20AST)", "Leonard  Dunk (19 PTS) (Gasol 5 AST)")</f>
        <v>Leonard  Dunk (19 PTS) (Gasol 5 AST)</v>
      </c>
      <c r="L4888" s="2" t="str">
        <f>HYPERLINK("https://www.nba.com/game/...-vs-...-0021601118/play-by-play?watchFullGame=true", "SAS vs GSW - Q4 02:39.00")</f>
        <v>SAS vs GSW - Q4 02:39.00</v>
      </c>
      <c r="M4888">
        <v>0</v>
      </c>
      <c r="N4888">
        <v>0</v>
      </c>
      <c r="O4888">
        <v>1</v>
      </c>
      <c r="P4888">
        <v>0</v>
      </c>
      <c r="Q4888">
        <v>1</v>
      </c>
      <c r="R4888" t="s">
        <v>21</v>
      </c>
      <c r="S4888" t="s">
        <v>21</v>
      </c>
    </row>
    <row r="4889" spans="1:19" hidden="1" x14ac:dyDescent="0.25">
      <c r="A4889">
        <v>21600114</v>
      </c>
      <c r="B4889" t="s">
        <v>18</v>
      </c>
      <c r="C4889" t="s">
        <v>46</v>
      </c>
      <c r="D4889">
        <v>97</v>
      </c>
      <c r="E4889">
        <v>98</v>
      </c>
      <c r="F4889">
        <v>1</v>
      </c>
      <c r="G4889">
        <v>4</v>
      </c>
      <c r="H4889" s="1">
        <v>1.8402777777777777E-3</v>
      </c>
      <c r="I4889">
        <v>2016</v>
      </c>
      <c r="J4889" t="s">
        <v>20</v>
      </c>
      <c r="K4889" s="2" t="str">
        <f>HYPERLINK("https://www.nba.com/stats/events?CFID=&amp;CFPARAMS=&amp;GameEventID=540&amp;GameID=0021600114&amp;Season=2016-17&amp;flag=1&amp;title=Leonard%20%20Cutting%20Dunk%20Shot%20(32%20PTS)%20(Mills%2010%20AST)", "Leonard  Cutting Dunk Shot (32 PTS) (Mills 10 AST)")</f>
        <v>Leonard  Cutting Dunk Shot (32 PTS) (Mills 10 AST)</v>
      </c>
      <c r="L4889" s="2" t="str">
        <f>HYPERLINK("https://www.nba.com/game/...-vs-...-0021600114/play-by-play?watchFullGame=true", "SAS vs HOU - Q4 02:39.00")</f>
        <v>SAS vs HOU - Q4 02:39.00</v>
      </c>
      <c r="M4889">
        <v>0</v>
      </c>
      <c r="N4889">
        <v>0</v>
      </c>
      <c r="O4889">
        <v>1</v>
      </c>
      <c r="P4889">
        <v>0</v>
      </c>
      <c r="Q4889">
        <v>1</v>
      </c>
      <c r="R4889" t="s">
        <v>21</v>
      </c>
      <c r="S4889" t="s">
        <v>21</v>
      </c>
    </row>
    <row r="4890" spans="1:19" hidden="1" x14ac:dyDescent="0.25">
      <c r="A4890">
        <v>41200406</v>
      </c>
      <c r="B4890" t="s">
        <v>18</v>
      </c>
      <c r="C4890" t="s">
        <v>28</v>
      </c>
      <c r="D4890">
        <v>50</v>
      </c>
      <c r="E4890">
        <v>44</v>
      </c>
      <c r="F4890">
        <v>6</v>
      </c>
      <c r="G4890">
        <v>2</v>
      </c>
      <c r="H4890" s="1">
        <v>1.5046296296296297E-5</v>
      </c>
      <c r="I4890" t="s">
        <v>53</v>
      </c>
      <c r="J4890" t="s">
        <v>20</v>
      </c>
      <c r="K4890" s="2" t="str">
        <f>HYPERLINK("https://www.nba.com/stats/events?CFID=&amp;CFPARAMS=&amp;GameEventID=223&amp;GameID=0041200406&amp;Season=2012-13&amp;flag=1&amp;title=Leonard%201'%20Tip%20Shot%20(10%20PTS)", "Leonard 1' Tip Shot (10 PTS)")</f>
        <v>Leonard 1' Tip Shot (10 PTS)</v>
      </c>
      <c r="L4890" s="2" t="str">
        <f>HYPERLINK("https://www.nba.com/game/...-vs-...-0041200406/play-by-play?watchFullGame=true", "SAS vs MIA - Q2 00:01.30")</f>
        <v>SAS vs MIA - Q2 00:01.30</v>
      </c>
      <c r="M4890">
        <v>1</v>
      </c>
      <c r="N4890">
        <v>6</v>
      </c>
      <c r="O4890">
        <v>-5</v>
      </c>
      <c r="P4890">
        <v>6</v>
      </c>
      <c r="Q4890">
        <v>-5</v>
      </c>
      <c r="R4890" t="s">
        <v>21</v>
      </c>
      <c r="S4890" t="s">
        <v>21</v>
      </c>
    </row>
    <row r="4891" spans="1:19" hidden="1" x14ac:dyDescent="0.25">
      <c r="A4891">
        <v>21500928</v>
      </c>
      <c r="B4891" t="s">
        <v>18</v>
      </c>
      <c r="C4891" t="s">
        <v>25</v>
      </c>
      <c r="D4891">
        <v>98</v>
      </c>
      <c r="E4891">
        <v>88</v>
      </c>
      <c r="F4891">
        <v>10</v>
      </c>
      <c r="G4891">
        <v>4</v>
      </c>
      <c r="H4891" s="1">
        <v>1.8402777777777777E-3</v>
      </c>
      <c r="I4891">
        <v>2015</v>
      </c>
      <c r="J4891" t="s">
        <v>20</v>
      </c>
      <c r="K4891" s="2" t="str">
        <f>HYPERLINK("https://www.nba.com/stats/events?CFID=&amp;CFPARAMS=&amp;GameEventID=502&amp;GameID=0021500928&amp;Season=2015-16&amp;flag=1&amp;title=Leonard%20%20Driving%20Dunk%20(25%20PTS)%20(Diaw%206%20AST)", "Leonard  Driving Dunk (25 PTS) (Diaw 6 AST)")</f>
        <v>Leonard  Driving Dunk (25 PTS) (Diaw 6 AST)</v>
      </c>
      <c r="L4891" s="2" t="str">
        <f>HYPERLINK("https://www.nba.com/game/...-vs-...-0021500928/play-by-play?watchFullGame=true", "SAS vs SAC - Q4 02:39.00")</f>
        <v>SAS vs SAC - Q4 02:39.00</v>
      </c>
      <c r="M4891">
        <v>0</v>
      </c>
      <c r="N4891">
        <v>0</v>
      </c>
      <c r="O4891">
        <v>1</v>
      </c>
      <c r="P4891">
        <v>0</v>
      </c>
      <c r="Q4891">
        <v>1</v>
      </c>
      <c r="R4891" t="s">
        <v>21</v>
      </c>
      <c r="S4891" t="s">
        <v>21</v>
      </c>
    </row>
    <row r="4892" spans="1:19" hidden="1" x14ac:dyDescent="0.25">
      <c r="A4892">
        <v>21801044</v>
      </c>
      <c r="B4892" t="s">
        <v>18</v>
      </c>
      <c r="C4892" t="s">
        <v>41</v>
      </c>
      <c r="D4892">
        <v>107</v>
      </c>
      <c r="E4892">
        <v>110</v>
      </c>
      <c r="F4892">
        <v>3</v>
      </c>
      <c r="G4892">
        <v>4</v>
      </c>
      <c r="H4892" s="1">
        <v>5.0925925925925929E-5</v>
      </c>
      <c r="I4892">
        <v>2018</v>
      </c>
      <c r="J4892" t="s">
        <v>48</v>
      </c>
      <c r="K4892" s="2" t="str">
        <f>HYPERLINK("https://www.nba.com/stats/events?CFID=&amp;CFPARAMS=&amp;GameEventID=587&amp;GameID=0021801044&amp;Season=2018-19&amp;flag=1&amp;title=Leonard%201'%20Tip%20Layup%20Shot%20(33%20PTS)", "Leonard 1' Tip Layup Shot (33 PTS)")</f>
        <v>Leonard 1' Tip Layup Shot (33 PTS)</v>
      </c>
      <c r="L4892" s="2" t="str">
        <f>HYPERLINK("https://www.nba.com/game/...-vs-...-0021801044/play-by-play?watchFullGame=true", "TOR vs DET - Q4 00:04.40")</f>
        <v>TOR vs DET - Q4 00:04.40</v>
      </c>
      <c r="M4892">
        <v>1</v>
      </c>
      <c r="N4892">
        <v>0</v>
      </c>
      <c r="O4892">
        <v>-6</v>
      </c>
      <c r="P4892">
        <v>0</v>
      </c>
      <c r="Q4892">
        <v>-6</v>
      </c>
      <c r="R4892" t="s">
        <v>21</v>
      </c>
      <c r="S4892" t="s">
        <v>21</v>
      </c>
    </row>
    <row r="4893" spans="1:19" hidden="1" x14ac:dyDescent="0.25">
      <c r="A4893">
        <v>21300312</v>
      </c>
      <c r="B4893" t="s">
        <v>18</v>
      </c>
      <c r="C4893" t="s">
        <v>24</v>
      </c>
      <c r="D4893">
        <v>59</v>
      </c>
      <c r="E4893">
        <v>53</v>
      </c>
      <c r="F4893">
        <v>6</v>
      </c>
      <c r="G4893">
        <v>2</v>
      </c>
      <c r="H4893" s="1">
        <v>6.8287037037037044E-5</v>
      </c>
      <c r="I4893">
        <v>2013</v>
      </c>
      <c r="J4893" t="s">
        <v>20</v>
      </c>
      <c r="K4893" s="2" t="str">
        <f>HYPERLINK("https://www.nba.com/stats/events?CFID=&amp;CFPARAMS=&amp;GameEventID=237&amp;GameID=0021300312&amp;Season=2013-14&amp;flag=1&amp;title=Leonard%201'%20Layup%20(5%20PTS)%20(Ginobili%203%20AST)", "Leonard 1' Layup (5 PTS) (Ginobili 3 AST)")</f>
        <v>Leonard 1' Layup (5 PTS) (Ginobili 3 AST)</v>
      </c>
      <c r="L4893" s="2" t="str">
        <f>HYPERLINK("https://www.nba.com/game/...-vs-...-0021300312/play-by-play?watchFullGame=true", "SAS vs TOR - Q2 00:05.90")</f>
        <v>SAS vs TOR - Q2 00:05.90</v>
      </c>
      <c r="M4893">
        <v>1</v>
      </c>
      <c r="N4893">
        <v>10</v>
      </c>
      <c r="O4893">
        <v>3</v>
      </c>
      <c r="P4893">
        <v>10</v>
      </c>
      <c r="Q4893">
        <v>3</v>
      </c>
      <c r="R4893" t="s">
        <v>21</v>
      </c>
      <c r="S4893" t="s">
        <v>21</v>
      </c>
    </row>
    <row r="4894" spans="1:19" hidden="1" x14ac:dyDescent="0.25">
      <c r="A4894">
        <v>41800215</v>
      </c>
      <c r="B4894" t="s">
        <v>18</v>
      </c>
      <c r="C4894" t="s">
        <v>40</v>
      </c>
      <c r="D4894">
        <v>27</v>
      </c>
      <c r="E4894">
        <v>23</v>
      </c>
      <c r="F4894">
        <v>4</v>
      </c>
      <c r="G4894">
        <v>1</v>
      </c>
      <c r="H4894" s="1">
        <v>9.2592592592592588E-5</v>
      </c>
      <c r="I4894" t="s">
        <v>60</v>
      </c>
      <c r="J4894" t="s">
        <v>48</v>
      </c>
      <c r="K4894" s="2" t="str">
        <f>HYPERLINK("https://www.nba.com/stats/events?CFID=&amp;CFPARAMS=&amp;GameEventID=184&amp;GameID=0041800215&amp;Season=2018-19&amp;flag=1&amp;title=Leonard%201'%20Driving%20Finger%20Roll%20Layup%20(5%20PTS)", "Leonard 1' Driving Finger Roll Layup (5 PTS)")</f>
        <v>Leonard 1' Driving Finger Roll Layup (5 PTS)</v>
      </c>
      <c r="L4894" s="2" t="str">
        <f>HYPERLINK("https://www.nba.com/game/...-vs-...-0041800215/play-by-play?watchFullGame=true", "TOR vs PHI - Q1 00:08.00")</f>
        <v>TOR vs PHI - Q1 00:08.00</v>
      </c>
      <c r="M4894">
        <v>1</v>
      </c>
      <c r="N4894">
        <v>6</v>
      </c>
      <c r="O4894">
        <v>-6</v>
      </c>
      <c r="P4894">
        <v>6</v>
      </c>
      <c r="Q4894">
        <v>-6</v>
      </c>
      <c r="R4894" t="s">
        <v>21</v>
      </c>
      <c r="S4894" t="s">
        <v>21</v>
      </c>
    </row>
    <row r="4895" spans="1:19" hidden="1" x14ac:dyDescent="0.25">
      <c r="A4895">
        <v>21500182</v>
      </c>
      <c r="B4895" t="s">
        <v>18</v>
      </c>
      <c r="C4895" t="s">
        <v>23</v>
      </c>
      <c r="D4895">
        <v>63</v>
      </c>
      <c r="E4895">
        <v>69</v>
      </c>
      <c r="F4895">
        <v>6</v>
      </c>
      <c r="G4895">
        <v>3</v>
      </c>
      <c r="H4895" s="1">
        <v>1.8634259259259259E-3</v>
      </c>
      <c r="I4895">
        <v>2015</v>
      </c>
      <c r="J4895" t="s">
        <v>20</v>
      </c>
      <c r="K4895" s="2" t="str">
        <f>HYPERLINK("https://www.nba.com/stats/events?CFID=&amp;CFPARAMS=&amp;GameEventID=400&amp;GameID=0021500182&amp;Season=2015-16&amp;flag=1&amp;title=Leonard%20%20Dunk%20(17%20PTS)%20(Mills%203%20AST)", "Leonard  Dunk (17 PTS) (Mills 3 AST)")</f>
        <v>Leonard  Dunk (17 PTS) (Mills 3 AST)</v>
      </c>
      <c r="L4895" s="2" t="str">
        <f>HYPERLINK("https://www.nba.com/game/...-vs-...-0021500182/play-by-play?watchFullGame=true", "SAS vs NOP - Q3 02:41.00")</f>
        <v>SAS vs NOP - Q3 02:41.00</v>
      </c>
      <c r="M4895">
        <v>0</v>
      </c>
      <c r="N4895">
        <v>0</v>
      </c>
      <c r="O4895">
        <v>1</v>
      </c>
      <c r="P4895">
        <v>0</v>
      </c>
      <c r="Q4895">
        <v>1</v>
      </c>
      <c r="R4895" t="s">
        <v>21</v>
      </c>
      <c r="S4895" t="s">
        <v>21</v>
      </c>
    </row>
    <row r="4896" spans="1:19" hidden="1" x14ac:dyDescent="0.25">
      <c r="A4896">
        <v>21400739</v>
      </c>
      <c r="B4896" t="s">
        <v>18</v>
      </c>
      <c r="C4896" t="s">
        <v>23</v>
      </c>
      <c r="D4896">
        <v>44</v>
      </c>
      <c r="E4896">
        <v>38</v>
      </c>
      <c r="F4896">
        <v>6</v>
      </c>
      <c r="G4896">
        <v>2</v>
      </c>
      <c r="H4896" s="1">
        <v>2.0023148148148148E-3</v>
      </c>
      <c r="I4896">
        <v>2014</v>
      </c>
      <c r="J4896" t="s">
        <v>20</v>
      </c>
      <c r="K4896" s="2" t="str">
        <f>HYPERLINK("https://www.nba.com/stats/events?CFID=&amp;CFPARAMS=&amp;GameEventID=198&amp;GameID=0021400739&amp;Season=2014-15&amp;flag=1&amp;title=Leonard%20%20Dunk%20(10%20PTS)", "Leonard  Dunk (10 PTS)")</f>
        <v>Leonard  Dunk (10 PTS)</v>
      </c>
      <c r="L4896" s="2" t="str">
        <f>HYPERLINK("https://www.nba.com/game/...-vs-...-0021400739/play-by-play?watchFullGame=true", "SAS vs ORL - Q2 02:53.00")</f>
        <v>SAS vs ORL - Q2 02:53.00</v>
      </c>
      <c r="M4896">
        <v>0</v>
      </c>
      <c r="N4896">
        <v>0</v>
      </c>
      <c r="O4896">
        <v>1</v>
      </c>
      <c r="P4896">
        <v>0</v>
      </c>
      <c r="Q4896">
        <v>1</v>
      </c>
      <c r="R4896" t="s">
        <v>21</v>
      </c>
      <c r="S4896" t="s">
        <v>21</v>
      </c>
    </row>
    <row r="4897" spans="1:19" hidden="1" x14ac:dyDescent="0.25">
      <c r="A4897">
        <v>41600235</v>
      </c>
      <c r="B4897" t="s">
        <v>18</v>
      </c>
      <c r="C4897" t="s">
        <v>24</v>
      </c>
      <c r="D4897">
        <v>58</v>
      </c>
      <c r="E4897">
        <v>59</v>
      </c>
      <c r="F4897">
        <v>1</v>
      </c>
      <c r="G4897">
        <v>2</v>
      </c>
      <c r="H4897" s="1">
        <v>1.3657407407407409E-4</v>
      </c>
      <c r="I4897" t="s">
        <v>58</v>
      </c>
      <c r="J4897" t="s">
        <v>20</v>
      </c>
      <c r="K4897" s="2" t="str">
        <f>HYPERLINK("https://www.nba.com/stats/events?CFID=&amp;CFPARAMS=&amp;GameEventID=266&amp;GameID=0041600235&amp;Season=2016-17&amp;flag=1&amp;title=Leonard%201'%20Layup%20(12%20PTS)%20(Ginobili%201%20AST)", "Leonard 1' Layup (12 PTS) (Ginobili 1 AST)")</f>
        <v>Leonard 1' Layup (12 PTS) (Ginobili 1 AST)</v>
      </c>
      <c r="L4897" s="2" t="str">
        <f>HYPERLINK("https://www.nba.com/game/...-vs-...-0041600235/play-by-play?watchFullGame=true", "SAS vs HOU - Q2 00:11.80")</f>
        <v>SAS vs HOU - Q2 00:11.80</v>
      </c>
      <c r="M4897">
        <v>1</v>
      </c>
      <c r="N4897">
        <v>9</v>
      </c>
      <c r="O4897">
        <v>8</v>
      </c>
      <c r="P4897">
        <v>9</v>
      </c>
      <c r="Q4897">
        <v>8</v>
      </c>
      <c r="R4897" t="s">
        <v>21</v>
      </c>
      <c r="S4897" t="s">
        <v>21</v>
      </c>
    </row>
    <row r="4898" spans="1:19" hidden="1" x14ac:dyDescent="0.25">
      <c r="A4898">
        <v>21501063</v>
      </c>
      <c r="B4898" t="s">
        <v>18</v>
      </c>
      <c r="C4898" t="s">
        <v>41</v>
      </c>
      <c r="D4898">
        <v>56</v>
      </c>
      <c r="E4898">
        <v>45</v>
      </c>
      <c r="F4898">
        <v>11</v>
      </c>
      <c r="G4898">
        <v>2</v>
      </c>
      <c r="H4898" s="1">
        <v>1.9328703703703703E-4</v>
      </c>
      <c r="I4898">
        <v>2015</v>
      </c>
      <c r="J4898" t="s">
        <v>20</v>
      </c>
      <c r="K4898" s="2" t="str">
        <f>HYPERLINK("https://www.nba.com/stats/events?CFID=&amp;CFPARAMS=&amp;GameEventID=233&amp;GameID=0021501063&amp;Season=2015-16&amp;flag=1&amp;title=Leonard%201'%20Tip%20Layup%20Shot%20(24%20PTS)", "Leonard 1' Tip Layup Shot (24 PTS)")</f>
        <v>Leonard 1' Tip Layup Shot (24 PTS)</v>
      </c>
      <c r="L4898" s="2" t="str">
        <f>HYPERLINK("https://www.nba.com/game/...-vs-...-0021501063/play-by-play?watchFullGame=true", "SAS vs MIA - Q2 00:16.70")</f>
        <v>SAS vs MIA - Q2 00:16.70</v>
      </c>
      <c r="M4898">
        <v>1</v>
      </c>
      <c r="N4898">
        <v>-7</v>
      </c>
      <c r="O4898">
        <v>11</v>
      </c>
      <c r="P4898">
        <v>-7</v>
      </c>
      <c r="Q4898">
        <v>11</v>
      </c>
      <c r="R4898" t="s">
        <v>21</v>
      </c>
      <c r="S4898" t="s">
        <v>21</v>
      </c>
    </row>
    <row r="4899" spans="1:19" hidden="1" x14ac:dyDescent="0.25">
      <c r="A4899">
        <v>21500939</v>
      </c>
      <c r="B4899" t="s">
        <v>18</v>
      </c>
      <c r="C4899" t="s">
        <v>22</v>
      </c>
      <c r="D4899">
        <v>91</v>
      </c>
      <c r="E4899">
        <v>94</v>
      </c>
      <c r="F4899">
        <v>3</v>
      </c>
      <c r="G4899">
        <v>4</v>
      </c>
      <c r="H4899" s="1">
        <v>2.2106481481481483E-4</v>
      </c>
      <c r="I4899">
        <v>2015</v>
      </c>
      <c r="J4899" t="s">
        <v>20</v>
      </c>
      <c r="K4899" s="2" t="str">
        <f>HYPERLINK("https://www.nba.com/stats/events?CFID=&amp;CFPARAMS=&amp;GameEventID=528&amp;GameID=0021500939&amp;Season=2015-16&amp;flag=1&amp;title=Leonard%201'%20Driving%20Layup%20(23%20PTS)", "Leonard 1' Driving Layup (23 PTS)")</f>
        <v>Leonard 1' Driving Layup (23 PTS)</v>
      </c>
      <c r="L4899" s="2" t="str">
        <f>HYPERLINK("https://www.nba.com/game/...-vs-...-0021500939/play-by-play?watchFullGame=true", "SAS vs IND - Q4 00:19.10")</f>
        <v>SAS vs IND - Q4 00:19.10</v>
      </c>
      <c r="M4899">
        <v>1</v>
      </c>
      <c r="N4899">
        <v>4</v>
      </c>
      <c r="O4899">
        <v>-6</v>
      </c>
      <c r="P4899">
        <v>4</v>
      </c>
      <c r="Q4899">
        <v>-6</v>
      </c>
      <c r="R4899" t="s">
        <v>21</v>
      </c>
      <c r="S4899" t="s">
        <v>21</v>
      </c>
    </row>
    <row r="4900" spans="1:19" hidden="1" x14ac:dyDescent="0.25">
      <c r="A4900">
        <v>21601099</v>
      </c>
      <c r="B4900" t="s">
        <v>18</v>
      </c>
      <c r="C4900" t="s">
        <v>23</v>
      </c>
      <c r="D4900">
        <v>52</v>
      </c>
      <c r="E4900">
        <v>34</v>
      </c>
      <c r="F4900">
        <v>18</v>
      </c>
      <c r="G4900">
        <v>2</v>
      </c>
      <c r="H4900" s="1">
        <v>2.0601851851851853E-3</v>
      </c>
      <c r="I4900">
        <v>2016</v>
      </c>
      <c r="J4900" t="s">
        <v>20</v>
      </c>
      <c r="K4900" s="2" t="str">
        <f>HYPERLINK("https://www.nba.com/stats/events?CFID=&amp;CFPARAMS=&amp;GameEventID=226&amp;GameID=0021601099&amp;Season=2016-17&amp;flag=1&amp;title=Leonard%20Dunk%20(10%20PTS)%20(Mills%204%20AST)", "Leonard Dunk (10 PTS) (Mills 4 AST)")</f>
        <v>Leonard Dunk (10 PTS) (Mills 4 AST)</v>
      </c>
      <c r="L4900" s="2" t="str">
        <f>HYPERLINK("https://www.nba.com/game/...-vs-...-0021601099/play-by-play?watchFullGame=true", "SAS vs CLE - Q2 02:58.00")</f>
        <v>SAS vs CLE - Q2 02:58.00</v>
      </c>
      <c r="M4900">
        <v>0</v>
      </c>
      <c r="N4900">
        <v>0</v>
      </c>
      <c r="O4900">
        <v>1</v>
      </c>
      <c r="P4900">
        <v>0</v>
      </c>
      <c r="Q4900">
        <v>1</v>
      </c>
      <c r="R4900" t="s">
        <v>21</v>
      </c>
      <c r="S4900" t="s">
        <v>21</v>
      </c>
    </row>
    <row r="4901" spans="1:19" hidden="1" x14ac:dyDescent="0.25">
      <c r="A4901">
        <v>41600235</v>
      </c>
      <c r="B4901" t="s">
        <v>18</v>
      </c>
      <c r="C4901" t="s">
        <v>74</v>
      </c>
      <c r="D4901">
        <v>83</v>
      </c>
      <c r="E4901">
        <v>85</v>
      </c>
      <c r="F4901">
        <v>2</v>
      </c>
      <c r="G4901">
        <v>3</v>
      </c>
      <c r="H4901" s="1">
        <v>3.2638888888888887E-4</v>
      </c>
      <c r="I4901" t="s">
        <v>58</v>
      </c>
      <c r="J4901" t="s">
        <v>20</v>
      </c>
      <c r="K4901" s="2" t="str">
        <f>HYPERLINK("https://www.nba.com/stats/events?CFID=&amp;CFPARAMS=&amp;GameEventID=384&amp;GameID=0041600235&amp;Season=2016-17&amp;flag=1&amp;title=Leonard%201'%20Cutting%20Finger%20Roll%20Layup%20Shot%20(22%20PTS)%20(Green%203%20AST)", "Leonard 1' Cutting Finger Roll Layup Shot (22 PTS) (Green 3 AST)")</f>
        <v>Leonard 1' Cutting Finger Roll Layup Shot (22 PTS) (Green 3 AST)</v>
      </c>
      <c r="L4901" s="2" t="str">
        <f>HYPERLINK("https://www.nba.com/game/...-vs-...-0041600235/play-by-play?watchFullGame=true", "SAS vs HOU - Q3 00:28.20")</f>
        <v>SAS vs HOU - Q3 00:28.20</v>
      </c>
      <c r="M4901">
        <v>1</v>
      </c>
      <c r="N4901">
        <v>9</v>
      </c>
      <c r="O4901">
        <v>2</v>
      </c>
      <c r="P4901">
        <v>9</v>
      </c>
      <c r="Q4901">
        <v>2</v>
      </c>
      <c r="R4901" t="s">
        <v>21</v>
      </c>
      <c r="S4901" t="s">
        <v>21</v>
      </c>
    </row>
    <row r="4902" spans="1:19" hidden="1" x14ac:dyDescent="0.25">
      <c r="A4902">
        <v>21600817</v>
      </c>
      <c r="B4902" t="s">
        <v>18</v>
      </c>
      <c r="C4902" t="s">
        <v>24</v>
      </c>
      <c r="D4902">
        <v>88</v>
      </c>
      <c r="E4902">
        <v>92</v>
      </c>
      <c r="F4902">
        <v>4</v>
      </c>
      <c r="G4902">
        <v>4</v>
      </c>
      <c r="H4902" s="1">
        <v>3.2986111111111112E-4</v>
      </c>
      <c r="I4902">
        <v>2016</v>
      </c>
      <c r="J4902" t="s">
        <v>20</v>
      </c>
      <c r="K4902" s="2" t="str">
        <f>HYPERLINK("https://www.nba.com/stats/events?CFID=&amp;CFPARAMS=&amp;GameEventID=508&amp;GameID=0021600817&amp;Season=2016-17&amp;flag=1&amp;title=Leonard%201'%20Layup%20(36%20PTS)", "Leonard 1' Layup (36 PTS)")</f>
        <v>Leonard 1' Layup (36 PTS)</v>
      </c>
      <c r="L4902" s="2" t="str">
        <f>HYPERLINK("https://www.nba.com/game/...-vs-...-0021600817/play-by-play?watchFullGame=true", "SAS vs NYK - Q4 00:28.50")</f>
        <v>SAS vs NYK - Q4 00:28.50</v>
      </c>
      <c r="M4902">
        <v>1</v>
      </c>
      <c r="N4902">
        <v>10</v>
      </c>
      <c r="O4902">
        <v>3</v>
      </c>
      <c r="P4902">
        <v>10</v>
      </c>
      <c r="Q4902">
        <v>3</v>
      </c>
      <c r="R4902" t="s">
        <v>21</v>
      </c>
      <c r="S4902" t="s">
        <v>21</v>
      </c>
    </row>
    <row r="4903" spans="1:19" hidden="1" x14ac:dyDescent="0.25">
      <c r="A4903">
        <v>41800402</v>
      </c>
      <c r="B4903" t="s">
        <v>18</v>
      </c>
      <c r="C4903" t="s">
        <v>22</v>
      </c>
      <c r="D4903">
        <v>80</v>
      </c>
      <c r="E4903">
        <v>88</v>
      </c>
      <c r="F4903">
        <v>8</v>
      </c>
      <c r="G4903">
        <v>3</v>
      </c>
      <c r="H4903" s="1">
        <v>3.3796296296296298E-4</v>
      </c>
      <c r="I4903" t="s">
        <v>60</v>
      </c>
      <c r="J4903" t="s">
        <v>48</v>
      </c>
      <c r="K4903" s="2" t="str">
        <f>HYPERLINK("https://www.nba.com/stats/events?CFID=&amp;CFPARAMS=&amp;GameEventID=529&amp;GameID=0041800402&amp;Season=2018-19&amp;flag=1&amp;title=Leonard%201'%20Driving%20Layup%20(28%20PTS)", "Leonard 1' Driving Layup (28 PTS)")</f>
        <v>Leonard 1' Driving Layup (28 PTS)</v>
      </c>
      <c r="L4903" s="2" t="str">
        <f>HYPERLINK("https://www.nba.com/game/...-vs-...-0041800402/play-by-play?watchFullGame=true", "TOR vs GSW - Q3 00:29.20")</f>
        <v>TOR vs GSW - Q3 00:29.20</v>
      </c>
      <c r="M4903">
        <v>1</v>
      </c>
      <c r="N4903">
        <v>5</v>
      </c>
      <c r="O4903">
        <v>11</v>
      </c>
      <c r="P4903">
        <v>5</v>
      </c>
      <c r="Q4903">
        <v>11</v>
      </c>
      <c r="R4903" t="s">
        <v>21</v>
      </c>
      <c r="S4903" t="s">
        <v>21</v>
      </c>
    </row>
    <row r="4904" spans="1:19" hidden="1" x14ac:dyDescent="0.25">
      <c r="A4904">
        <v>21300133</v>
      </c>
      <c r="B4904" t="s">
        <v>18</v>
      </c>
      <c r="C4904" t="s">
        <v>24</v>
      </c>
      <c r="D4904">
        <v>91</v>
      </c>
      <c r="E4904">
        <v>81</v>
      </c>
      <c r="F4904">
        <v>10</v>
      </c>
      <c r="G4904">
        <v>4</v>
      </c>
      <c r="H4904" s="1">
        <v>3.634259259259259E-4</v>
      </c>
      <c r="I4904">
        <v>2013</v>
      </c>
      <c r="J4904" t="s">
        <v>20</v>
      </c>
      <c r="K4904" s="2" t="str">
        <f>HYPERLINK("https://www.nba.com/stats/events?CFID=&amp;CFPARAMS=&amp;GameEventID=478&amp;GameID=0021300133&amp;Season=2013-14&amp;flag=1&amp;title=Leonard%201'%20Layup%20(6%20PTS)%20(Ginobili%205%20AST)", "Leonard 1' Layup (6 PTS) (Ginobili 5 AST)")</f>
        <v>Leonard 1' Layup (6 PTS) (Ginobili 5 AST)</v>
      </c>
      <c r="L4904" s="2" t="str">
        <f>HYPERLINK("https://www.nba.com/game/...-vs-...-0021300133/play-by-play?watchFullGame=true", "SAS vs UTA - Q4 00:31.40")</f>
        <v>SAS vs UTA - Q4 00:31.40</v>
      </c>
      <c r="M4904">
        <v>1</v>
      </c>
      <c r="N4904">
        <v>13</v>
      </c>
      <c r="O4904">
        <v>0</v>
      </c>
      <c r="P4904">
        <v>13</v>
      </c>
      <c r="Q4904">
        <v>0</v>
      </c>
      <c r="R4904" t="s">
        <v>21</v>
      </c>
      <c r="S4904" t="s">
        <v>21</v>
      </c>
    </row>
    <row r="4905" spans="1:19" hidden="1" x14ac:dyDescent="0.25">
      <c r="A4905">
        <v>41600151</v>
      </c>
      <c r="B4905" t="s">
        <v>18</v>
      </c>
      <c r="C4905" t="s">
        <v>64</v>
      </c>
      <c r="D4905">
        <v>45</v>
      </c>
      <c r="E4905">
        <v>41</v>
      </c>
      <c r="F4905">
        <v>4</v>
      </c>
      <c r="G4905">
        <v>2</v>
      </c>
      <c r="H4905" s="1">
        <v>2.0717592592592593E-3</v>
      </c>
      <c r="I4905" t="s">
        <v>58</v>
      </c>
      <c r="J4905" t="s">
        <v>20</v>
      </c>
      <c r="K4905" s="2" t="str">
        <f>HYPERLINK("https://www.nba.com/stats/events?CFID=&amp;CFPARAMS=&amp;GameEventID=188&amp;GameID=0041600151&amp;Season=2016-17&amp;flag=1&amp;title=Leonard%20%20Tip%20Dunk%20Shot%20(15%20PTS)", "Leonard  Tip Dunk Shot (15 PTS)")</f>
        <v>Leonard  Tip Dunk Shot (15 PTS)</v>
      </c>
      <c r="L4905" s="2" t="str">
        <f>HYPERLINK("https://www.nba.com/game/...-vs-...-0041600151/play-by-play?watchFullGame=true", "SAS vs MEM - Q2 02:59.00")</f>
        <v>SAS vs MEM - Q2 02:59.00</v>
      </c>
      <c r="M4905">
        <v>0</v>
      </c>
      <c r="N4905">
        <v>0</v>
      </c>
      <c r="O4905">
        <v>1</v>
      </c>
      <c r="P4905">
        <v>0</v>
      </c>
      <c r="Q4905">
        <v>1</v>
      </c>
      <c r="R4905" t="s">
        <v>21</v>
      </c>
      <c r="S4905" t="s">
        <v>21</v>
      </c>
    </row>
    <row r="4906" spans="1:19" hidden="1" x14ac:dyDescent="0.25">
      <c r="A4906">
        <v>21600412</v>
      </c>
      <c r="B4906" t="s">
        <v>18</v>
      </c>
      <c r="C4906" t="s">
        <v>32</v>
      </c>
      <c r="D4906">
        <v>30</v>
      </c>
      <c r="E4906">
        <v>26</v>
      </c>
      <c r="F4906">
        <v>4</v>
      </c>
      <c r="G4906">
        <v>1</v>
      </c>
      <c r="H4906" s="1">
        <v>4.4907407407407407E-4</v>
      </c>
      <c r="I4906">
        <v>2016</v>
      </c>
      <c r="J4906" t="s">
        <v>20</v>
      </c>
      <c r="K4906" s="2" t="str">
        <f>HYPERLINK("https://www.nba.com/stats/events?CFID=&amp;CFPARAMS=&amp;GameEventID=118&amp;GameID=0021600412&amp;Season=2016-17&amp;flag=1&amp;title=Leonard%201'%20Alley%20Oop%20Layup%20(9%20PTS)%20(Gasol%202%20AST)", "Leonard 1' Alley Oop Layup (9 PTS) (Gasol 2 AST)")</f>
        <v>Leonard 1' Alley Oop Layup (9 PTS) (Gasol 2 AST)</v>
      </c>
      <c r="L4906" s="2" t="str">
        <f>HYPERLINK("https://www.nba.com/game/...-vs-...-0021600412/play-by-play?watchFullGame=true", "SAS vs NOP - Q1 00:38.80")</f>
        <v>SAS vs NOP - Q1 00:38.80</v>
      </c>
      <c r="M4906">
        <v>1</v>
      </c>
      <c r="N4906">
        <v>9</v>
      </c>
      <c r="O4906">
        <v>11</v>
      </c>
      <c r="P4906">
        <v>9</v>
      </c>
      <c r="Q4906">
        <v>11</v>
      </c>
      <c r="R4906" t="s">
        <v>21</v>
      </c>
      <c r="S4906" t="s">
        <v>21</v>
      </c>
    </row>
    <row r="4907" spans="1:19" hidden="1" x14ac:dyDescent="0.25">
      <c r="A4907">
        <v>21600309</v>
      </c>
      <c r="B4907" t="s">
        <v>18</v>
      </c>
      <c r="C4907" t="s">
        <v>64</v>
      </c>
      <c r="D4907">
        <v>93</v>
      </c>
      <c r="E4907">
        <v>92</v>
      </c>
      <c r="F4907">
        <v>1</v>
      </c>
      <c r="G4907">
        <v>4</v>
      </c>
      <c r="H4907" s="1">
        <v>2.1527777777777778E-3</v>
      </c>
      <c r="I4907">
        <v>2016</v>
      </c>
      <c r="J4907" t="s">
        <v>20</v>
      </c>
      <c r="K4907" s="2" t="str">
        <f>HYPERLINK("https://www.nba.com/stats/events?CFID=&amp;CFPARAMS=&amp;GameEventID=535&amp;GameID=0021600309&amp;Season=2016-17&amp;flag=1&amp;title=Leonard%20%20Tip%20Dunk%20Shot%20(19%20PTS)", "Leonard  Tip Dunk Shot (19 PTS)")</f>
        <v>Leonard  Tip Dunk Shot (19 PTS)</v>
      </c>
      <c r="L4907" s="2" t="str">
        <f>HYPERLINK("https://www.nba.com/game/...-vs-...-0021600309/play-by-play?watchFullGame=true", "SAS vs MIL - Q4 03:06.00")</f>
        <v>SAS vs MIL - Q4 03:06.00</v>
      </c>
      <c r="M4907">
        <v>0</v>
      </c>
      <c r="N4907">
        <v>0</v>
      </c>
      <c r="O4907">
        <v>1</v>
      </c>
      <c r="P4907">
        <v>0</v>
      </c>
      <c r="Q4907">
        <v>1</v>
      </c>
      <c r="R4907" t="s">
        <v>21</v>
      </c>
      <c r="S4907" t="s">
        <v>21</v>
      </c>
    </row>
    <row r="4908" spans="1:19" hidden="1" x14ac:dyDescent="0.25">
      <c r="A4908">
        <v>21300170</v>
      </c>
      <c r="B4908" t="s">
        <v>18</v>
      </c>
      <c r="C4908" t="s">
        <v>24</v>
      </c>
      <c r="D4908">
        <v>78</v>
      </c>
      <c r="E4908">
        <v>66</v>
      </c>
      <c r="F4908">
        <v>12</v>
      </c>
      <c r="G4908">
        <v>3</v>
      </c>
      <c r="H4908" s="1">
        <v>5.5324074074074075E-4</v>
      </c>
      <c r="I4908">
        <v>2013</v>
      </c>
      <c r="J4908" t="s">
        <v>20</v>
      </c>
      <c r="K4908" s="2" t="str">
        <f>HYPERLINK("https://www.nba.com/stats/events?CFID=&amp;CFPARAMS=&amp;GameEventID=349&amp;GameID=0021300170&amp;Season=2013-14&amp;flag=1&amp;title=Leonard%201'%20Layup%20(16%20PTS)", "Leonard 1' Layup (16 PTS)")</f>
        <v>Leonard 1' Layup (16 PTS)</v>
      </c>
      <c r="L4908" s="2" t="str">
        <f>HYPERLINK("https://www.nba.com/game/...-vs-...-0021300170/play-by-play?watchFullGame=true", "SAS vs BOS - Q3 00:47.80")</f>
        <v>SAS vs BOS - Q3 00:47.80</v>
      </c>
      <c r="M4908">
        <v>1</v>
      </c>
      <c r="N4908">
        <v>4</v>
      </c>
      <c r="O4908">
        <v>12</v>
      </c>
      <c r="P4908">
        <v>4</v>
      </c>
      <c r="Q4908">
        <v>12</v>
      </c>
      <c r="R4908" t="s">
        <v>21</v>
      </c>
      <c r="S4908" t="s">
        <v>21</v>
      </c>
    </row>
    <row r="4909" spans="1:19" hidden="1" x14ac:dyDescent="0.25">
      <c r="A4909">
        <v>21600588</v>
      </c>
      <c r="B4909" t="s">
        <v>18</v>
      </c>
      <c r="C4909" t="s">
        <v>40</v>
      </c>
      <c r="D4909">
        <v>67</v>
      </c>
      <c r="E4909">
        <v>51</v>
      </c>
      <c r="F4909">
        <v>16</v>
      </c>
      <c r="G4909">
        <v>2</v>
      </c>
      <c r="H4909" s="1">
        <v>5.6828703703703707E-4</v>
      </c>
      <c r="I4909">
        <v>2016</v>
      </c>
      <c r="J4909" t="s">
        <v>20</v>
      </c>
      <c r="K4909" s="2" t="str">
        <f>HYPERLINK("https://www.nba.com/stats/events?CFID=&amp;CFPARAMS=&amp;GameEventID=272&amp;GameID=0021600588&amp;Season=2016-17&amp;flag=1&amp;title=Leonard%201'%20Driving%20Finger%20Roll%20Layup%20(18%20PTS)", "Leonard 1' Driving Finger Roll Layup (18 PTS)")</f>
        <v>Leonard 1' Driving Finger Roll Layup (18 PTS)</v>
      </c>
      <c r="L4909" s="2" t="str">
        <f>HYPERLINK("https://www.nba.com/game/...-vs-...-0021600588/play-by-play?watchFullGame=true", "SAS vs LAL - Q2 00:49.10")</f>
        <v>SAS vs LAL - Q2 00:49.10</v>
      </c>
      <c r="M4909">
        <v>1</v>
      </c>
      <c r="N4909">
        <v>-7</v>
      </c>
      <c r="O4909">
        <v>2</v>
      </c>
      <c r="P4909">
        <v>-7</v>
      </c>
      <c r="Q4909">
        <v>2</v>
      </c>
      <c r="R4909" t="s">
        <v>21</v>
      </c>
      <c r="S4909" t="s">
        <v>21</v>
      </c>
    </row>
    <row r="4910" spans="1:19" hidden="1" x14ac:dyDescent="0.25">
      <c r="A4910">
        <v>21600605</v>
      </c>
      <c r="B4910" t="s">
        <v>18</v>
      </c>
      <c r="C4910" t="s">
        <v>44</v>
      </c>
      <c r="D4910">
        <v>58</v>
      </c>
      <c r="E4910">
        <v>49</v>
      </c>
      <c r="F4910">
        <v>9</v>
      </c>
      <c r="G4910">
        <v>2</v>
      </c>
      <c r="H4910" s="1">
        <v>5.7986111111111118E-4</v>
      </c>
      <c r="I4910">
        <v>2016</v>
      </c>
      <c r="J4910" t="s">
        <v>20</v>
      </c>
      <c r="K4910" s="2" t="str">
        <f>HYPERLINK("https://www.nba.com/stats/events?CFID=&amp;CFPARAMS=&amp;GameEventID=269&amp;GameID=0021600605&amp;Season=2016-17&amp;flag=1&amp;title=Leonard%201'%20Driving%20Reverse%20Layup%20(16%20PTS)", "Leonard 1' Driving Reverse Layup (16 PTS)")</f>
        <v>Leonard 1' Driving Reverse Layup (16 PTS)</v>
      </c>
      <c r="L4910" s="2" t="str">
        <f>HYPERLINK("https://www.nba.com/game/...-vs-...-0021600605/play-by-play?watchFullGame=true", "SAS vs PHX - Q2 00:50.10")</f>
        <v>SAS vs PHX - Q2 00:50.10</v>
      </c>
      <c r="M4910">
        <v>1</v>
      </c>
      <c r="N4910">
        <v>-12</v>
      </c>
      <c r="O4910">
        <v>3</v>
      </c>
      <c r="P4910">
        <v>-12</v>
      </c>
      <c r="Q4910">
        <v>3</v>
      </c>
      <c r="R4910" t="s">
        <v>21</v>
      </c>
      <c r="S4910" t="s">
        <v>21</v>
      </c>
    </row>
    <row r="4911" spans="1:19" hidden="1" x14ac:dyDescent="0.25">
      <c r="A4911">
        <v>21300554</v>
      </c>
      <c r="B4911" t="s">
        <v>18</v>
      </c>
      <c r="C4911" t="s">
        <v>24</v>
      </c>
      <c r="D4911">
        <v>81</v>
      </c>
      <c r="E4911">
        <v>70</v>
      </c>
      <c r="F4911">
        <v>11</v>
      </c>
      <c r="G4911">
        <v>3</v>
      </c>
      <c r="H4911" s="1">
        <v>5.8564814814814818E-4</v>
      </c>
      <c r="I4911">
        <v>2013</v>
      </c>
      <c r="J4911" t="s">
        <v>20</v>
      </c>
      <c r="K4911" s="2" t="str">
        <f>HYPERLINK("https://www.nba.com/stats/events?CFID=&amp;CFPARAMS=&amp;GameEventID=348&amp;GameID=0021300554&amp;Season=2013-14&amp;flag=1&amp;title=Leonard%201'%20Layup%20(13%20PTS)%20(Baynes%201%20AST)", "Leonard 1' Layup (13 PTS) (Baynes 1 AST)")</f>
        <v>Leonard 1' Layup (13 PTS) (Baynes 1 AST)</v>
      </c>
      <c r="L4911" s="2" t="str">
        <f>HYPERLINK("https://www.nba.com/game/...-vs-...-0021300554/play-by-play?watchFullGame=true", "SAS vs MIN - Q3 00:50.60")</f>
        <v>SAS vs MIN - Q3 00:50.60</v>
      </c>
      <c r="M4911">
        <v>1</v>
      </c>
      <c r="N4911">
        <v>7</v>
      </c>
      <c r="O4911">
        <v>-2</v>
      </c>
      <c r="P4911">
        <v>7</v>
      </c>
      <c r="Q4911">
        <v>-2</v>
      </c>
      <c r="R4911" t="s">
        <v>21</v>
      </c>
      <c r="S4911" t="s">
        <v>21</v>
      </c>
    </row>
    <row r="4912" spans="1:19" hidden="1" x14ac:dyDescent="0.25">
      <c r="A4912">
        <v>21601085</v>
      </c>
      <c r="B4912" t="s">
        <v>18</v>
      </c>
      <c r="C4912" t="s">
        <v>35</v>
      </c>
      <c r="D4912">
        <v>59</v>
      </c>
      <c r="E4912">
        <v>41</v>
      </c>
      <c r="F4912">
        <v>18</v>
      </c>
      <c r="G4912">
        <v>2</v>
      </c>
      <c r="H4912" s="1">
        <v>6.6898148148148145E-4</v>
      </c>
      <c r="I4912">
        <v>2016</v>
      </c>
      <c r="J4912" t="s">
        <v>20</v>
      </c>
      <c r="K4912" s="2" t="str">
        <f>HYPERLINK("https://www.nba.com/stats/events?CFID=&amp;CFPARAMS=&amp;GameEventID=242&amp;GameID=0021601085&amp;Season=2016-17&amp;flag=1&amp;title=Leonard%201'%20Reverse%20Layup%20(16%20PTS)%20(Ginobili%204%20AST)", "Leonard 1' Reverse Layup (16 PTS) (Ginobili 4 AST)")</f>
        <v>Leonard 1' Reverse Layup (16 PTS) (Ginobili 4 AST)</v>
      </c>
      <c r="L4912" s="2" t="str">
        <f>HYPERLINK("https://www.nba.com/game/...-vs-...-0021601085/play-by-play?watchFullGame=true", "SAS vs NYK - Q2 00:57.80")</f>
        <v>SAS vs NYK - Q2 00:57.80</v>
      </c>
      <c r="M4912">
        <v>1</v>
      </c>
      <c r="N4912">
        <v>-4</v>
      </c>
      <c r="O4912">
        <v>3</v>
      </c>
      <c r="P4912">
        <v>-4</v>
      </c>
      <c r="Q4912">
        <v>3</v>
      </c>
      <c r="R4912" t="s">
        <v>21</v>
      </c>
      <c r="S4912" t="s">
        <v>21</v>
      </c>
    </row>
    <row r="4913" spans="1:19" hidden="1" x14ac:dyDescent="0.25">
      <c r="A4913">
        <v>21800739</v>
      </c>
      <c r="B4913" t="s">
        <v>18</v>
      </c>
      <c r="C4913" t="s">
        <v>22</v>
      </c>
      <c r="D4913">
        <v>118</v>
      </c>
      <c r="E4913">
        <v>112</v>
      </c>
      <c r="F4913">
        <v>6</v>
      </c>
      <c r="G4913">
        <v>4</v>
      </c>
      <c r="H4913" s="1">
        <v>6.9444444444444447E-4</v>
      </c>
      <c r="I4913">
        <v>2018</v>
      </c>
      <c r="J4913" t="s">
        <v>48</v>
      </c>
      <c r="K4913" s="2" t="str">
        <f>HYPERLINK("https://www.nba.com/stats/events?CFID=&amp;CFPARAMS=&amp;GameEventID=679&amp;GameID=0021800739&amp;Season=2018-19&amp;flag=1&amp;title=Leonard%201'%20Driving%20Layup%20(30%20PTS)", "Leonard 1' Driving Layup (30 PTS)")</f>
        <v>Leonard 1' Driving Layup (30 PTS)</v>
      </c>
      <c r="L4913" s="2" t="str">
        <f>HYPERLINK("https://www.nba.com/game/...-vs-...-0021800739/play-by-play?watchFullGame=true", "TOR vs DAL - Q4 01:00.00")</f>
        <v>TOR vs DAL - Q4 01:00.00</v>
      </c>
      <c r="M4913">
        <v>1</v>
      </c>
      <c r="N4913">
        <v>-5</v>
      </c>
      <c r="O4913">
        <v>2</v>
      </c>
      <c r="P4913">
        <v>-5</v>
      </c>
      <c r="Q4913">
        <v>2</v>
      </c>
      <c r="R4913" t="s">
        <v>21</v>
      </c>
      <c r="S4913" t="s">
        <v>21</v>
      </c>
    </row>
    <row r="4914" spans="1:19" hidden="1" x14ac:dyDescent="0.25">
      <c r="A4914">
        <v>21500502</v>
      </c>
      <c r="B4914" t="s">
        <v>18</v>
      </c>
      <c r="C4914" t="s">
        <v>25</v>
      </c>
      <c r="D4914">
        <v>50</v>
      </c>
      <c r="E4914">
        <v>50</v>
      </c>
      <c r="F4914">
        <v>0</v>
      </c>
      <c r="G4914">
        <v>2</v>
      </c>
      <c r="H4914" s="1">
        <v>2.1875000000000002E-3</v>
      </c>
      <c r="I4914">
        <v>2015</v>
      </c>
      <c r="J4914" t="s">
        <v>20</v>
      </c>
      <c r="K4914" s="2" t="str">
        <f>HYPERLINK("https://www.nba.com/stats/events?CFID=&amp;CFPARAMS=&amp;GameEventID=233&amp;GameID=0021500502&amp;Season=2015-16&amp;flag=1&amp;title=Leonard%20%20Driving%20Dunk%20(9%20PTS)", "Leonard  Driving Dunk (9 PTS)")</f>
        <v>Leonard  Driving Dunk (9 PTS)</v>
      </c>
      <c r="L4914" s="2" t="str">
        <f>HYPERLINK("https://www.nba.com/game/...-vs-...-0021500502/play-by-play?watchFullGame=true", "SAS vs HOU - Q2 03:09.00")</f>
        <v>SAS vs HOU - Q2 03:09.00</v>
      </c>
      <c r="M4914">
        <v>0</v>
      </c>
      <c r="N4914">
        <v>0</v>
      </c>
      <c r="O4914">
        <v>1</v>
      </c>
      <c r="P4914">
        <v>0</v>
      </c>
      <c r="Q4914">
        <v>1</v>
      </c>
      <c r="R4914" t="s">
        <v>21</v>
      </c>
      <c r="S4914" t="s">
        <v>21</v>
      </c>
    </row>
    <row r="4915" spans="1:19" hidden="1" x14ac:dyDescent="0.25">
      <c r="A4915">
        <v>21400159</v>
      </c>
      <c r="B4915" t="s">
        <v>18</v>
      </c>
      <c r="C4915" t="s">
        <v>24</v>
      </c>
      <c r="D4915">
        <v>40</v>
      </c>
      <c r="E4915">
        <v>47</v>
      </c>
      <c r="F4915">
        <v>7</v>
      </c>
      <c r="G4915">
        <v>2</v>
      </c>
      <c r="H4915" s="1">
        <v>7.407407407407407E-4</v>
      </c>
      <c r="I4915">
        <v>2014</v>
      </c>
      <c r="J4915" t="s">
        <v>20</v>
      </c>
      <c r="K4915" s="2" t="str">
        <f>HYPERLINK("https://www.nba.com/stats/events?CFID=&amp;CFPARAMS=&amp;GameEventID=233&amp;GameID=0021400159&amp;Season=2014-15&amp;flag=1&amp;title=Leonard%201'%20Layup%20(7%20PTS)%20(Joseph%202%20AST)", "Leonard 1' Layup (7 PTS) (Joseph 2 AST)")</f>
        <v>Leonard 1' Layup (7 PTS) (Joseph 2 AST)</v>
      </c>
      <c r="L4915" s="2" t="str">
        <f>HYPERLINK("https://www.nba.com/game/...-vs-...-0021400159/play-by-play?watchFullGame=true", "SAS vs CLE - Q2 01:04.00")</f>
        <v>SAS vs CLE - Q2 01:04.00</v>
      </c>
      <c r="M4915">
        <v>1</v>
      </c>
      <c r="N4915">
        <v>7</v>
      </c>
      <c r="O4915">
        <v>3</v>
      </c>
      <c r="P4915">
        <v>7</v>
      </c>
      <c r="Q4915">
        <v>3</v>
      </c>
      <c r="R4915" t="s">
        <v>21</v>
      </c>
      <c r="S4915" t="s">
        <v>21</v>
      </c>
    </row>
    <row r="4916" spans="1:19" hidden="1" x14ac:dyDescent="0.25">
      <c r="A4916">
        <v>41300145</v>
      </c>
      <c r="B4916" t="s">
        <v>18</v>
      </c>
      <c r="C4916" t="s">
        <v>70</v>
      </c>
      <c r="D4916">
        <v>49</v>
      </c>
      <c r="E4916">
        <v>44</v>
      </c>
      <c r="F4916">
        <v>5</v>
      </c>
      <c r="G4916">
        <v>2</v>
      </c>
      <c r="H4916" s="1">
        <v>2.2569444444444442E-3</v>
      </c>
      <c r="I4916" t="s">
        <v>55</v>
      </c>
      <c r="J4916" t="s">
        <v>20</v>
      </c>
      <c r="K4916" s="2" t="str">
        <f>HYPERLINK("https://www.nba.com/stats/events?CFID=&amp;CFPARAMS=&amp;GameEventID=192&amp;GameID=0041300145&amp;Season=2013-14&amp;flag=1&amp;title=Leonard%20%20Slam%20Dunk%20(8%20PTS)%20(Parker%203%20AST)", "Leonard  Slam Dunk (8 PTS) (Parker 3 AST)")</f>
        <v>Leonard  Slam Dunk (8 PTS) (Parker 3 AST)</v>
      </c>
      <c r="L4916" s="2" t="str">
        <f>HYPERLINK("https://www.nba.com/game/...-vs-...-0041300145/play-by-play?watchFullGame=true", "SAS vs DAL - Q2 03:15.00")</f>
        <v>SAS vs DAL - Q2 03:15.00</v>
      </c>
      <c r="M4916">
        <v>0</v>
      </c>
      <c r="N4916">
        <v>0</v>
      </c>
      <c r="O4916">
        <v>4</v>
      </c>
      <c r="P4916">
        <v>0</v>
      </c>
      <c r="Q4916">
        <v>4</v>
      </c>
      <c r="R4916" t="s">
        <v>21</v>
      </c>
      <c r="S4916" t="s">
        <v>21</v>
      </c>
    </row>
    <row r="4917" spans="1:19" hidden="1" x14ac:dyDescent="0.25">
      <c r="A4917">
        <v>41300147</v>
      </c>
      <c r="B4917" t="s">
        <v>18</v>
      </c>
      <c r="C4917" t="s">
        <v>70</v>
      </c>
      <c r="D4917">
        <v>62</v>
      </c>
      <c r="E4917">
        <v>35</v>
      </c>
      <c r="F4917">
        <v>27</v>
      </c>
      <c r="G4917">
        <v>2</v>
      </c>
      <c r="H4917" s="1">
        <v>2.2800925925925927E-3</v>
      </c>
      <c r="I4917" t="s">
        <v>55</v>
      </c>
      <c r="J4917" t="s">
        <v>20</v>
      </c>
      <c r="K4917" s="2" t="str">
        <f>HYPERLINK("https://www.nba.com/stats/events?CFID=&amp;CFPARAMS=&amp;GameEventID=235&amp;GameID=0041300147&amp;Season=2013-14&amp;flag=1&amp;title=Leonard%20%20Slam%20Dunk%20(6%20PTS)%20(Parker%202%20AST)", "Leonard  Slam Dunk (6 PTS) (Parker 2 AST)")</f>
        <v>Leonard  Slam Dunk (6 PTS) (Parker 2 AST)</v>
      </c>
      <c r="L4917" s="2" t="str">
        <f>HYPERLINK("https://www.nba.com/game/...-vs-...-0041300147/play-by-play?watchFullGame=true", "SAS vs DAL - Q2 03:17.00")</f>
        <v>SAS vs DAL - Q2 03:17.00</v>
      </c>
      <c r="M4917">
        <v>0</v>
      </c>
      <c r="N4917">
        <v>0</v>
      </c>
      <c r="O4917">
        <v>3</v>
      </c>
      <c r="P4917">
        <v>0</v>
      </c>
      <c r="Q4917">
        <v>3</v>
      </c>
      <c r="R4917" t="s">
        <v>21</v>
      </c>
      <c r="S4917" t="s">
        <v>21</v>
      </c>
    </row>
    <row r="4918" spans="1:19" hidden="1" x14ac:dyDescent="0.25">
      <c r="A4918">
        <v>21301054</v>
      </c>
      <c r="B4918" t="s">
        <v>18</v>
      </c>
      <c r="C4918" t="s">
        <v>33</v>
      </c>
      <c r="D4918">
        <v>26</v>
      </c>
      <c r="E4918">
        <v>22</v>
      </c>
      <c r="F4918">
        <v>4</v>
      </c>
      <c r="G4918">
        <v>1</v>
      </c>
      <c r="H4918" s="1">
        <v>8.1018518518518516E-4</v>
      </c>
      <c r="I4918">
        <v>2013</v>
      </c>
      <c r="J4918" t="s">
        <v>20</v>
      </c>
      <c r="K4918" s="2" t="str">
        <f>HYPERLINK("https://www.nba.com/stats/events?CFID=&amp;CFPARAMS=&amp;GameEventID=95&amp;GameID=0021301054&amp;Season=2013-14&amp;flag=1&amp;title=Leonard%201'%20Putback%20Layup%20(8%20PTS)", "Leonard 1' Putback Layup (8 PTS)")</f>
        <v>Leonard 1' Putback Layup (8 PTS)</v>
      </c>
      <c r="L4918" s="2" t="str">
        <f>HYPERLINK("https://www.nba.com/game/...-vs-...-0021301054/play-by-play?watchFullGame=true", "SAS vs PHI - Q1 01:10.00")</f>
        <v>SAS vs PHI - Q1 01:10.00</v>
      </c>
      <c r="M4918">
        <v>1</v>
      </c>
      <c r="N4918">
        <v>-5</v>
      </c>
      <c r="O4918">
        <v>0</v>
      </c>
      <c r="P4918">
        <v>-5</v>
      </c>
      <c r="Q4918">
        <v>0</v>
      </c>
      <c r="R4918" t="s">
        <v>21</v>
      </c>
      <c r="S4918" t="s">
        <v>21</v>
      </c>
    </row>
    <row r="4919" spans="1:19" hidden="1" x14ac:dyDescent="0.25">
      <c r="A4919">
        <v>21600834</v>
      </c>
      <c r="B4919" t="s">
        <v>18</v>
      </c>
      <c r="C4919" t="s">
        <v>50</v>
      </c>
      <c r="D4919">
        <v>48</v>
      </c>
      <c r="E4919">
        <v>27</v>
      </c>
      <c r="F4919">
        <v>21</v>
      </c>
      <c r="G4919">
        <v>2</v>
      </c>
      <c r="H4919" s="1">
        <v>2.3148148148148147E-3</v>
      </c>
      <c r="I4919">
        <v>2016</v>
      </c>
      <c r="J4919" t="s">
        <v>20</v>
      </c>
      <c r="K4919" s="2" t="str">
        <f>HYPERLINK("https://www.nba.com/stats/events?CFID=&amp;CFPARAMS=&amp;GameEventID=227&amp;GameID=0021600834&amp;Season=2016-17&amp;flag=1&amp;title=Leonard%20%20Running%20Dunk%20(13%20PTS)%20(Ginobili%202%20AST)", "Leonard  Running Dunk (13 PTS) (Ginobili 2 AST)")</f>
        <v>Leonard  Running Dunk (13 PTS) (Ginobili 2 AST)</v>
      </c>
      <c r="L4919" s="2" t="str">
        <f>HYPERLINK("https://www.nba.com/game/...-vs-...-0021600834/play-by-play?watchFullGame=true", "SAS vs ORL - Q2 03:20.00")</f>
        <v>SAS vs ORL - Q2 03:20.00</v>
      </c>
      <c r="M4919">
        <v>0</v>
      </c>
      <c r="N4919">
        <v>0</v>
      </c>
      <c r="O4919">
        <v>1</v>
      </c>
      <c r="P4919">
        <v>0</v>
      </c>
      <c r="Q4919">
        <v>1</v>
      </c>
      <c r="R4919" t="s">
        <v>21</v>
      </c>
      <c r="S4919" t="s">
        <v>21</v>
      </c>
    </row>
    <row r="4920" spans="1:19" hidden="1" x14ac:dyDescent="0.25">
      <c r="A4920">
        <v>21400314</v>
      </c>
      <c r="B4920" t="s">
        <v>18</v>
      </c>
      <c r="C4920" t="s">
        <v>24</v>
      </c>
      <c r="D4920">
        <v>43</v>
      </c>
      <c r="E4920">
        <v>42</v>
      </c>
      <c r="F4920">
        <v>1</v>
      </c>
      <c r="G4920">
        <v>2</v>
      </c>
      <c r="H4920" s="1">
        <v>9.4907407407407408E-4</v>
      </c>
      <c r="I4920">
        <v>2014</v>
      </c>
      <c r="J4920" t="s">
        <v>20</v>
      </c>
      <c r="K4920" s="2" t="str">
        <f>HYPERLINK("https://www.nba.com/stats/events?CFID=&amp;CFPARAMS=&amp;GameEventID=219&amp;GameID=0021400314&amp;Season=2014-15&amp;flag=1&amp;title=Leonard%201'%20Layup%20(7%20PTS)", "Leonard 1' Layup (7 PTS)")</f>
        <v>Leonard 1' Layup (7 PTS)</v>
      </c>
      <c r="L4920" s="2" t="str">
        <f>HYPERLINK("https://www.nba.com/game/...-vs-...-0021400314/play-by-play?watchFullGame=true", "SAS vs UTA - Q2 01:22.00")</f>
        <v>SAS vs UTA - Q2 01:22.00</v>
      </c>
      <c r="M4920">
        <v>1</v>
      </c>
      <c r="N4920">
        <v>9</v>
      </c>
      <c r="O4920">
        <v>4</v>
      </c>
      <c r="P4920">
        <v>9</v>
      </c>
      <c r="Q4920">
        <v>4</v>
      </c>
      <c r="R4920" t="s">
        <v>21</v>
      </c>
      <c r="S4920" t="s">
        <v>21</v>
      </c>
    </row>
    <row r="4921" spans="1:19" hidden="1" x14ac:dyDescent="0.25">
      <c r="A4921">
        <v>21500013</v>
      </c>
      <c r="B4921" t="s">
        <v>18</v>
      </c>
      <c r="C4921" t="s">
        <v>25</v>
      </c>
      <c r="D4921">
        <v>45</v>
      </c>
      <c r="E4921">
        <v>41</v>
      </c>
      <c r="F4921">
        <v>4</v>
      </c>
      <c r="G4921">
        <v>2</v>
      </c>
      <c r="H4921" s="1">
        <v>2.4074074074074076E-3</v>
      </c>
      <c r="I4921">
        <v>2015</v>
      </c>
      <c r="J4921" t="s">
        <v>20</v>
      </c>
      <c r="K4921" s="2" t="str">
        <f>HYPERLINK("https://www.nba.com/stats/events?CFID=&amp;CFPARAMS=&amp;GameEventID=222&amp;GameID=0021500013&amp;Season=2015-16&amp;flag=1&amp;title=Leonard%20%20Driving%20Dunk%20(12%20PTS)", "Leonard  Driving Dunk (12 PTS)")</f>
        <v>Leonard  Driving Dunk (12 PTS)</v>
      </c>
      <c r="L4921" s="2" t="str">
        <f>HYPERLINK("https://www.nba.com/game/...-vs-...-0021500013/play-by-play?watchFullGame=true", "SAS vs OKC - Q2 03:28.00")</f>
        <v>SAS vs OKC - Q2 03:28.00</v>
      </c>
      <c r="M4921">
        <v>0</v>
      </c>
      <c r="N4921">
        <v>0</v>
      </c>
      <c r="O4921">
        <v>1</v>
      </c>
      <c r="P4921">
        <v>0</v>
      </c>
      <c r="Q4921">
        <v>1</v>
      </c>
      <c r="R4921" t="s">
        <v>21</v>
      </c>
      <c r="S4921" t="s">
        <v>21</v>
      </c>
    </row>
    <row r="4922" spans="1:19" hidden="1" x14ac:dyDescent="0.25">
      <c r="A4922">
        <v>21400159</v>
      </c>
      <c r="B4922" t="s">
        <v>18</v>
      </c>
      <c r="C4922" t="s">
        <v>24</v>
      </c>
      <c r="D4922">
        <v>38</v>
      </c>
      <c r="E4922">
        <v>47</v>
      </c>
      <c r="F4922">
        <v>9</v>
      </c>
      <c r="G4922">
        <v>2</v>
      </c>
      <c r="H4922" s="1">
        <v>9.837962962962962E-4</v>
      </c>
      <c r="I4922">
        <v>2014</v>
      </c>
      <c r="J4922" t="s">
        <v>20</v>
      </c>
      <c r="K4922" s="2" t="str">
        <f>HYPERLINK("https://www.nba.com/stats/events?CFID=&amp;CFPARAMS=&amp;GameEventID=231&amp;GameID=0021400159&amp;Season=2014-15&amp;flag=1&amp;title=Leonard%201'%20Layup%20(5%20PTS)", "Leonard 1' Layup (5 PTS)")</f>
        <v>Leonard 1' Layup (5 PTS)</v>
      </c>
      <c r="L4922" s="2" t="str">
        <f>HYPERLINK("https://www.nba.com/game/...-vs-...-0021400159/play-by-play?watchFullGame=true", "SAS vs CLE - Q2 01:25.00")</f>
        <v>SAS vs CLE - Q2 01:25.00</v>
      </c>
      <c r="M4922">
        <v>1</v>
      </c>
      <c r="N4922">
        <v>12</v>
      </c>
      <c r="O4922">
        <v>3</v>
      </c>
      <c r="P4922">
        <v>12</v>
      </c>
      <c r="Q4922">
        <v>3</v>
      </c>
      <c r="R4922" t="s">
        <v>21</v>
      </c>
      <c r="S4922" t="s">
        <v>21</v>
      </c>
    </row>
    <row r="4923" spans="1:19" hidden="1" x14ac:dyDescent="0.25">
      <c r="A4923">
        <v>21801156</v>
      </c>
      <c r="B4923" t="s">
        <v>18</v>
      </c>
      <c r="C4923" t="s">
        <v>51</v>
      </c>
      <c r="D4923">
        <v>55</v>
      </c>
      <c r="E4923">
        <v>50</v>
      </c>
      <c r="F4923">
        <v>5</v>
      </c>
      <c r="G4923">
        <v>2</v>
      </c>
      <c r="H4923" s="1">
        <v>9.9537037037037042E-4</v>
      </c>
      <c r="I4923">
        <v>2018</v>
      </c>
      <c r="J4923" t="s">
        <v>48</v>
      </c>
      <c r="K4923" s="2" t="str">
        <f>HYPERLINK("https://www.nba.com/stats/events?CFID=&amp;CFPARAMS=&amp;GameEventID=306&amp;GameID=0021801156&amp;Season=2018-19&amp;flag=1&amp;title=Leonard%201'%20Running%20Layup%20(8%20PTS)%20(Green%201%20AST)", "Leonard 1' Running Layup (8 PTS) (Green 1 AST)")</f>
        <v>Leonard 1' Running Layup (8 PTS) (Green 1 AST)</v>
      </c>
      <c r="L4923" s="2" t="str">
        <f>HYPERLINK("https://www.nba.com/game/...-vs-...-0021801156/play-by-play?watchFullGame=true", "TOR vs ORL - Q2 01:26.00")</f>
        <v>TOR vs ORL - Q2 01:26.00</v>
      </c>
      <c r="M4923">
        <v>1</v>
      </c>
      <c r="N4923">
        <v>-2</v>
      </c>
      <c r="O4923">
        <v>7</v>
      </c>
      <c r="P4923">
        <v>-2</v>
      </c>
      <c r="Q4923">
        <v>7</v>
      </c>
      <c r="R4923" t="s">
        <v>21</v>
      </c>
      <c r="S4923" t="s">
        <v>21</v>
      </c>
    </row>
    <row r="4924" spans="1:19" hidden="1" x14ac:dyDescent="0.25">
      <c r="A4924">
        <v>21300425</v>
      </c>
      <c r="B4924" t="s">
        <v>18</v>
      </c>
      <c r="C4924" t="s">
        <v>22</v>
      </c>
      <c r="D4924">
        <v>55</v>
      </c>
      <c r="E4924">
        <v>47</v>
      </c>
      <c r="F4924">
        <v>8</v>
      </c>
      <c r="G4924">
        <v>2</v>
      </c>
      <c r="H4924" s="1">
        <v>9.9537037037037042E-4</v>
      </c>
      <c r="I4924">
        <v>2013</v>
      </c>
      <c r="J4924" t="s">
        <v>20</v>
      </c>
      <c r="K4924" s="2" t="str">
        <f>HYPERLINK("https://www.nba.com/stats/events?CFID=&amp;CFPARAMS=&amp;GameEventID=270&amp;GameID=0021300425&amp;Season=2013-14&amp;flag=1&amp;title=Leonard%201'%20Driving%20Layup%20(4%20PTS)", "Leonard 1' Driving Layup (4 PTS)")</f>
        <v>Leonard 1' Driving Layup (4 PTS)</v>
      </c>
      <c r="L4924" s="2" t="str">
        <f>HYPERLINK("https://www.nba.com/game/...-vs-...-0021300425/play-by-play?watchFullGame=true", "SAS vs DAL - Q2 01:26.00")</f>
        <v>SAS vs DAL - Q2 01:26.00</v>
      </c>
      <c r="M4924">
        <v>1</v>
      </c>
      <c r="N4924">
        <v>13</v>
      </c>
      <c r="O4924">
        <v>4</v>
      </c>
      <c r="P4924">
        <v>13</v>
      </c>
      <c r="Q4924">
        <v>4</v>
      </c>
      <c r="R4924" t="s">
        <v>21</v>
      </c>
      <c r="S4924" t="s">
        <v>21</v>
      </c>
    </row>
    <row r="4925" spans="1:19" hidden="1" x14ac:dyDescent="0.25">
      <c r="A4925">
        <v>21800347</v>
      </c>
      <c r="B4925" t="s">
        <v>18</v>
      </c>
      <c r="C4925" t="s">
        <v>22</v>
      </c>
      <c r="D4925">
        <v>43</v>
      </c>
      <c r="E4925">
        <v>50</v>
      </c>
      <c r="F4925">
        <v>7</v>
      </c>
      <c r="G4925">
        <v>2</v>
      </c>
      <c r="H4925" s="1">
        <v>1.0069444444444444E-3</v>
      </c>
      <c r="I4925">
        <v>2018</v>
      </c>
      <c r="J4925" t="s">
        <v>48</v>
      </c>
      <c r="K4925" s="2" t="str">
        <f>HYPERLINK("https://www.nba.com/stats/events?CFID=&amp;CFPARAMS=&amp;GameEventID=315&amp;GameID=0021800347&amp;Season=2018-19&amp;flag=1&amp;title=Leonard%201'%20Driving%20Layup%20(14%20PTS)", "Leonard 1' Driving Layup (14 PTS)")</f>
        <v>Leonard 1' Driving Layup (14 PTS)</v>
      </c>
      <c r="L4925" s="2" t="str">
        <f>HYPERLINK("https://www.nba.com/game/...-vs-...-0021800347/play-by-play?watchFullGame=true", "TOR vs DEN - Q2 01:27.00")</f>
        <v>TOR vs DEN - Q2 01:27.00</v>
      </c>
      <c r="M4925">
        <v>1</v>
      </c>
      <c r="N4925">
        <v>5</v>
      </c>
      <c r="O4925">
        <v>1</v>
      </c>
      <c r="P4925">
        <v>5</v>
      </c>
      <c r="Q4925">
        <v>1</v>
      </c>
      <c r="R4925" t="s">
        <v>21</v>
      </c>
      <c r="S4925" t="s">
        <v>21</v>
      </c>
    </row>
    <row r="4926" spans="1:19" hidden="1" x14ac:dyDescent="0.25">
      <c r="A4926">
        <v>41400163</v>
      </c>
      <c r="B4926" t="s">
        <v>18</v>
      </c>
      <c r="C4926" t="s">
        <v>24</v>
      </c>
      <c r="D4926">
        <v>46</v>
      </c>
      <c r="E4926">
        <v>33</v>
      </c>
      <c r="F4926">
        <v>13</v>
      </c>
      <c r="G4926">
        <v>2</v>
      </c>
      <c r="H4926" s="1">
        <v>1.0995370370370371E-3</v>
      </c>
      <c r="I4926" t="s">
        <v>56</v>
      </c>
      <c r="J4926" t="s">
        <v>20</v>
      </c>
      <c r="K4926" s="2" t="str">
        <f>HYPERLINK("https://www.nba.com/stats/events?CFID=&amp;CFPARAMS=&amp;GameEventID=213&amp;GameID=0041400163&amp;Season=2014-15&amp;flag=1&amp;title=Leonard%201'%20Layup%20(16%20PTS)%20(Parker%202%20AST)", "Leonard 1' Layup (16 PTS) (Parker 2 AST)")</f>
        <v>Leonard 1' Layup (16 PTS) (Parker 2 AST)</v>
      </c>
      <c r="L4926" s="2" t="str">
        <f>HYPERLINK("https://www.nba.com/game/...-vs-...-0041400163/play-by-play?watchFullGame=true", "SAS vs LAC - Q2 01:35.00")</f>
        <v>SAS vs LAC - Q2 01:35.00</v>
      </c>
      <c r="M4926">
        <v>1</v>
      </c>
      <c r="N4926">
        <v>6</v>
      </c>
      <c r="O4926">
        <v>6</v>
      </c>
      <c r="P4926">
        <v>6</v>
      </c>
      <c r="Q4926">
        <v>6</v>
      </c>
      <c r="R4926" t="s">
        <v>21</v>
      </c>
      <c r="S4926" t="s">
        <v>21</v>
      </c>
    </row>
    <row r="4927" spans="1:19" hidden="1" x14ac:dyDescent="0.25">
      <c r="A4927">
        <v>21400102</v>
      </c>
      <c r="B4927" t="s">
        <v>18</v>
      </c>
      <c r="C4927" t="s">
        <v>24</v>
      </c>
      <c r="D4927">
        <v>83</v>
      </c>
      <c r="E4927">
        <v>82</v>
      </c>
      <c r="F4927">
        <v>1</v>
      </c>
      <c r="G4927">
        <v>4</v>
      </c>
      <c r="H4927" s="1">
        <v>1.2037037037037038E-3</v>
      </c>
      <c r="I4927">
        <v>2014</v>
      </c>
      <c r="J4927" t="s">
        <v>20</v>
      </c>
      <c r="K4927" s="2" t="str">
        <f>HYPERLINK("https://www.nba.com/stats/events?CFID=&amp;CFPARAMS=&amp;GameEventID=489&amp;GameID=0021400102&amp;Season=2014-15&amp;flag=1&amp;title=Leonard%201'%20Layup%20(24%20PTS)%20(Ginobili%203%20AST)", "Leonard 1' Layup (24 PTS) (Ginobili 3 AST)")</f>
        <v>Leonard 1' Layup (24 PTS) (Ginobili 3 AST)</v>
      </c>
      <c r="L4927" s="2" t="str">
        <f>HYPERLINK("https://www.nba.com/game/...-vs-...-0021400102/play-by-play?watchFullGame=true", "SAS vs LAC - Q4 01:44.00")</f>
        <v>SAS vs LAC - Q4 01:44.00</v>
      </c>
      <c r="M4927">
        <v>1</v>
      </c>
      <c r="N4927">
        <v>4</v>
      </c>
      <c r="O4927">
        <v>-3</v>
      </c>
      <c r="P4927">
        <v>4</v>
      </c>
      <c r="Q4927">
        <v>-3</v>
      </c>
      <c r="R4927" t="s">
        <v>21</v>
      </c>
      <c r="S4927" t="s">
        <v>21</v>
      </c>
    </row>
    <row r="4928" spans="1:19" hidden="1" x14ac:dyDescent="0.25">
      <c r="A4928">
        <v>41500232</v>
      </c>
      <c r="B4928" t="s">
        <v>18</v>
      </c>
      <c r="C4928" t="s">
        <v>44</v>
      </c>
      <c r="D4928">
        <v>74</v>
      </c>
      <c r="E4928">
        <v>77</v>
      </c>
      <c r="F4928">
        <v>3</v>
      </c>
      <c r="G4928">
        <v>3</v>
      </c>
      <c r="H4928" s="1">
        <v>1.25E-3</v>
      </c>
      <c r="I4928" t="s">
        <v>57</v>
      </c>
      <c r="J4928" t="s">
        <v>20</v>
      </c>
      <c r="K4928" s="2" t="str">
        <f>HYPERLINK("https://www.nba.com/stats/events?CFID=&amp;CFPARAMS=&amp;GameEventID=357&amp;GameID=0041500232&amp;Season=2015-16&amp;flag=1&amp;title=Leonard%201'%20Driving%20Reverse%20Layup%20(12%20PTS)%20(Aldridge%203%20AST)", "Leonard 1' Driving Reverse Layup (12 PTS) (Aldridge 3 AST)")</f>
        <v>Leonard 1' Driving Reverse Layup (12 PTS) (Aldridge 3 AST)</v>
      </c>
      <c r="L4928" s="2" t="str">
        <f>HYPERLINK("https://www.nba.com/game/...-vs-...-0041500232/play-by-play?watchFullGame=true", "SAS vs OKC - Q3 01:48.00")</f>
        <v>SAS vs OKC - Q3 01:48.00</v>
      </c>
      <c r="M4928">
        <v>1</v>
      </c>
      <c r="N4928">
        <v>-4</v>
      </c>
      <c r="O4928">
        <v>-5</v>
      </c>
      <c r="P4928">
        <v>-4</v>
      </c>
      <c r="Q4928">
        <v>-5</v>
      </c>
      <c r="R4928" t="s">
        <v>21</v>
      </c>
      <c r="S4928" t="s">
        <v>21</v>
      </c>
    </row>
    <row r="4929" spans="1:19" hidden="1" x14ac:dyDescent="0.25">
      <c r="A4929">
        <v>21400361</v>
      </c>
      <c r="B4929" t="s">
        <v>18</v>
      </c>
      <c r="C4929" t="s">
        <v>22</v>
      </c>
      <c r="D4929">
        <v>93</v>
      </c>
      <c r="E4929">
        <v>104</v>
      </c>
      <c r="F4929">
        <v>11</v>
      </c>
      <c r="G4929">
        <v>4</v>
      </c>
      <c r="H4929" s="1">
        <v>1.25E-3</v>
      </c>
      <c r="I4929">
        <v>2014</v>
      </c>
      <c r="J4929" t="s">
        <v>20</v>
      </c>
      <c r="K4929" s="2" t="str">
        <f>HYPERLINK("https://www.nba.com/stats/events?CFID=&amp;CFPARAMS=&amp;GameEventID=491&amp;GameID=0021400361&amp;Season=2014-15&amp;flag=1&amp;title=Leonard%201'%20Driving%20Layup%20(19%20PTS)", "Leonard 1' Driving Layup (19 PTS)")</f>
        <v>Leonard 1' Driving Layup (19 PTS)</v>
      </c>
      <c r="L4929" s="2" t="str">
        <f>HYPERLINK("https://www.nba.com/game/...-vs-...-0021400361/play-by-play?watchFullGame=true", "SAS vs POR - Q4 01:48.00")</f>
        <v>SAS vs POR - Q4 01:48.00</v>
      </c>
      <c r="M4929">
        <v>1</v>
      </c>
      <c r="N4929">
        <v>4</v>
      </c>
      <c r="O4929">
        <v>7</v>
      </c>
      <c r="P4929">
        <v>4</v>
      </c>
      <c r="Q4929">
        <v>7</v>
      </c>
      <c r="R4929" t="s">
        <v>21</v>
      </c>
      <c r="S4929" t="s">
        <v>21</v>
      </c>
    </row>
    <row r="4930" spans="1:19" hidden="1" x14ac:dyDescent="0.25">
      <c r="A4930">
        <v>21400102</v>
      </c>
      <c r="B4930" t="s">
        <v>18</v>
      </c>
      <c r="C4930" t="s">
        <v>80</v>
      </c>
      <c r="D4930">
        <v>33</v>
      </c>
      <c r="E4930">
        <v>40</v>
      </c>
      <c r="F4930">
        <v>7</v>
      </c>
      <c r="G4930">
        <v>2</v>
      </c>
      <c r="H4930" s="1">
        <v>2.4421296296296296E-3</v>
      </c>
      <c r="I4930">
        <v>2014</v>
      </c>
      <c r="J4930" t="s">
        <v>20</v>
      </c>
      <c r="K4930" s="2" t="str">
        <f>HYPERLINK("https://www.nba.com/stats/events?CFID=&amp;CFPARAMS=&amp;GameEventID=195&amp;GameID=0021400102&amp;Season=2014-15&amp;flag=1&amp;title=Leonard%20%20Reverse%20Dunk%20(12%20PTS)%20(Duncan%203%20AST)", "Leonard  Reverse Dunk (12 PTS) (Duncan 3 AST)")</f>
        <v>Leonard  Reverse Dunk (12 PTS) (Duncan 3 AST)</v>
      </c>
      <c r="L4930" s="2" t="str">
        <f>HYPERLINK("https://www.nba.com/game/...-vs-...-0021400102/play-by-play?watchFullGame=true", "SAS vs LAC - Q2 03:31.00")</f>
        <v>SAS vs LAC - Q2 03:31.00</v>
      </c>
      <c r="M4930">
        <v>0</v>
      </c>
      <c r="N4930">
        <v>0</v>
      </c>
      <c r="O4930">
        <v>1</v>
      </c>
      <c r="P4930">
        <v>0</v>
      </c>
      <c r="Q4930">
        <v>1</v>
      </c>
      <c r="R4930" t="s">
        <v>21</v>
      </c>
      <c r="S4930" t="s">
        <v>21</v>
      </c>
    </row>
    <row r="4931" spans="1:19" hidden="1" x14ac:dyDescent="0.25">
      <c r="A4931">
        <v>21800842</v>
      </c>
      <c r="B4931" t="s">
        <v>18</v>
      </c>
      <c r="C4931" t="s">
        <v>22</v>
      </c>
      <c r="D4931">
        <v>51</v>
      </c>
      <c r="E4931">
        <v>52</v>
      </c>
      <c r="F4931">
        <v>1</v>
      </c>
      <c r="G4931">
        <v>2</v>
      </c>
      <c r="H4931" s="1">
        <v>1.3541666666666667E-3</v>
      </c>
      <c r="I4931">
        <v>2018</v>
      </c>
      <c r="J4931" t="s">
        <v>48</v>
      </c>
      <c r="K4931" s="2" t="str">
        <f>HYPERLINK("https://www.nba.com/stats/events?CFID=&amp;CFPARAMS=&amp;GameEventID=278&amp;GameID=0021800842&amp;Season=2018-19&amp;flag=1&amp;title=Leonard%201'%20Driving%20Layup%20(10%20PTS)%20(Lowry%201%20AST)", "Leonard 1' Driving Layup (10 PTS) (Lowry 1 AST)")</f>
        <v>Leonard 1' Driving Layup (10 PTS) (Lowry 1 AST)</v>
      </c>
      <c r="L4931" s="2" t="str">
        <f>HYPERLINK("https://www.nba.com/game/...-vs-...-0021800842/play-by-play?watchFullGame=true", "TOR vs BKN - Q2 01:57.00")</f>
        <v>TOR vs BKN - Q2 01:57.00</v>
      </c>
      <c r="M4931">
        <v>1</v>
      </c>
      <c r="N4931">
        <v>3</v>
      </c>
      <c r="O4931">
        <v>-5</v>
      </c>
      <c r="P4931">
        <v>3</v>
      </c>
      <c r="Q4931">
        <v>-5</v>
      </c>
      <c r="R4931" t="s">
        <v>21</v>
      </c>
      <c r="S4931" t="s">
        <v>21</v>
      </c>
    </row>
    <row r="4932" spans="1:19" hidden="1" x14ac:dyDescent="0.25">
      <c r="A4932">
        <v>21400931</v>
      </c>
      <c r="B4932" t="s">
        <v>18</v>
      </c>
      <c r="C4932" t="s">
        <v>23</v>
      </c>
      <c r="D4932">
        <v>108</v>
      </c>
      <c r="E4932">
        <v>92</v>
      </c>
      <c r="F4932">
        <v>16</v>
      </c>
      <c r="G4932">
        <v>4</v>
      </c>
      <c r="H4932" s="1">
        <v>2.4652777777777776E-3</v>
      </c>
      <c r="I4932">
        <v>2014</v>
      </c>
      <c r="J4932" t="s">
        <v>20</v>
      </c>
      <c r="K4932" s="2" t="str">
        <f>HYPERLINK("https://www.nba.com/stats/events?CFID=&amp;CFPARAMS=&amp;GameEventID=481&amp;GameID=0021400931&amp;Season=2014-15&amp;flag=1&amp;title=Leonard%20%20Dunk%20(20%20PTS)", "Leonard  Dunk (20 PTS)")</f>
        <v>Leonard  Dunk (20 PTS)</v>
      </c>
      <c r="L4932" s="2" t="str">
        <f>HYPERLINK("https://www.nba.com/game/...-vs-...-0021400931/play-by-play?watchFullGame=true", "SAS vs CHI - Q4 03:33.00")</f>
        <v>SAS vs CHI - Q4 03:33.00</v>
      </c>
      <c r="M4932">
        <v>0</v>
      </c>
      <c r="N4932">
        <v>0</v>
      </c>
      <c r="O4932">
        <v>1</v>
      </c>
      <c r="P4932">
        <v>0</v>
      </c>
      <c r="Q4932">
        <v>1</v>
      </c>
      <c r="R4932" t="s">
        <v>21</v>
      </c>
      <c r="S4932" t="s">
        <v>21</v>
      </c>
    </row>
    <row r="4933" spans="1:19" hidden="1" x14ac:dyDescent="0.25">
      <c r="A4933">
        <v>21800766</v>
      </c>
      <c r="B4933" t="s">
        <v>18</v>
      </c>
      <c r="C4933" t="s">
        <v>22</v>
      </c>
      <c r="D4933">
        <v>92</v>
      </c>
      <c r="E4933">
        <v>98</v>
      </c>
      <c r="F4933">
        <v>6</v>
      </c>
      <c r="G4933">
        <v>4</v>
      </c>
      <c r="H4933" s="1">
        <v>1.3773148148148147E-3</v>
      </c>
      <c r="I4933">
        <v>2018</v>
      </c>
      <c r="J4933" t="s">
        <v>48</v>
      </c>
      <c r="K4933" s="2" t="str">
        <f>HYPERLINK("https://www.nba.com/stats/events?CFID=&amp;CFPARAMS=&amp;GameEventID=629&amp;GameID=0021800766&amp;Season=2018-19&amp;flag=1&amp;title=Leonard%201'%20Driving%20Layup%20(16%20PTS)", "Leonard 1' Driving Layup (16 PTS)")</f>
        <v>Leonard 1' Driving Layup (16 PTS)</v>
      </c>
      <c r="L4933" s="2" t="str">
        <f>HYPERLINK("https://www.nba.com/game/...-vs-...-0021800766/play-by-play?watchFullGame=true", "TOR vs MIL - Q4 01:59.00")</f>
        <v>TOR vs MIL - Q4 01:59.00</v>
      </c>
      <c r="M4933">
        <v>1</v>
      </c>
      <c r="N4933">
        <v>-3</v>
      </c>
      <c r="O4933">
        <v>-5</v>
      </c>
      <c r="P4933">
        <v>-3</v>
      </c>
      <c r="Q4933">
        <v>-5</v>
      </c>
      <c r="R4933" t="s">
        <v>21</v>
      </c>
      <c r="S4933" t="s">
        <v>21</v>
      </c>
    </row>
    <row r="4934" spans="1:19" hidden="1" x14ac:dyDescent="0.25">
      <c r="A4934">
        <v>41600235</v>
      </c>
      <c r="B4934" t="s">
        <v>18</v>
      </c>
      <c r="C4934" t="s">
        <v>41</v>
      </c>
      <c r="D4934">
        <v>79</v>
      </c>
      <c r="E4934">
        <v>82</v>
      </c>
      <c r="F4934">
        <v>3</v>
      </c>
      <c r="G4934">
        <v>3</v>
      </c>
      <c r="H4934" s="1">
        <v>1.3773148148148147E-3</v>
      </c>
      <c r="I4934" t="s">
        <v>58</v>
      </c>
      <c r="J4934" t="s">
        <v>20</v>
      </c>
      <c r="K4934" s="2" t="str">
        <f>HYPERLINK("https://www.nba.com/stats/events?CFID=&amp;CFPARAMS=&amp;GameEventID=374&amp;GameID=0041600235&amp;Season=2016-17&amp;flag=1&amp;title=Leonard%201'%20Tip%20Layup%20Shot%20(20%20PTS)", "Leonard 1' Tip Layup Shot (20 PTS)")</f>
        <v>Leonard 1' Tip Layup Shot (20 PTS)</v>
      </c>
      <c r="L4934" s="2" t="str">
        <f>HYPERLINK("https://www.nba.com/game/...-vs-...-0041600235/play-by-play?watchFullGame=true", "SAS vs HOU - Q3 01:59.00")</f>
        <v>SAS vs HOU - Q3 01:59.00</v>
      </c>
      <c r="M4934">
        <v>1</v>
      </c>
      <c r="N4934">
        <v>-1</v>
      </c>
      <c r="O4934">
        <v>7</v>
      </c>
      <c r="P4934">
        <v>-1</v>
      </c>
      <c r="Q4934">
        <v>7</v>
      </c>
      <c r="R4934" t="s">
        <v>21</v>
      </c>
      <c r="S4934" t="s">
        <v>21</v>
      </c>
    </row>
    <row r="4935" spans="1:19" hidden="1" x14ac:dyDescent="0.25">
      <c r="A4935">
        <v>41600233</v>
      </c>
      <c r="B4935" t="s">
        <v>18</v>
      </c>
      <c r="C4935" t="s">
        <v>46</v>
      </c>
      <c r="D4935">
        <v>35</v>
      </c>
      <c r="E4935">
        <v>34</v>
      </c>
      <c r="F4935">
        <v>1</v>
      </c>
      <c r="G4935">
        <v>2</v>
      </c>
      <c r="H4935" s="1">
        <v>2.5115740740740741E-3</v>
      </c>
      <c r="I4935" t="s">
        <v>58</v>
      </c>
      <c r="J4935" t="s">
        <v>20</v>
      </c>
      <c r="K4935" s="2" t="str">
        <f>HYPERLINK("https://www.nba.com/stats/events?CFID=&amp;CFPARAMS=&amp;GameEventID=216&amp;GameID=0041600233&amp;Season=2016-17&amp;flag=1&amp;title=Leonard%20Cutting%20Dunk%20Shot%20(4%20PTS)%20(Lee%201%20AST)", "Leonard Cutting Dunk Shot (4 PTS) (Lee 1 AST)")</f>
        <v>Leonard Cutting Dunk Shot (4 PTS) (Lee 1 AST)</v>
      </c>
      <c r="L4935" s="2" t="str">
        <f>HYPERLINK("https://www.nba.com/game/...-vs-...-0041600233/play-by-play?watchFullGame=true", "SAS vs HOU - Q2 03:37.00")</f>
        <v>SAS vs HOU - Q2 03:37.00</v>
      </c>
      <c r="M4935">
        <v>0</v>
      </c>
      <c r="N4935">
        <v>0</v>
      </c>
      <c r="O4935">
        <v>1</v>
      </c>
      <c r="P4935">
        <v>0</v>
      </c>
      <c r="Q4935">
        <v>1</v>
      </c>
      <c r="R4935" t="s">
        <v>21</v>
      </c>
      <c r="S4935" t="s">
        <v>21</v>
      </c>
    </row>
    <row r="4936" spans="1:19" hidden="1" x14ac:dyDescent="0.25">
      <c r="A4936">
        <v>21500481</v>
      </c>
      <c r="B4936" t="s">
        <v>18</v>
      </c>
      <c r="C4936" t="s">
        <v>71</v>
      </c>
      <c r="D4936">
        <v>80</v>
      </c>
      <c r="E4936">
        <v>51</v>
      </c>
      <c r="F4936">
        <v>29</v>
      </c>
      <c r="G4936">
        <v>3</v>
      </c>
      <c r="H4936" s="1">
        <v>1.4814814814814814E-3</v>
      </c>
      <c r="I4936">
        <v>2015</v>
      </c>
      <c r="J4936" t="s">
        <v>20</v>
      </c>
      <c r="K4936" s="2" t="str">
        <f>HYPERLINK("https://www.nba.com/stats/events?CFID=&amp;CFPARAMS=&amp;GameEventID=349&amp;GameID=0021500481&amp;Season=2015-16&amp;flag=1&amp;title=Leonard%201'%20Running%20Finger%20Roll%20Layup%20(19%20PTS)%20(Ginobili%203%20AST)", "Leonard 1' Running Finger Roll Layup (19 PTS) (Ginobili 3 AST)")</f>
        <v>Leonard 1' Running Finger Roll Layup (19 PTS) (Ginobili 3 AST)</v>
      </c>
      <c r="L4936" s="2" t="str">
        <f>HYPERLINK("https://www.nba.com/game/...-vs-...-0021500481/play-by-play?watchFullGame=true", "SAS vs PHX - Q3 02:08.00")</f>
        <v>SAS vs PHX - Q3 02:08.00</v>
      </c>
      <c r="M4936">
        <v>1</v>
      </c>
      <c r="N4936">
        <v>-4</v>
      </c>
      <c r="O4936">
        <v>11</v>
      </c>
      <c r="P4936">
        <v>-4</v>
      </c>
      <c r="Q4936">
        <v>11</v>
      </c>
      <c r="R4936" t="s">
        <v>21</v>
      </c>
      <c r="S4936" t="s">
        <v>21</v>
      </c>
    </row>
    <row r="4937" spans="1:19" hidden="1" x14ac:dyDescent="0.25">
      <c r="A4937">
        <v>21501201</v>
      </c>
      <c r="B4937" t="s">
        <v>18</v>
      </c>
      <c r="C4937" t="s">
        <v>32</v>
      </c>
      <c r="D4937">
        <v>79</v>
      </c>
      <c r="E4937">
        <v>88</v>
      </c>
      <c r="F4937">
        <v>9</v>
      </c>
      <c r="G4937">
        <v>4</v>
      </c>
      <c r="H4937" s="1">
        <v>1.4930555555555556E-3</v>
      </c>
      <c r="I4937">
        <v>2015</v>
      </c>
      <c r="J4937" t="s">
        <v>20</v>
      </c>
      <c r="K4937" s="2" t="str">
        <f>HYPERLINK("https://www.nba.com/stats/events?CFID=&amp;CFPARAMS=&amp;GameEventID=494&amp;GameID=0021501201&amp;Season=2015-16&amp;flag=1&amp;title=Leonard%201'%20Alley%20Oop%20Layup%20(15%20PTS)%20(West%203%20AST)", "Leonard 1' Alley Oop Layup (15 PTS) (West 3 AST)")</f>
        <v>Leonard 1' Alley Oop Layup (15 PTS) (West 3 AST)</v>
      </c>
      <c r="L4937" s="2" t="str">
        <f>HYPERLINK("https://www.nba.com/game/...-vs-...-0021501201/play-by-play?watchFullGame=true", "SAS vs GSW - Q4 02:09.00")</f>
        <v>SAS vs GSW - Q4 02:09.00</v>
      </c>
      <c r="M4937">
        <v>1</v>
      </c>
      <c r="N4937">
        <v>-9</v>
      </c>
      <c r="O4937">
        <v>2</v>
      </c>
      <c r="P4937">
        <v>-9</v>
      </c>
      <c r="Q4937">
        <v>2</v>
      </c>
      <c r="R4937" t="s">
        <v>21</v>
      </c>
      <c r="S4937" t="s">
        <v>21</v>
      </c>
    </row>
    <row r="4938" spans="1:19" hidden="1" x14ac:dyDescent="0.25">
      <c r="A4938">
        <v>21800624</v>
      </c>
      <c r="B4938" t="s">
        <v>18</v>
      </c>
      <c r="C4938" t="s">
        <v>41</v>
      </c>
      <c r="D4938">
        <v>56</v>
      </c>
      <c r="E4938">
        <v>50</v>
      </c>
      <c r="F4938">
        <v>6</v>
      </c>
      <c r="G4938">
        <v>2</v>
      </c>
      <c r="H4938" s="1">
        <v>1.4930555555555556E-3</v>
      </c>
      <c r="I4938">
        <v>2018</v>
      </c>
      <c r="J4938" t="s">
        <v>48</v>
      </c>
      <c r="K4938" s="2" t="str">
        <f>HYPERLINK("https://www.nba.com/stats/events?CFID=&amp;CFPARAMS=&amp;GameEventID=294&amp;GameID=0021800624&amp;Season=2018-19&amp;flag=1&amp;title=Leonard%201'%20Tip%20Layup%20Shot%20(13%20PTS)", "Leonard 1' Tip Layup Shot (13 PTS)")</f>
        <v>Leonard 1' Tip Layup Shot (13 PTS)</v>
      </c>
      <c r="L4938" s="2" t="str">
        <f>HYPERLINK("https://www.nba.com/game/...-vs-...-0021800624/play-by-play?watchFullGame=true", "TOR vs BKN - Q2 02:09.00")</f>
        <v>TOR vs BKN - Q2 02:09.00</v>
      </c>
      <c r="M4938">
        <v>1</v>
      </c>
      <c r="N4938">
        <v>0</v>
      </c>
      <c r="O4938">
        <v>-6</v>
      </c>
      <c r="P4938">
        <v>0</v>
      </c>
      <c r="Q4938">
        <v>-6</v>
      </c>
      <c r="R4938" t="s">
        <v>21</v>
      </c>
      <c r="S4938" t="s">
        <v>21</v>
      </c>
    </row>
    <row r="4939" spans="1:19" hidden="1" x14ac:dyDescent="0.25">
      <c r="A4939">
        <v>21400064</v>
      </c>
      <c r="B4939" t="s">
        <v>18</v>
      </c>
      <c r="C4939" t="s">
        <v>24</v>
      </c>
      <c r="D4939">
        <v>46</v>
      </c>
      <c r="E4939">
        <v>30</v>
      </c>
      <c r="F4939">
        <v>16</v>
      </c>
      <c r="G4939">
        <v>2</v>
      </c>
      <c r="H4939" s="1">
        <v>1.5046296296296296E-3</v>
      </c>
      <c r="I4939">
        <v>2014</v>
      </c>
      <c r="J4939" t="s">
        <v>20</v>
      </c>
      <c r="K4939" s="2" t="str">
        <f>HYPERLINK("https://www.nba.com/stats/events?CFID=&amp;CFPARAMS=&amp;GameEventID=231&amp;GameID=0021400064&amp;Season=2014-15&amp;flag=1&amp;title=Leonard%201'%20Layup%20(5%20PTS)%20(Duncan%202%20AST)", "Leonard 1' Layup (5 PTS) (Duncan 2 AST)")</f>
        <v>Leonard 1' Layup (5 PTS) (Duncan 2 AST)</v>
      </c>
      <c r="L4939" s="2" t="str">
        <f>HYPERLINK("https://www.nba.com/game/...-vs-...-0021400064/play-by-play?watchFullGame=true", "SAS vs ATL - Q2 02:10.00")</f>
        <v>SAS vs ATL - Q2 02:10.00</v>
      </c>
      <c r="M4939">
        <v>1</v>
      </c>
      <c r="N4939">
        <v>10</v>
      </c>
      <c r="O4939">
        <v>1</v>
      </c>
      <c r="P4939">
        <v>10</v>
      </c>
      <c r="Q4939">
        <v>1</v>
      </c>
      <c r="R4939" t="s">
        <v>21</v>
      </c>
      <c r="S4939" t="s">
        <v>21</v>
      </c>
    </row>
    <row r="4940" spans="1:19" hidden="1" x14ac:dyDescent="0.25">
      <c r="A4940">
        <v>21700502</v>
      </c>
      <c r="B4940" t="s">
        <v>18</v>
      </c>
      <c r="C4940" t="s">
        <v>40</v>
      </c>
      <c r="D4940">
        <v>105</v>
      </c>
      <c r="E4940">
        <v>92</v>
      </c>
      <c r="F4940">
        <v>13</v>
      </c>
      <c r="G4940">
        <v>4</v>
      </c>
      <c r="H4940" s="1">
        <v>1.5162037037037036E-3</v>
      </c>
      <c r="I4940">
        <v>2017</v>
      </c>
      <c r="J4940" t="s">
        <v>20</v>
      </c>
      <c r="K4940" s="2" t="str">
        <f>HYPERLINK("https://www.nba.com/stats/events?CFID=&amp;CFPARAMS=&amp;GameEventID=599&amp;GameID=0021700502&amp;Season=2017-18&amp;flag=1&amp;title=Leonard%201'%20Driving%20Finger%20Roll%20Layup%20(19%20PTS)", "Leonard 1' Driving Finger Roll Layup (19 PTS)")</f>
        <v>Leonard 1' Driving Finger Roll Layup (19 PTS)</v>
      </c>
      <c r="L4940" s="2" t="str">
        <f>HYPERLINK("https://www.nba.com/game/...-vs-...-0021700502/play-by-play?watchFullGame=true", "SAS vs BKN - Q4 02:11.00")</f>
        <v>SAS vs BKN - Q4 02:11.00</v>
      </c>
      <c r="M4940">
        <v>1</v>
      </c>
      <c r="N4940">
        <v>6</v>
      </c>
      <c r="O4940">
        <v>8</v>
      </c>
      <c r="P4940">
        <v>6</v>
      </c>
      <c r="Q4940">
        <v>8</v>
      </c>
      <c r="R4940" t="s">
        <v>21</v>
      </c>
      <c r="S4940" t="s">
        <v>21</v>
      </c>
    </row>
    <row r="4941" spans="1:19" hidden="1" x14ac:dyDescent="0.25">
      <c r="A4941">
        <v>21400648</v>
      </c>
      <c r="B4941" t="s">
        <v>18</v>
      </c>
      <c r="C4941" t="s">
        <v>23</v>
      </c>
      <c r="D4941">
        <v>21</v>
      </c>
      <c r="E4941">
        <v>8</v>
      </c>
      <c r="F4941">
        <v>13</v>
      </c>
      <c r="G4941">
        <v>1</v>
      </c>
      <c r="H4941" s="1">
        <v>2.5578703703703705E-3</v>
      </c>
      <c r="I4941">
        <v>2014</v>
      </c>
      <c r="J4941" t="s">
        <v>20</v>
      </c>
      <c r="K4941" s="2" t="str">
        <f>HYPERLINK("https://www.nba.com/stats/events?CFID=&amp;CFPARAMS=&amp;GameEventID=72&amp;GameID=0021400648&amp;Season=2014-15&amp;flag=1&amp;title=Leonard%20Dunk%20(7%20PTS)", "Leonard Dunk (7 PTS)")</f>
        <v>Leonard Dunk (7 PTS)</v>
      </c>
      <c r="L4941" s="2" t="str">
        <f>HYPERLINK("https://www.nba.com/game/...-vs-...-0021400648/play-by-play?watchFullGame=true", "SAS vs LAL - Q1 03:41.00")</f>
        <v>SAS vs LAL - Q1 03:41.00</v>
      </c>
      <c r="M4941">
        <v>0</v>
      </c>
      <c r="N4941">
        <v>0</v>
      </c>
      <c r="O4941">
        <v>1</v>
      </c>
      <c r="P4941">
        <v>0</v>
      </c>
      <c r="Q4941">
        <v>1</v>
      </c>
      <c r="R4941" t="s">
        <v>21</v>
      </c>
      <c r="S4941" t="s">
        <v>21</v>
      </c>
    </row>
    <row r="4942" spans="1:19" hidden="1" x14ac:dyDescent="0.25">
      <c r="A4942">
        <v>41600311</v>
      </c>
      <c r="B4942" t="s">
        <v>18</v>
      </c>
      <c r="C4942" t="s">
        <v>25</v>
      </c>
      <c r="D4942">
        <v>18</v>
      </c>
      <c r="E4942">
        <v>14</v>
      </c>
      <c r="F4942">
        <v>4</v>
      </c>
      <c r="G4942">
        <v>1</v>
      </c>
      <c r="H4942" s="1">
        <v>2.5578703703703705E-3</v>
      </c>
      <c r="I4942" t="s">
        <v>58</v>
      </c>
      <c r="J4942" t="s">
        <v>20</v>
      </c>
      <c r="K4942" s="2" t="str">
        <f>HYPERLINK("https://www.nba.com/stats/events?CFID=&amp;CFPARAMS=&amp;GameEventID=89&amp;GameID=0041600311&amp;Season=2016-17&amp;flag=1&amp;title=Leonard%20%20Driving%20Dunk%20(4%20PTS)", "Leonard  Driving Dunk (4 PTS)")</f>
        <v>Leonard  Driving Dunk (4 PTS)</v>
      </c>
      <c r="L4942" s="2" t="str">
        <f>HYPERLINK("https://www.nba.com/game/...-vs-...-0041600311/play-by-play?watchFullGame=true", "SAS vs GSW - Q1 03:41.00")</f>
        <v>SAS vs GSW - Q1 03:41.00</v>
      </c>
      <c r="M4942">
        <v>0</v>
      </c>
      <c r="N4942">
        <v>0</v>
      </c>
      <c r="O4942">
        <v>1</v>
      </c>
      <c r="P4942">
        <v>0</v>
      </c>
      <c r="Q4942">
        <v>1</v>
      </c>
      <c r="R4942" t="s">
        <v>21</v>
      </c>
      <c r="S4942" t="s">
        <v>21</v>
      </c>
    </row>
    <row r="4943" spans="1:19" hidden="1" x14ac:dyDescent="0.25">
      <c r="A4943">
        <v>41300143</v>
      </c>
      <c r="B4943" t="s">
        <v>18</v>
      </c>
      <c r="C4943" t="s">
        <v>22</v>
      </c>
      <c r="D4943">
        <v>29</v>
      </c>
      <c r="E4943">
        <v>25</v>
      </c>
      <c r="F4943">
        <v>4</v>
      </c>
      <c r="G4943">
        <v>1</v>
      </c>
      <c r="H4943" s="1">
        <v>1.5856481481481481E-3</v>
      </c>
      <c r="I4943" t="s">
        <v>55</v>
      </c>
      <c r="J4943" t="s">
        <v>20</v>
      </c>
      <c r="K4943" s="2" t="str">
        <f>HYPERLINK("https://www.nba.com/stats/events?CFID=&amp;CFPARAMS=&amp;GameEventID=83&amp;GameID=0041300143&amp;Season=2013-14&amp;flag=1&amp;title=Leonard%201'%20Driving%20Layup%20(6%20PTS)", "Leonard 1' Driving Layup (6 PTS)")</f>
        <v>Leonard 1' Driving Layup (6 PTS)</v>
      </c>
      <c r="L4943" s="2" t="str">
        <f>HYPERLINK("https://www.nba.com/game/...-vs-...-0041300143/play-by-play?watchFullGame=true", "SAS vs DAL - Q1 02:17.00")</f>
        <v>SAS vs DAL - Q1 02:17.00</v>
      </c>
      <c r="M4943">
        <v>1</v>
      </c>
      <c r="N4943">
        <v>13</v>
      </c>
      <c r="O4943">
        <v>0</v>
      </c>
      <c r="P4943">
        <v>13</v>
      </c>
      <c r="Q4943">
        <v>0</v>
      </c>
      <c r="R4943" t="s">
        <v>21</v>
      </c>
      <c r="S4943" t="s">
        <v>21</v>
      </c>
    </row>
    <row r="4944" spans="1:19" hidden="1" x14ac:dyDescent="0.25">
      <c r="A4944">
        <v>21801083</v>
      </c>
      <c r="B4944" t="s">
        <v>18</v>
      </c>
      <c r="C4944" t="s">
        <v>22</v>
      </c>
      <c r="D4944">
        <v>104</v>
      </c>
      <c r="E4944">
        <v>108</v>
      </c>
      <c r="F4944">
        <v>4</v>
      </c>
      <c r="G4944">
        <v>4</v>
      </c>
      <c r="H4944" s="1">
        <v>1.5972222222222223E-3</v>
      </c>
      <c r="I4944">
        <v>2018</v>
      </c>
      <c r="J4944" t="s">
        <v>48</v>
      </c>
      <c r="K4944" s="2" t="str">
        <f>HYPERLINK("https://www.nba.com/stats/events?CFID=&amp;CFPARAMS=&amp;GameEventID=602&amp;GameID=0021801083&amp;Season=2018-19&amp;flag=1&amp;title=Leonard%201'%20Driving%20Layup%20(34%20PTS)%20(Gasol%206%20AST)", "Leonard 1' Driving Layup (34 PTS) (Gasol 6 AST)")</f>
        <v>Leonard 1' Driving Layup (34 PTS) (Gasol 6 AST)</v>
      </c>
      <c r="L4944" s="2" t="str">
        <f>HYPERLINK("https://www.nba.com/game/...-vs-...-0021801083/play-by-play?watchFullGame=true", "TOR vs OKC - Q4 02:18.00")</f>
        <v>TOR vs OKC - Q4 02:18.00</v>
      </c>
      <c r="M4944">
        <v>1</v>
      </c>
      <c r="N4944">
        <v>-6</v>
      </c>
      <c r="O4944">
        <v>-2</v>
      </c>
      <c r="P4944">
        <v>-6</v>
      </c>
      <c r="Q4944">
        <v>-2</v>
      </c>
      <c r="R4944" t="s">
        <v>21</v>
      </c>
      <c r="S4944" t="s">
        <v>21</v>
      </c>
    </row>
    <row r="4945" spans="1:19" hidden="1" x14ac:dyDescent="0.25">
      <c r="A4945">
        <v>21301084</v>
      </c>
      <c r="B4945" t="s">
        <v>18</v>
      </c>
      <c r="C4945" t="s">
        <v>24</v>
      </c>
      <c r="D4945">
        <v>55</v>
      </c>
      <c r="E4945">
        <v>38</v>
      </c>
      <c r="F4945">
        <v>17</v>
      </c>
      <c r="G4945">
        <v>2</v>
      </c>
      <c r="H4945" s="1">
        <v>1.5972222222222223E-3</v>
      </c>
      <c r="I4945">
        <v>2013</v>
      </c>
      <c r="J4945" t="s">
        <v>20</v>
      </c>
      <c r="K4945" s="2" t="str">
        <f>HYPERLINK("https://www.nba.com/stats/events?CFID=&amp;CFPARAMS=&amp;GameEventID=227&amp;GameID=0021301084&amp;Season=2013-14&amp;flag=1&amp;title=Leonard%201'%20Layup%20(9%20PTS)", "Leonard 1' Layup (9 PTS)")</f>
        <v>Leonard 1' Layup (9 PTS)</v>
      </c>
      <c r="L4945" s="2" t="str">
        <f>HYPERLINK("https://www.nba.com/game/...-vs-...-0021301084/play-by-play?watchFullGame=true", "SAS vs DEN - Q2 02:18.00")</f>
        <v>SAS vs DEN - Q2 02:18.00</v>
      </c>
      <c r="M4945">
        <v>1</v>
      </c>
      <c r="N4945">
        <v>12</v>
      </c>
      <c r="O4945">
        <v>0</v>
      </c>
      <c r="P4945">
        <v>12</v>
      </c>
      <c r="Q4945">
        <v>0</v>
      </c>
      <c r="R4945" t="s">
        <v>21</v>
      </c>
      <c r="S4945" t="s">
        <v>21</v>
      </c>
    </row>
    <row r="4946" spans="1:19" hidden="1" x14ac:dyDescent="0.25">
      <c r="A4946">
        <v>41500231</v>
      </c>
      <c r="B4946" t="s">
        <v>18</v>
      </c>
      <c r="C4946" t="s">
        <v>23</v>
      </c>
      <c r="D4946">
        <v>30</v>
      </c>
      <c r="E4946">
        <v>10</v>
      </c>
      <c r="F4946">
        <v>20</v>
      </c>
      <c r="G4946">
        <v>1</v>
      </c>
      <c r="H4946" s="1">
        <v>2.5694444444444445E-3</v>
      </c>
      <c r="I4946" t="s">
        <v>57</v>
      </c>
      <c r="J4946" t="s">
        <v>20</v>
      </c>
      <c r="K4946" s="2" t="str">
        <f>HYPERLINK("https://www.nba.com/stats/events?CFID=&amp;CFPARAMS=&amp;GameEventID=75&amp;GameID=0041500231&amp;Season=2015-16&amp;flag=1&amp;title=Leonard%20%20Dunk%20(12%20PTS)%20(Ginobili%202%20AST)", "Leonard  Dunk (12 PTS) (Ginobili 2 AST)")</f>
        <v>Leonard  Dunk (12 PTS) (Ginobili 2 AST)</v>
      </c>
      <c r="L4946" s="2" t="str">
        <f>HYPERLINK("https://www.nba.com/game/...-vs-...-0041500231/play-by-play?watchFullGame=true", "SAS vs OKC - Q1 03:42.00")</f>
        <v>SAS vs OKC - Q1 03:42.00</v>
      </c>
      <c r="M4946">
        <v>0</v>
      </c>
      <c r="N4946">
        <v>0</v>
      </c>
      <c r="O4946">
        <v>1</v>
      </c>
      <c r="P4946">
        <v>0</v>
      </c>
      <c r="Q4946">
        <v>1</v>
      </c>
      <c r="R4946" t="s">
        <v>21</v>
      </c>
      <c r="S4946" t="s">
        <v>21</v>
      </c>
    </row>
    <row r="4947" spans="1:19" hidden="1" x14ac:dyDescent="0.25">
      <c r="A4947">
        <v>21600525</v>
      </c>
      <c r="B4947" t="s">
        <v>18</v>
      </c>
      <c r="C4947" t="s">
        <v>23</v>
      </c>
      <c r="D4947">
        <v>48</v>
      </c>
      <c r="E4947">
        <v>32</v>
      </c>
      <c r="F4947">
        <v>16</v>
      </c>
      <c r="G4947">
        <v>2</v>
      </c>
      <c r="H4947" s="1">
        <v>2.5694444444444445E-3</v>
      </c>
      <c r="I4947">
        <v>2016</v>
      </c>
      <c r="J4947" t="s">
        <v>20</v>
      </c>
      <c r="K4947" s="2" t="str">
        <f>HYPERLINK("https://www.nba.com/stats/events?CFID=&amp;CFPARAMS=&amp;GameEventID=208&amp;GameID=0021600525&amp;Season=2016-17&amp;flag=1&amp;title=Leonard%20%20Dunk%20(15%20PTS)%20(Green%201%20AST)", "Leonard  Dunk (15 PTS) (Green 1 AST)")</f>
        <v>Leonard  Dunk (15 PTS) (Green 1 AST)</v>
      </c>
      <c r="L4947" s="2" t="str">
        <f>HYPERLINK("https://www.nba.com/game/...-vs-...-0021600525/play-by-play?watchFullGame=true", "SAS vs TOR - Q2 03:42.00")</f>
        <v>SAS vs TOR - Q2 03:42.00</v>
      </c>
      <c r="M4947">
        <v>0</v>
      </c>
      <c r="N4947">
        <v>0</v>
      </c>
      <c r="O4947">
        <v>1</v>
      </c>
      <c r="P4947">
        <v>0</v>
      </c>
      <c r="Q4947">
        <v>1</v>
      </c>
      <c r="R4947" t="s">
        <v>21</v>
      </c>
      <c r="S4947" t="s">
        <v>21</v>
      </c>
    </row>
    <row r="4948" spans="1:19" hidden="1" x14ac:dyDescent="0.25">
      <c r="A4948">
        <v>21300224</v>
      </c>
      <c r="B4948" t="s">
        <v>18</v>
      </c>
      <c r="C4948" t="s">
        <v>24</v>
      </c>
      <c r="D4948">
        <v>42</v>
      </c>
      <c r="E4948">
        <v>39</v>
      </c>
      <c r="F4948">
        <v>3</v>
      </c>
      <c r="G4948">
        <v>2</v>
      </c>
      <c r="H4948" s="1">
        <v>1.6782407407407408E-3</v>
      </c>
      <c r="I4948">
        <v>2013</v>
      </c>
      <c r="J4948" t="s">
        <v>20</v>
      </c>
      <c r="K4948" s="2" t="str">
        <f>HYPERLINK("https://www.nba.com/stats/events?CFID=&amp;CFPARAMS=&amp;GameEventID=202&amp;GameID=0021300224&amp;Season=2013-14&amp;flag=1&amp;title=Leonard%201'%20Layup%20(13%20PTS)%20(Ginobili%201%20AST)", "Leonard 1' Layup (13 PTS) (Ginobili 1 AST)")</f>
        <v>Leonard 1' Layup (13 PTS) (Ginobili 1 AST)</v>
      </c>
      <c r="L4948" s="2" t="str">
        <f>HYPERLINK("https://www.nba.com/game/...-vs-...-0021300224/play-by-play?watchFullGame=true", "SAS vs OKC - Q2 02:25.00")</f>
        <v>SAS vs OKC - Q2 02:25.00</v>
      </c>
      <c r="M4948">
        <v>1</v>
      </c>
      <c r="N4948">
        <v>9</v>
      </c>
      <c r="O4948">
        <v>-2</v>
      </c>
      <c r="P4948">
        <v>9</v>
      </c>
      <c r="Q4948">
        <v>-2</v>
      </c>
      <c r="R4948" t="s">
        <v>21</v>
      </c>
      <c r="S4948" t="s">
        <v>21</v>
      </c>
    </row>
    <row r="4949" spans="1:19" hidden="1" x14ac:dyDescent="0.25">
      <c r="A4949">
        <v>41600156</v>
      </c>
      <c r="B4949" t="s">
        <v>18</v>
      </c>
      <c r="C4949" t="s">
        <v>24</v>
      </c>
      <c r="D4949">
        <v>42</v>
      </c>
      <c r="E4949">
        <v>45</v>
      </c>
      <c r="F4949">
        <v>3</v>
      </c>
      <c r="G4949">
        <v>2</v>
      </c>
      <c r="H4949" s="1">
        <v>1.724537037037037E-3</v>
      </c>
      <c r="I4949" t="s">
        <v>58</v>
      </c>
      <c r="J4949" t="s">
        <v>20</v>
      </c>
      <c r="K4949" s="2" t="str">
        <f>HYPERLINK("https://www.nba.com/stats/events?CFID=&amp;CFPARAMS=&amp;GameEventID=185&amp;GameID=0041600156&amp;Season=2016-17&amp;flag=1&amp;title=Leonard%201'%20Layup%20(12%20PTS)%20(Aldridge%201%20AST)", "Leonard 1' Layup (12 PTS) (Aldridge 1 AST)")</f>
        <v>Leonard 1' Layup (12 PTS) (Aldridge 1 AST)</v>
      </c>
      <c r="L4949" s="2" t="str">
        <f>HYPERLINK("https://www.nba.com/game/...-vs-...-0041600156/play-by-play?watchFullGame=true", "SAS vs MEM - Q2 02:29.00")</f>
        <v>SAS vs MEM - Q2 02:29.00</v>
      </c>
      <c r="M4949">
        <v>1</v>
      </c>
      <c r="N4949">
        <v>-12</v>
      </c>
      <c r="O4949">
        <v>0</v>
      </c>
      <c r="P4949">
        <v>-12</v>
      </c>
      <c r="Q4949">
        <v>0</v>
      </c>
      <c r="R4949" t="s">
        <v>21</v>
      </c>
      <c r="S4949" t="s">
        <v>21</v>
      </c>
    </row>
    <row r="4950" spans="1:19" hidden="1" x14ac:dyDescent="0.25">
      <c r="A4950">
        <v>21601135</v>
      </c>
      <c r="B4950" t="s">
        <v>18</v>
      </c>
      <c r="C4950" t="s">
        <v>22</v>
      </c>
      <c r="D4950">
        <v>63</v>
      </c>
      <c r="E4950">
        <v>71</v>
      </c>
      <c r="F4950">
        <v>8</v>
      </c>
      <c r="G4950">
        <v>3</v>
      </c>
      <c r="H4950" s="1">
        <v>1.724537037037037E-3</v>
      </c>
      <c r="I4950">
        <v>2016</v>
      </c>
      <c r="J4950" t="s">
        <v>20</v>
      </c>
      <c r="K4950" s="2" t="str">
        <f>HYPERLINK("https://www.nba.com/stats/events?CFID=&amp;CFPARAMS=&amp;GameEventID=405&amp;GameID=0021601135&amp;Season=2016-17&amp;flag=1&amp;title=Leonard%201'%20Driving%20Layup%20(16%20PTS)", "Leonard 1' Driving Layup (16 PTS)")</f>
        <v>Leonard 1' Driving Layup (16 PTS)</v>
      </c>
      <c r="L4950" s="2" t="str">
        <f>HYPERLINK("https://www.nba.com/game/...-vs-...-0021601135/play-by-play?watchFullGame=true", "SAS vs OKC - Q3 02:29.00")</f>
        <v>SAS vs OKC - Q3 02:29.00</v>
      </c>
      <c r="M4950">
        <v>1</v>
      </c>
      <c r="N4950">
        <v>12</v>
      </c>
      <c r="O4950">
        <v>-5</v>
      </c>
      <c r="P4950">
        <v>12</v>
      </c>
      <c r="Q4950">
        <v>-5</v>
      </c>
      <c r="R4950" t="s">
        <v>21</v>
      </c>
      <c r="S4950" t="s">
        <v>21</v>
      </c>
    </row>
    <row r="4951" spans="1:19" hidden="1" x14ac:dyDescent="0.25">
      <c r="A4951">
        <v>21600213</v>
      </c>
      <c r="B4951" t="s">
        <v>18</v>
      </c>
      <c r="C4951" t="s">
        <v>72</v>
      </c>
      <c r="D4951">
        <v>77</v>
      </c>
      <c r="E4951">
        <v>73</v>
      </c>
      <c r="F4951">
        <v>4</v>
      </c>
      <c r="G4951">
        <v>3</v>
      </c>
      <c r="H4951" s="1">
        <v>2.6157407407407405E-3</v>
      </c>
      <c r="I4951">
        <v>2016</v>
      </c>
      <c r="J4951" t="s">
        <v>20</v>
      </c>
      <c r="K4951" s="2" t="str">
        <f>HYPERLINK("https://www.nba.com/stats/events?CFID=&amp;CFPARAMS=&amp;GameEventID=317&amp;GameID=0021600213&amp;Season=2016-17&amp;flag=1&amp;title=Leonard%20%20Putback%20Dunk%20(24%20PTS)", "Leonard  Putback Dunk (24 PTS)")</f>
        <v>Leonard  Putback Dunk (24 PTS)</v>
      </c>
      <c r="L4951" s="2" t="str">
        <f>HYPERLINK("https://www.nba.com/game/...-vs-...-0021600213/play-by-play?watchFullGame=true", "SAS vs CHA - Q3 03:46.00")</f>
        <v>SAS vs CHA - Q3 03:46.00</v>
      </c>
      <c r="M4951">
        <v>0</v>
      </c>
      <c r="N4951">
        <v>0</v>
      </c>
      <c r="O4951">
        <v>1</v>
      </c>
      <c r="P4951">
        <v>0</v>
      </c>
      <c r="Q4951">
        <v>1</v>
      </c>
      <c r="R4951" t="s">
        <v>21</v>
      </c>
      <c r="S4951" t="s">
        <v>21</v>
      </c>
    </row>
    <row r="4952" spans="1:19" hidden="1" x14ac:dyDescent="0.25">
      <c r="A4952">
        <v>21400266</v>
      </c>
      <c r="B4952" t="s">
        <v>18</v>
      </c>
      <c r="C4952" t="s">
        <v>28</v>
      </c>
      <c r="D4952">
        <v>13</v>
      </c>
      <c r="E4952">
        <v>15</v>
      </c>
      <c r="F4952">
        <v>2</v>
      </c>
      <c r="G4952">
        <v>1</v>
      </c>
      <c r="H4952" s="1">
        <v>1.7476851851851852E-3</v>
      </c>
      <c r="I4952">
        <v>2014</v>
      </c>
      <c r="J4952" t="s">
        <v>20</v>
      </c>
      <c r="K4952" s="2" t="str">
        <f>HYPERLINK("https://www.nba.com/stats/events?CFID=&amp;CFPARAMS=&amp;GameEventID=90&amp;GameID=0021400266&amp;Season=2014-15&amp;flag=1&amp;title=Leonard%201'%20Tip%20Shot%20(6%20PTS)", "Leonard 1' Tip Shot (6 PTS)")</f>
        <v>Leonard 1' Tip Shot (6 PTS)</v>
      </c>
      <c r="L4952" s="2" t="str">
        <f>HYPERLINK("https://www.nba.com/game/...-vs-...-0021400266/play-by-play?watchFullGame=true", "SAS vs BKN - Q1 02:31.00")</f>
        <v>SAS vs BKN - Q1 02:31.00</v>
      </c>
      <c r="M4952">
        <v>1</v>
      </c>
      <c r="N4952">
        <v>0</v>
      </c>
      <c r="O4952">
        <v>14</v>
      </c>
      <c r="P4952">
        <v>0</v>
      </c>
      <c r="Q4952">
        <v>14</v>
      </c>
      <c r="R4952" t="s">
        <v>21</v>
      </c>
      <c r="S4952" t="s">
        <v>21</v>
      </c>
    </row>
    <row r="4953" spans="1:19" hidden="1" x14ac:dyDescent="0.25">
      <c r="A4953">
        <v>21300349</v>
      </c>
      <c r="B4953" t="s">
        <v>18</v>
      </c>
      <c r="C4953" t="s">
        <v>24</v>
      </c>
      <c r="D4953">
        <v>95</v>
      </c>
      <c r="E4953">
        <v>79</v>
      </c>
      <c r="F4953">
        <v>16</v>
      </c>
      <c r="G4953">
        <v>4</v>
      </c>
      <c r="H4953" s="1">
        <v>1.7708333333333332E-3</v>
      </c>
      <c r="I4953">
        <v>2013</v>
      </c>
      <c r="J4953" t="s">
        <v>20</v>
      </c>
      <c r="K4953" s="2" t="str">
        <f>HYPERLINK("https://www.nba.com/stats/events?CFID=&amp;CFPARAMS=&amp;GameEventID=428&amp;GameID=0021300349&amp;Season=2013-14&amp;flag=1&amp;title=Leonard%201'%20Layup%20(13%20PTS)", "Leonard 1' Layup (13 PTS)")</f>
        <v>Leonard 1' Layup (13 PTS)</v>
      </c>
      <c r="L4953" s="2" t="str">
        <f>HYPERLINK("https://www.nba.com/game/...-vs-...-0021300349/play-by-play?watchFullGame=true", "SAS vs UTA - Q4 02:33.00")</f>
        <v>SAS vs UTA - Q4 02:33.00</v>
      </c>
      <c r="M4953">
        <v>1</v>
      </c>
      <c r="N4953">
        <v>-10</v>
      </c>
      <c r="O4953">
        <v>4</v>
      </c>
      <c r="P4953">
        <v>-10</v>
      </c>
      <c r="Q4953">
        <v>4</v>
      </c>
      <c r="R4953" t="s">
        <v>21</v>
      </c>
      <c r="S4953" t="s">
        <v>21</v>
      </c>
    </row>
    <row r="4954" spans="1:19" hidden="1" x14ac:dyDescent="0.25">
      <c r="A4954">
        <v>21500516</v>
      </c>
      <c r="B4954" t="s">
        <v>18</v>
      </c>
      <c r="C4954" t="s">
        <v>51</v>
      </c>
      <c r="D4954">
        <v>83</v>
      </c>
      <c r="E4954">
        <v>69</v>
      </c>
      <c r="F4954">
        <v>14</v>
      </c>
      <c r="G4954">
        <v>3</v>
      </c>
      <c r="H4954" s="1">
        <v>1.7939814814814815E-3</v>
      </c>
      <c r="I4954">
        <v>2015</v>
      </c>
      <c r="J4954" t="s">
        <v>20</v>
      </c>
      <c r="K4954" s="2" t="str">
        <f>HYPERLINK("https://www.nba.com/stats/events?CFID=&amp;CFPARAMS=&amp;GameEventID=380&amp;GameID=0021500516&amp;Season=2015-16&amp;flag=1&amp;title=Leonard%201'%20Running%20Layup%20(20%20PTS)%20(Ginobili%205%20AST)", "Leonard 1' Running Layup (20 PTS) (Ginobili 5 AST)")</f>
        <v>Leonard 1' Running Layup (20 PTS) (Ginobili 5 AST)</v>
      </c>
      <c r="L4954" s="2" t="str">
        <f>HYPERLINK("https://www.nba.com/game/...-vs-...-0021500516/play-by-play?watchFullGame=true", "SAS vs MIL - Q3 02:35.00")</f>
        <v>SAS vs MIL - Q3 02:35.00</v>
      </c>
      <c r="M4954">
        <v>1</v>
      </c>
      <c r="N4954">
        <v>-2</v>
      </c>
      <c r="O4954">
        <v>8</v>
      </c>
      <c r="P4954">
        <v>-2</v>
      </c>
      <c r="Q4954">
        <v>8</v>
      </c>
      <c r="R4954" t="s">
        <v>21</v>
      </c>
      <c r="S4954" t="s">
        <v>21</v>
      </c>
    </row>
    <row r="4955" spans="1:19" hidden="1" x14ac:dyDescent="0.25">
      <c r="A4955">
        <v>21400191</v>
      </c>
      <c r="B4955" t="s">
        <v>18</v>
      </c>
      <c r="C4955" t="s">
        <v>24</v>
      </c>
      <c r="D4955">
        <v>18</v>
      </c>
      <c r="E4955">
        <v>11</v>
      </c>
      <c r="F4955">
        <v>7</v>
      </c>
      <c r="G4955">
        <v>1</v>
      </c>
      <c r="H4955" s="1">
        <v>1.8287037037037037E-3</v>
      </c>
      <c r="I4955">
        <v>2014</v>
      </c>
      <c r="J4955" t="s">
        <v>20</v>
      </c>
      <c r="K4955" s="2" t="str">
        <f>HYPERLINK("https://www.nba.com/stats/events?CFID=&amp;CFPARAMS=&amp;GameEventID=70&amp;GameID=0021400191&amp;Season=2014-15&amp;flag=1&amp;title=Leonard%201'%20Layup%20(6%20PTS)%20(Duncan%203%20AST)", "Leonard 1' Layup (6 PTS) (Duncan 3 AST)")</f>
        <v>Leonard 1' Layup (6 PTS) (Duncan 3 AST)</v>
      </c>
      <c r="L4955" s="2" t="str">
        <f>HYPERLINK("https://www.nba.com/game/...-vs-...-0021400191/play-by-play?watchFullGame=true", "SAS vs BKN - Q1 02:38.00")</f>
        <v>SAS vs BKN - Q1 02:38.00</v>
      </c>
      <c r="M4955">
        <v>1</v>
      </c>
      <c r="N4955">
        <v>9</v>
      </c>
      <c r="O4955">
        <v>7</v>
      </c>
      <c r="P4955">
        <v>9</v>
      </c>
      <c r="Q4955">
        <v>7</v>
      </c>
      <c r="R4955" t="s">
        <v>21</v>
      </c>
      <c r="S4955" t="s">
        <v>21</v>
      </c>
    </row>
    <row r="4956" spans="1:19" hidden="1" x14ac:dyDescent="0.25">
      <c r="A4956">
        <v>21400875</v>
      </c>
      <c r="B4956" t="s">
        <v>18</v>
      </c>
      <c r="C4956" t="s">
        <v>22</v>
      </c>
      <c r="D4956">
        <v>44</v>
      </c>
      <c r="E4956">
        <v>24</v>
      </c>
      <c r="F4956">
        <v>20</v>
      </c>
      <c r="G4956">
        <v>2</v>
      </c>
      <c r="H4956" s="1">
        <v>1.8402777777777777E-3</v>
      </c>
      <c r="I4956">
        <v>2014</v>
      </c>
      <c r="J4956" t="s">
        <v>20</v>
      </c>
      <c r="K4956" s="2" t="str">
        <f>HYPERLINK("https://www.nba.com/stats/events?CFID=&amp;CFPARAMS=&amp;GameEventID=254&amp;GameID=0021400875&amp;Season=2014-15&amp;flag=1&amp;title=Leonard%201'%20Driving%20Layup%20(9%20PTS)%20(Duncan%201%20AST)", "Leonard 1' Driving Layup (9 PTS) (Duncan 1 AST)")</f>
        <v>Leonard 1' Driving Layup (9 PTS) (Duncan 1 AST)</v>
      </c>
      <c r="L4956" s="2" t="str">
        <f>HYPERLINK("https://www.nba.com/game/...-vs-...-0021400875/play-by-play?watchFullGame=true", "SAS vs PHX - Q2 02:39.00")</f>
        <v>SAS vs PHX - Q2 02:39.00</v>
      </c>
      <c r="M4956">
        <v>1</v>
      </c>
      <c r="N4956">
        <v>2</v>
      </c>
      <c r="O4956">
        <v>9</v>
      </c>
      <c r="P4956">
        <v>2</v>
      </c>
      <c r="Q4956">
        <v>9</v>
      </c>
      <c r="R4956" t="s">
        <v>21</v>
      </c>
      <c r="S4956" t="s">
        <v>21</v>
      </c>
    </row>
    <row r="4957" spans="1:19" hidden="1" x14ac:dyDescent="0.25">
      <c r="A4957">
        <v>21800909</v>
      </c>
      <c r="B4957" t="s">
        <v>18</v>
      </c>
      <c r="C4957" t="s">
        <v>40</v>
      </c>
      <c r="D4957">
        <v>24</v>
      </c>
      <c r="E4957">
        <v>21</v>
      </c>
      <c r="F4957">
        <v>3</v>
      </c>
      <c r="G4957">
        <v>1</v>
      </c>
      <c r="H4957" s="1">
        <v>1.8749999999999999E-3</v>
      </c>
      <c r="I4957">
        <v>2018</v>
      </c>
      <c r="J4957" t="s">
        <v>48</v>
      </c>
      <c r="K4957" s="2" t="str">
        <f>HYPERLINK("https://www.nba.com/stats/events?CFID=&amp;CFPARAMS=&amp;GameEventID=114&amp;GameID=0021800909&amp;Season=2018-19&amp;flag=1&amp;title=Leonard%201'%20Driving%20Finger%20Roll%20Layup%20(4%20PTS)%20(Gasol%201%20AST)", "Leonard 1' Driving Finger Roll Layup (4 PTS) (Gasol 1 AST)")</f>
        <v>Leonard 1' Driving Finger Roll Layup (4 PTS) (Gasol 1 AST)</v>
      </c>
      <c r="L4957" s="2" t="str">
        <f>HYPERLINK("https://www.nba.com/game/...-vs-...-0021800909/play-by-play?watchFullGame=true", "TOR vs BOS - Q1 02:42.00")</f>
        <v>TOR vs BOS - Q1 02:42.00</v>
      </c>
      <c r="M4957">
        <v>1</v>
      </c>
      <c r="N4957">
        <v>3</v>
      </c>
      <c r="O4957">
        <v>5</v>
      </c>
      <c r="P4957">
        <v>3</v>
      </c>
      <c r="Q4957">
        <v>5</v>
      </c>
      <c r="R4957" t="s">
        <v>21</v>
      </c>
      <c r="S4957" t="s">
        <v>21</v>
      </c>
    </row>
    <row r="4958" spans="1:19" hidden="1" x14ac:dyDescent="0.25">
      <c r="A4958">
        <v>21500061</v>
      </c>
      <c r="B4958" t="s">
        <v>18</v>
      </c>
      <c r="C4958" t="s">
        <v>22</v>
      </c>
      <c r="D4958">
        <v>51</v>
      </c>
      <c r="E4958">
        <v>39</v>
      </c>
      <c r="F4958">
        <v>12</v>
      </c>
      <c r="G4958">
        <v>2</v>
      </c>
      <c r="H4958" s="1">
        <v>1.8865740740740742E-3</v>
      </c>
      <c r="I4958">
        <v>2015</v>
      </c>
      <c r="J4958" t="s">
        <v>20</v>
      </c>
      <c r="K4958" s="2" t="str">
        <f>HYPERLINK("https://www.nba.com/stats/events?CFID=&amp;CFPARAMS=&amp;GameEventID=207&amp;GameID=0021500061&amp;Season=2015-16&amp;flag=1&amp;title=Leonard%201'%20Driving%20Layup%20(18%20PTS)", "Leonard 1' Driving Layup (18 PTS)")</f>
        <v>Leonard 1' Driving Layup (18 PTS)</v>
      </c>
      <c r="L4958" s="2" t="str">
        <f>HYPERLINK("https://www.nba.com/game/...-vs-...-0021500061/play-by-play?watchFullGame=true", "SAS vs WAS - Q2 02:43.00")</f>
        <v>SAS vs WAS - Q2 02:43.00</v>
      </c>
      <c r="M4958">
        <v>1</v>
      </c>
      <c r="N4958">
        <v>-9</v>
      </c>
      <c r="O4958">
        <v>-1</v>
      </c>
      <c r="P4958">
        <v>-9</v>
      </c>
      <c r="Q4958">
        <v>-1</v>
      </c>
      <c r="R4958" t="s">
        <v>21</v>
      </c>
      <c r="S4958" t="s">
        <v>21</v>
      </c>
    </row>
    <row r="4959" spans="1:19" hidden="1" x14ac:dyDescent="0.25">
      <c r="A4959">
        <v>21501036</v>
      </c>
      <c r="B4959" t="s">
        <v>18</v>
      </c>
      <c r="C4959" t="s">
        <v>23</v>
      </c>
      <c r="D4959">
        <v>38</v>
      </c>
      <c r="E4959">
        <v>28</v>
      </c>
      <c r="F4959">
        <v>10</v>
      </c>
      <c r="G4959">
        <v>2</v>
      </c>
      <c r="H4959" s="1">
        <v>2.6157407407407405E-3</v>
      </c>
      <c r="I4959">
        <v>2015</v>
      </c>
      <c r="J4959" t="s">
        <v>20</v>
      </c>
      <c r="K4959" s="2" t="str">
        <f>HYPERLINK("https://www.nba.com/stats/events?CFID=&amp;CFPARAMS=&amp;GameEventID=209&amp;GameID=0021501036&amp;Season=2015-16&amp;flag=1&amp;title=Leonard%20%20Dunk%20(10%20PTS)%20(Anderson%201%20AST)", "Leonard  Dunk (10 PTS) (Anderson 1 AST)")</f>
        <v>Leonard  Dunk (10 PTS) (Anderson 1 AST)</v>
      </c>
      <c r="L4959" s="2" t="str">
        <f>HYPERLINK("https://www.nba.com/game/...-vs-...-0021501036/play-by-play?watchFullGame=true", "SAS vs GSW - Q2 03:46.00")</f>
        <v>SAS vs GSW - Q2 03:46.00</v>
      </c>
      <c r="M4959">
        <v>0</v>
      </c>
      <c r="N4959">
        <v>0</v>
      </c>
      <c r="O4959">
        <v>1</v>
      </c>
      <c r="P4959">
        <v>0</v>
      </c>
      <c r="Q4959">
        <v>1</v>
      </c>
      <c r="R4959" t="s">
        <v>21</v>
      </c>
      <c r="S4959" t="s">
        <v>21</v>
      </c>
    </row>
    <row r="4960" spans="1:19" hidden="1" x14ac:dyDescent="0.25">
      <c r="A4960">
        <v>21500767</v>
      </c>
      <c r="B4960" t="s">
        <v>18</v>
      </c>
      <c r="C4960" t="s">
        <v>35</v>
      </c>
      <c r="D4960">
        <v>47</v>
      </c>
      <c r="E4960">
        <v>42</v>
      </c>
      <c r="F4960">
        <v>5</v>
      </c>
      <c r="G4960">
        <v>2</v>
      </c>
      <c r="H4960" s="1">
        <v>1.8865740740740742E-3</v>
      </c>
      <c r="I4960">
        <v>2015</v>
      </c>
      <c r="J4960" t="s">
        <v>20</v>
      </c>
      <c r="K4960" s="2" t="str">
        <f>HYPERLINK("https://www.nba.com/stats/events?CFID=&amp;CFPARAMS=&amp;GameEventID=237&amp;GameID=0021500767&amp;Season=2015-16&amp;flag=1&amp;title=Leonard%201'%20Reverse%20Layup%20(9%20PTS)%20(Marjanovic%201%20AST)", "Leonard 1' Reverse Layup (9 PTS) (Marjanovic 1 AST)")</f>
        <v>Leonard 1' Reverse Layup (9 PTS) (Marjanovic 1 AST)</v>
      </c>
      <c r="L4960" s="2" t="str">
        <f>HYPERLINK("https://www.nba.com/game/...-vs-...-0021500767/play-by-play?watchFullGame=true", "SAS vs LAL - Q2 02:43.00")</f>
        <v>SAS vs LAL - Q2 02:43.00</v>
      </c>
      <c r="M4960">
        <v>1</v>
      </c>
      <c r="N4960">
        <v>9</v>
      </c>
      <c r="O4960">
        <v>-6</v>
      </c>
      <c r="P4960">
        <v>9</v>
      </c>
      <c r="Q4960">
        <v>-6</v>
      </c>
      <c r="R4960" t="s">
        <v>21</v>
      </c>
      <c r="S4960" t="s">
        <v>21</v>
      </c>
    </row>
    <row r="4961" spans="1:19" hidden="1" x14ac:dyDescent="0.25">
      <c r="A4961">
        <v>21400231</v>
      </c>
      <c r="B4961" t="s">
        <v>18</v>
      </c>
      <c r="C4961" t="s">
        <v>24</v>
      </c>
      <c r="D4961">
        <v>18</v>
      </c>
      <c r="E4961">
        <v>16</v>
      </c>
      <c r="F4961">
        <v>2</v>
      </c>
      <c r="G4961">
        <v>1</v>
      </c>
      <c r="H4961" s="1">
        <v>1.8981481481481482E-3</v>
      </c>
      <c r="I4961">
        <v>2014</v>
      </c>
      <c r="J4961" t="s">
        <v>20</v>
      </c>
      <c r="K4961" s="2" t="str">
        <f>HYPERLINK("https://www.nba.com/stats/events?CFID=&amp;CFPARAMS=&amp;GameEventID=82&amp;GameID=0021400231&amp;Season=2014-15&amp;flag=1&amp;title=Leonard%201'%20Layup%20(2%20PTS)%20(Ginobili%202%20AST)", "Leonard 1' Layup (2 PTS) (Ginobili 2 AST)")</f>
        <v>Leonard 1' Layup (2 PTS) (Ginobili 2 AST)</v>
      </c>
      <c r="L4961" s="2" t="str">
        <f>HYPERLINK("https://www.nba.com/game/...-vs-...-0021400231/play-by-play?watchFullGame=true", "SAS vs SAC - Q1 02:44.00")</f>
        <v>SAS vs SAC - Q1 02:44.00</v>
      </c>
      <c r="M4961">
        <v>1</v>
      </c>
      <c r="N4961">
        <v>10</v>
      </c>
      <c r="O4961">
        <v>6</v>
      </c>
      <c r="P4961">
        <v>10</v>
      </c>
      <c r="Q4961">
        <v>6</v>
      </c>
      <c r="R4961" t="s">
        <v>21</v>
      </c>
      <c r="S4961" t="s">
        <v>21</v>
      </c>
    </row>
    <row r="4962" spans="1:19" hidden="1" x14ac:dyDescent="0.25">
      <c r="A4962">
        <v>21801214</v>
      </c>
      <c r="B4962" t="s">
        <v>18</v>
      </c>
      <c r="C4962" t="s">
        <v>32</v>
      </c>
      <c r="D4962">
        <v>21</v>
      </c>
      <c r="E4962">
        <v>23</v>
      </c>
      <c r="F4962">
        <v>2</v>
      </c>
      <c r="G4962">
        <v>1</v>
      </c>
      <c r="H4962" s="1">
        <v>1.9328703703703704E-3</v>
      </c>
      <c r="I4962">
        <v>2018</v>
      </c>
      <c r="J4962" t="s">
        <v>48</v>
      </c>
      <c r="K4962" s="2" t="str">
        <f>HYPERLINK("https://www.nba.com/stats/events?CFID=&amp;CFPARAMS=&amp;GameEventID=110&amp;GameID=0021801214&amp;Season=2018-19&amp;flag=1&amp;title=Leonard%201'%20Alley%20Oop%20Layup%20(5%20PTS)%20(VanVleet%202%20AST)", "Leonard 1' Alley Oop Layup (5 PTS) (VanVleet 2 AST)")</f>
        <v>Leonard 1' Alley Oop Layup (5 PTS) (VanVleet 2 AST)</v>
      </c>
      <c r="L4962" s="2" t="str">
        <f>HYPERLINK("https://www.nba.com/game/...-vs-...-0021801214/play-by-play?watchFullGame=true", "TOR vs MIN - Q1 02:47.00")</f>
        <v>TOR vs MIN - Q1 02:47.00</v>
      </c>
      <c r="M4962">
        <v>1</v>
      </c>
      <c r="N4962">
        <v>5</v>
      </c>
      <c r="O4962">
        <v>6</v>
      </c>
      <c r="P4962">
        <v>5</v>
      </c>
      <c r="Q4962">
        <v>6</v>
      </c>
      <c r="R4962" t="s">
        <v>21</v>
      </c>
      <c r="S4962" t="s">
        <v>21</v>
      </c>
    </row>
    <row r="4963" spans="1:19" hidden="1" x14ac:dyDescent="0.25">
      <c r="A4963">
        <v>41300311</v>
      </c>
      <c r="B4963" t="s">
        <v>18</v>
      </c>
      <c r="C4963" t="s">
        <v>24</v>
      </c>
      <c r="D4963">
        <v>63</v>
      </c>
      <c r="E4963">
        <v>48</v>
      </c>
      <c r="F4963">
        <v>15</v>
      </c>
      <c r="G4963">
        <v>2</v>
      </c>
      <c r="H4963" s="1">
        <v>1.9444444444444444E-3</v>
      </c>
      <c r="I4963" t="s">
        <v>55</v>
      </c>
      <c r="J4963" t="s">
        <v>20</v>
      </c>
      <c r="K4963" s="2" t="str">
        <f>HYPERLINK("https://www.nba.com/stats/events?CFID=&amp;CFPARAMS=&amp;GameEventID=209&amp;GameID=0041300311&amp;Season=2013-14&amp;flag=1&amp;title=Leonard%201'%20Layup%20(11%20PTS)%20(Parker%206%20AST)", "Leonard 1' Layup (11 PTS) (Parker 6 AST)")</f>
        <v>Leonard 1' Layup (11 PTS) (Parker 6 AST)</v>
      </c>
      <c r="L4963" s="2" t="str">
        <f>HYPERLINK("https://www.nba.com/game/...-vs-...-0041300311/play-by-play?watchFullGame=true", "SAS vs OKC - Q2 02:48.00")</f>
        <v>SAS vs OKC - Q2 02:48.00</v>
      </c>
      <c r="M4963">
        <v>1</v>
      </c>
      <c r="N4963">
        <v>13</v>
      </c>
      <c r="O4963">
        <v>3</v>
      </c>
      <c r="P4963">
        <v>13</v>
      </c>
      <c r="Q4963">
        <v>3</v>
      </c>
      <c r="R4963" t="s">
        <v>21</v>
      </c>
      <c r="S4963" t="s">
        <v>21</v>
      </c>
    </row>
    <row r="4964" spans="1:19" hidden="1" x14ac:dyDescent="0.25">
      <c r="A4964">
        <v>21500342</v>
      </c>
      <c r="B4964" t="s">
        <v>18</v>
      </c>
      <c r="C4964" t="s">
        <v>50</v>
      </c>
      <c r="D4964">
        <v>17</v>
      </c>
      <c r="E4964">
        <v>21</v>
      </c>
      <c r="F4964">
        <v>4</v>
      </c>
      <c r="G4964">
        <v>1</v>
      </c>
      <c r="H4964" s="1">
        <v>2.650462962962963E-3</v>
      </c>
      <c r="I4964">
        <v>2015</v>
      </c>
      <c r="J4964" t="s">
        <v>20</v>
      </c>
      <c r="K4964" s="2" t="str">
        <f>HYPERLINK("https://www.nba.com/stats/events?CFID=&amp;CFPARAMS=&amp;GameEventID=59&amp;GameID=0021500342&amp;Season=2015-16&amp;flag=1&amp;title=Leonard%20%20Running%20Dunk%20(4%20PTS)", "Leonard  Running Dunk (4 PTS)")</f>
        <v>Leonard  Running Dunk (4 PTS)</v>
      </c>
      <c r="L4964" s="2" t="str">
        <f>HYPERLINK("https://www.nba.com/game/...-vs-...-0021500342/play-by-play?watchFullGame=true", "SAS vs LAL - Q1 03:49.00")</f>
        <v>SAS vs LAL - Q1 03:49.00</v>
      </c>
      <c r="M4964">
        <v>0</v>
      </c>
      <c r="N4964">
        <v>0</v>
      </c>
      <c r="O4964">
        <v>1</v>
      </c>
      <c r="P4964">
        <v>0</v>
      </c>
      <c r="Q4964">
        <v>1</v>
      </c>
      <c r="R4964" t="s">
        <v>21</v>
      </c>
      <c r="S4964" t="s">
        <v>21</v>
      </c>
    </row>
    <row r="4965" spans="1:19" hidden="1" x14ac:dyDescent="0.25">
      <c r="A4965">
        <v>21301054</v>
      </c>
      <c r="B4965" t="s">
        <v>18</v>
      </c>
      <c r="C4965" t="s">
        <v>22</v>
      </c>
      <c r="D4965">
        <v>23</v>
      </c>
      <c r="E4965">
        <v>19</v>
      </c>
      <c r="F4965">
        <v>4</v>
      </c>
      <c r="G4965">
        <v>1</v>
      </c>
      <c r="H4965" s="1">
        <v>2.0023148148148148E-3</v>
      </c>
      <c r="I4965">
        <v>2013</v>
      </c>
      <c r="J4965" t="s">
        <v>20</v>
      </c>
      <c r="K4965" s="2" t="str">
        <f>HYPERLINK("https://www.nba.com/stats/events?CFID=&amp;CFPARAMS=&amp;GameEventID=76&amp;GameID=0021301054&amp;Season=2013-14&amp;flag=1&amp;title=Leonard%201'%20Driving%20Layup%20(6%20PTS)", "Leonard 1' Driving Layup (6 PTS)")</f>
        <v>Leonard 1' Driving Layup (6 PTS)</v>
      </c>
      <c r="L4965" s="2" t="str">
        <f>HYPERLINK("https://www.nba.com/game/...-vs-...-0021301054/play-by-play?watchFullGame=true", "SAS vs PHI - Q1 02:53.00")</f>
        <v>SAS vs PHI - Q1 02:53.00</v>
      </c>
      <c r="M4965">
        <v>1</v>
      </c>
      <c r="N4965">
        <v>2</v>
      </c>
      <c r="O4965">
        <v>11</v>
      </c>
      <c r="P4965">
        <v>2</v>
      </c>
      <c r="Q4965">
        <v>11</v>
      </c>
      <c r="R4965" t="s">
        <v>21</v>
      </c>
      <c r="S4965" t="s">
        <v>21</v>
      </c>
    </row>
    <row r="4966" spans="1:19" hidden="1" x14ac:dyDescent="0.25">
      <c r="A4966">
        <v>21600902</v>
      </c>
      <c r="B4966" t="s">
        <v>18</v>
      </c>
      <c r="C4966" t="s">
        <v>35</v>
      </c>
      <c r="D4966">
        <v>65</v>
      </c>
      <c r="E4966">
        <v>68</v>
      </c>
      <c r="F4966">
        <v>3</v>
      </c>
      <c r="G4966">
        <v>3</v>
      </c>
      <c r="H4966" s="1">
        <v>2.0138888888888888E-3</v>
      </c>
      <c r="I4966">
        <v>2016</v>
      </c>
      <c r="J4966" t="s">
        <v>20</v>
      </c>
      <c r="K4966" s="2" t="str">
        <f>HYPERLINK("https://www.nba.com/stats/events?CFID=&amp;CFPARAMS=&amp;GameEventID=358&amp;GameID=0021600902&amp;Season=2016-17&amp;flag=1&amp;title=Leonard%201'%20Reverse%20Layup%20(22%20PTS)%20(Gasol%202%20AST)", "Leonard 1' Reverse Layup (22 PTS) (Gasol 2 AST)")</f>
        <v>Leonard 1' Reverse Layup (22 PTS) (Gasol 2 AST)</v>
      </c>
      <c r="L4966" s="2" t="str">
        <f>HYPERLINK("https://www.nba.com/game/...-vs-...-0021600902/play-by-play?watchFullGame=true", "SAS vs IND - Q3 02:54.00")</f>
        <v>SAS vs IND - Q3 02:54.00</v>
      </c>
      <c r="M4966">
        <v>1</v>
      </c>
      <c r="N4966">
        <v>0</v>
      </c>
      <c r="O4966">
        <v>11</v>
      </c>
      <c r="P4966">
        <v>0</v>
      </c>
      <c r="Q4966">
        <v>11</v>
      </c>
      <c r="R4966" t="s">
        <v>21</v>
      </c>
      <c r="S4966" t="s">
        <v>21</v>
      </c>
    </row>
    <row r="4967" spans="1:19" hidden="1" x14ac:dyDescent="0.25">
      <c r="A4967">
        <v>21801214</v>
      </c>
      <c r="B4967" t="s">
        <v>18</v>
      </c>
      <c r="C4967" t="s">
        <v>22</v>
      </c>
      <c r="D4967">
        <v>57</v>
      </c>
      <c r="E4967">
        <v>42</v>
      </c>
      <c r="F4967">
        <v>15</v>
      </c>
      <c r="G4967">
        <v>2</v>
      </c>
      <c r="H4967" s="1">
        <v>2.0486111111111113E-3</v>
      </c>
      <c r="I4967">
        <v>2018</v>
      </c>
      <c r="J4967" t="s">
        <v>48</v>
      </c>
      <c r="K4967" s="2" t="str">
        <f>HYPERLINK("https://www.nba.com/stats/events?CFID=&amp;CFPARAMS=&amp;GameEventID=285&amp;GameID=0021801214&amp;Season=2018-19&amp;flag=1&amp;title=Leonard%201'%20Driving%20Layup%20(11%20PTS)", "Leonard 1' Driving Layup (11 PTS)")</f>
        <v>Leonard 1' Driving Layup (11 PTS)</v>
      </c>
      <c r="L4967" s="2" t="str">
        <f>HYPERLINK("https://www.nba.com/game/...-vs-...-0021801214/play-by-play?watchFullGame=true", "TOR vs MIN - Q2 02:57.00")</f>
        <v>TOR vs MIN - Q2 02:57.00</v>
      </c>
      <c r="M4967">
        <v>1</v>
      </c>
      <c r="N4967">
        <v>-3</v>
      </c>
      <c r="O4967">
        <v>6</v>
      </c>
      <c r="P4967">
        <v>-3</v>
      </c>
      <c r="Q4967">
        <v>6</v>
      </c>
      <c r="R4967" t="s">
        <v>21</v>
      </c>
      <c r="S4967" t="s">
        <v>21</v>
      </c>
    </row>
    <row r="4968" spans="1:19" hidden="1" x14ac:dyDescent="0.25">
      <c r="A4968">
        <v>21400266</v>
      </c>
      <c r="B4968" t="s">
        <v>18</v>
      </c>
      <c r="C4968" t="s">
        <v>28</v>
      </c>
      <c r="D4968">
        <v>77</v>
      </c>
      <c r="E4968">
        <v>82</v>
      </c>
      <c r="F4968">
        <v>5</v>
      </c>
      <c r="G4968">
        <v>4</v>
      </c>
      <c r="H4968" s="1">
        <v>2.0486111111111113E-3</v>
      </c>
      <c r="I4968">
        <v>2014</v>
      </c>
      <c r="J4968" t="s">
        <v>20</v>
      </c>
      <c r="K4968" s="2" t="str">
        <f>HYPERLINK("https://www.nba.com/stats/events?CFID=&amp;CFPARAMS=&amp;GameEventID=436&amp;GameID=0021400266&amp;Season=2014-15&amp;flag=1&amp;title=Leonard%201'%20Tip%20Shot%20(10%20PTS)", "Leonard 1' Tip Shot (10 PTS)")</f>
        <v>Leonard 1' Tip Shot (10 PTS)</v>
      </c>
      <c r="L4968" s="2" t="str">
        <f>HYPERLINK("https://www.nba.com/game/...-vs-...-0021400266/play-by-play?watchFullGame=true", "SAS vs BKN - Q4 02:57.00")</f>
        <v>SAS vs BKN - Q4 02:57.00</v>
      </c>
      <c r="M4968">
        <v>1</v>
      </c>
      <c r="N4968">
        <v>1</v>
      </c>
      <c r="O4968">
        <v>9</v>
      </c>
      <c r="P4968">
        <v>1</v>
      </c>
      <c r="Q4968">
        <v>9</v>
      </c>
      <c r="R4968" t="s">
        <v>21</v>
      </c>
      <c r="S4968" t="s">
        <v>21</v>
      </c>
    </row>
    <row r="4969" spans="1:19" hidden="1" x14ac:dyDescent="0.25">
      <c r="A4969">
        <v>21600213</v>
      </c>
      <c r="B4969" t="s">
        <v>18</v>
      </c>
      <c r="C4969" t="s">
        <v>24</v>
      </c>
      <c r="D4969">
        <v>52</v>
      </c>
      <c r="E4969">
        <v>53</v>
      </c>
      <c r="F4969">
        <v>1</v>
      </c>
      <c r="G4969">
        <v>2</v>
      </c>
      <c r="H4969" s="1">
        <v>2.0717592592592593E-3</v>
      </c>
      <c r="I4969">
        <v>2016</v>
      </c>
      <c r="J4969" t="s">
        <v>20</v>
      </c>
      <c r="K4969" s="2" t="str">
        <f>HYPERLINK("https://www.nba.com/stats/events?CFID=&amp;CFPARAMS=&amp;GameEventID=205&amp;GameID=0021600213&amp;Season=2016-17&amp;flag=1&amp;title=Leonard%201'%20Layup%20(14%20PTS)", "Leonard 1' Layup (14 PTS)")</f>
        <v>Leonard 1' Layup (14 PTS)</v>
      </c>
      <c r="L4969" s="2" t="str">
        <f>HYPERLINK("https://www.nba.com/game/...-vs-...-0021600213/play-by-play?watchFullGame=true", "SAS vs CHA - Q2 02:59.00")</f>
        <v>SAS vs CHA - Q2 02:59.00</v>
      </c>
      <c r="M4969">
        <v>1</v>
      </c>
      <c r="N4969">
        <v>-2</v>
      </c>
      <c r="O4969">
        <v>11</v>
      </c>
      <c r="P4969">
        <v>-2</v>
      </c>
      <c r="Q4969">
        <v>11</v>
      </c>
      <c r="R4969" t="s">
        <v>21</v>
      </c>
      <c r="S4969" t="s">
        <v>21</v>
      </c>
    </row>
    <row r="4970" spans="1:19" hidden="1" x14ac:dyDescent="0.25">
      <c r="A4970">
        <v>21800519</v>
      </c>
      <c r="B4970" t="s">
        <v>18</v>
      </c>
      <c r="C4970" t="s">
        <v>51</v>
      </c>
      <c r="D4970">
        <v>46</v>
      </c>
      <c r="E4970">
        <v>49</v>
      </c>
      <c r="F4970">
        <v>3</v>
      </c>
      <c r="G4970">
        <v>2</v>
      </c>
      <c r="H4970" s="1">
        <v>2.0717592592592593E-3</v>
      </c>
      <c r="I4970">
        <v>2018</v>
      </c>
      <c r="J4970" t="s">
        <v>48</v>
      </c>
      <c r="K4970" s="2" t="str">
        <f>HYPERLINK("https://www.nba.com/stats/events?CFID=&amp;CFPARAMS=&amp;GameEventID=302&amp;GameID=0021800519&amp;Season=2018-19&amp;flag=1&amp;title=Leonard%201'%20Running%20Layup%20(14%20PTS)", "Leonard 1' Running Layup (14 PTS)")</f>
        <v>Leonard 1' Running Layup (14 PTS)</v>
      </c>
      <c r="L4970" s="2" t="str">
        <f>HYPERLINK("https://www.nba.com/game/...-vs-...-0021800519/play-by-play?watchFullGame=true", "TOR vs ORL - Q2 02:59.00")</f>
        <v>TOR vs ORL - Q2 02:59.00</v>
      </c>
      <c r="M4970">
        <v>1</v>
      </c>
      <c r="N4970">
        <v>10</v>
      </c>
      <c r="O4970">
        <v>10</v>
      </c>
      <c r="P4970">
        <v>10</v>
      </c>
      <c r="Q4970">
        <v>10</v>
      </c>
      <c r="R4970" t="s">
        <v>21</v>
      </c>
      <c r="S4970" t="s">
        <v>21</v>
      </c>
    </row>
    <row r="4971" spans="1:19" hidden="1" x14ac:dyDescent="0.25">
      <c r="A4971">
        <v>21500439</v>
      </c>
      <c r="B4971" t="s">
        <v>18</v>
      </c>
      <c r="C4971" t="s">
        <v>50</v>
      </c>
      <c r="D4971">
        <v>36</v>
      </c>
      <c r="E4971">
        <v>36</v>
      </c>
      <c r="F4971">
        <v>0</v>
      </c>
      <c r="G4971">
        <v>2</v>
      </c>
      <c r="H4971" s="1">
        <v>2.685185185185185E-3</v>
      </c>
      <c r="I4971">
        <v>2015</v>
      </c>
      <c r="J4971" t="s">
        <v>20</v>
      </c>
      <c r="K4971" s="2" t="str">
        <f>HYPERLINK("https://www.nba.com/stats/events?CFID=&amp;CFPARAMS=&amp;GameEventID=197&amp;GameID=0021500439&amp;Season=2015-16&amp;flag=1&amp;title=Leonard%20%20Running%20Dunk%20(9%20PTS)", "Leonard  Running Dunk (9 PTS)")</f>
        <v>Leonard  Running Dunk (9 PTS)</v>
      </c>
      <c r="L4971" s="2" t="str">
        <f>HYPERLINK("https://www.nba.com/game/...-vs-...-0021500439/play-by-play?watchFullGame=true", "SAS vs HOU - Q2 03:52.00")</f>
        <v>SAS vs HOU - Q2 03:52.00</v>
      </c>
      <c r="M4971">
        <v>0</v>
      </c>
      <c r="N4971">
        <v>0</v>
      </c>
      <c r="O4971">
        <v>1</v>
      </c>
      <c r="P4971">
        <v>0</v>
      </c>
      <c r="Q4971">
        <v>1</v>
      </c>
      <c r="R4971" t="s">
        <v>21</v>
      </c>
      <c r="S4971" t="s">
        <v>21</v>
      </c>
    </row>
    <row r="4972" spans="1:19" hidden="1" x14ac:dyDescent="0.25">
      <c r="A4972">
        <v>21500207</v>
      </c>
      <c r="B4972" t="s">
        <v>18</v>
      </c>
      <c r="C4972" t="s">
        <v>22</v>
      </c>
      <c r="D4972">
        <v>65</v>
      </c>
      <c r="E4972">
        <v>51</v>
      </c>
      <c r="F4972">
        <v>14</v>
      </c>
      <c r="G4972">
        <v>3</v>
      </c>
      <c r="H4972" s="1">
        <v>2.1296296296296298E-3</v>
      </c>
      <c r="I4972">
        <v>2015</v>
      </c>
      <c r="J4972" t="s">
        <v>20</v>
      </c>
      <c r="K4972" s="2" t="str">
        <f>HYPERLINK("https://www.nba.com/stats/events?CFID=&amp;CFPARAMS=&amp;GameEventID=329&amp;GameID=0021500207&amp;Season=2015-16&amp;flag=1&amp;title=Leonard%201'%20Driving%20Layup%20(20%20PTS)", "Leonard 1' Driving Layup (20 PTS)")</f>
        <v>Leonard 1' Driving Layup (20 PTS)</v>
      </c>
      <c r="L4972" s="2" t="str">
        <f>HYPERLINK("https://www.nba.com/game/...-vs-...-0021500207/play-by-play?watchFullGame=true", "SAS vs PHX - Q3 03:04.00")</f>
        <v>SAS vs PHX - Q3 03:04.00</v>
      </c>
      <c r="M4972">
        <v>1</v>
      </c>
      <c r="N4972">
        <v>10</v>
      </c>
      <c r="O4972">
        <v>2</v>
      </c>
      <c r="P4972">
        <v>10</v>
      </c>
      <c r="Q4972">
        <v>2</v>
      </c>
      <c r="R4972" t="s">
        <v>21</v>
      </c>
      <c r="S4972" t="s">
        <v>21</v>
      </c>
    </row>
    <row r="4973" spans="1:19" hidden="1" x14ac:dyDescent="0.25">
      <c r="A4973">
        <v>21500103</v>
      </c>
      <c r="B4973" t="s">
        <v>18</v>
      </c>
      <c r="C4973" t="s">
        <v>23</v>
      </c>
      <c r="D4973">
        <v>100</v>
      </c>
      <c r="E4973">
        <v>80</v>
      </c>
      <c r="F4973">
        <v>20</v>
      </c>
      <c r="G4973">
        <v>4</v>
      </c>
      <c r="H4973" s="1">
        <v>2.6967592592592594E-3</v>
      </c>
      <c r="I4973">
        <v>2015</v>
      </c>
      <c r="J4973" t="s">
        <v>20</v>
      </c>
      <c r="K4973" s="2" t="str">
        <f>HYPERLINK("https://www.nba.com/stats/events?CFID=&amp;CFPARAMS=&amp;GameEventID=468&amp;GameID=0021500103&amp;Season=2015-16&amp;flag=1&amp;title=Leonard%20%20Dunk%20(24%20PTS)%20(Mills%208%20AST)", "Leonard  Dunk (24 PTS) (Mills 8 AST)")</f>
        <v>Leonard  Dunk (24 PTS) (Mills 8 AST)</v>
      </c>
      <c r="L4973" s="2" t="str">
        <f>HYPERLINK("https://www.nba.com/game/...-vs-...-0021500103/play-by-play?watchFullGame=true", "SAS vs SAC - Q4 03:53.00")</f>
        <v>SAS vs SAC - Q4 03:53.00</v>
      </c>
      <c r="M4973">
        <v>0</v>
      </c>
      <c r="N4973">
        <v>0</v>
      </c>
      <c r="O4973">
        <v>1</v>
      </c>
      <c r="P4973">
        <v>0</v>
      </c>
      <c r="Q4973">
        <v>1</v>
      </c>
      <c r="R4973" t="s">
        <v>21</v>
      </c>
      <c r="S4973" t="s">
        <v>21</v>
      </c>
    </row>
    <row r="4974" spans="1:19" hidden="1" x14ac:dyDescent="0.25">
      <c r="A4974">
        <v>21400931</v>
      </c>
      <c r="B4974" t="s">
        <v>18</v>
      </c>
      <c r="C4974" t="s">
        <v>23</v>
      </c>
      <c r="D4974">
        <v>48</v>
      </c>
      <c r="E4974">
        <v>32</v>
      </c>
      <c r="F4974">
        <v>16</v>
      </c>
      <c r="G4974">
        <v>2</v>
      </c>
      <c r="H4974" s="1">
        <v>2.6967592592592594E-3</v>
      </c>
      <c r="I4974">
        <v>2014</v>
      </c>
      <c r="J4974" t="s">
        <v>20</v>
      </c>
      <c r="K4974" s="2" t="str">
        <f>HYPERLINK("https://www.nba.com/stats/events?CFID=&amp;CFPARAMS=&amp;GameEventID=210&amp;GameID=0021400931&amp;Season=2014-15&amp;flag=1&amp;title=Leonard%20%20Dunk%20(6%20PTS)", "Leonard  Dunk (6 PTS)")</f>
        <v>Leonard  Dunk (6 PTS)</v>
      </c>
      <c r="L4974" s="2" t="str">
        <f>HYPERLINK("https://www.nba.com/game/...-vs-...-0021400931/play-by-play?watchFullGame=true", "SAS vs CHI - Q2 03:53.00")</f>
        <v>SAS vs CHI - Q2 03:53.00</v>
      </c>
      <c r="M4974">
        <v>0</v>
      </c>
      <c r="N4974">
        <v>0</v>
      </c>
      <c r="O4974">
        <v>1</v>
      </c>
      <c r="P4974">
        <v>0</v>
      </c>
      <c r="Q4974">
        <v>1</v>
      </c>
      <c r="R4974" t="s">
        <v>21</v>
      </c>
      <c r="S4974" t="s">
        <v>21</v>
      </c>
    </row>
    <row r="4975" spans="1:19" hidden="1" x14ac:dyDescent="0.25">
      <c r="A4975">
        <v>41200151</v>
      </c>
      <c r="B4975" t="s">
        <v>18</v>
      </c>
      <c r="C4975" t="s">
        <v>24</v>
      </c>
      <c r="D4975">
        <v>86</v>
      </c>
      <c r="E4975">
        <v>72</v>
      </c>
      <c r="F4975">
        <v>14</v>
      </c>
      <c r="G4975">
        <v>4</v>
      </c>
      <c r="H4975" s="1">
        <v>2.2106481481481482E-3</v>
      </c>
      <c r="I4975" t="s">
        <v>53</v>
      </c>
      <c r="J4975" t="s">
        <v>20</v>
      </c>
      <c r="K4975" s="2" t="str">
        <f>HYPERLINK("https://www.nba.com/stats/events?CFID=&amp;CFPARAMS=&amp;GameEventID=463&amp;GameID=0041200151&amp;Season=2012-13&amp;flag=1&amp;title=Leonard%201'%20Layup%20(7%20PTS)%20(Ginobili%203%20AST)", "Leonard 1' Layup (7 PTS) (Ginobili 3 AST)")</f>
        <v>Leonard 1' Layup (7 PTS) (Ginobili 3 AST)</v>
      </c>
      <c r="L4975" s="2" t="str">
        <f>HYPERLINK("https://www.nba.com/game/...-vs-...-0041200151/play-by-play?watchFullGame=true", "SAS vs LAL - Q4 03:11.00")</f>
        <v>SAS vs LAL - Q4 03:11.00</v>
      </c>
      <c r="M4975">
        <v>1</v>
      </c>
      <c r="N4975">
        <v>7</v>
      </c>
      <c r="O4975">
        <v>7</v>
      </c>
      <c r="P4975">
        <v>7</v>
      </c>
      <c r="Q4975">
        <v>7</v>
      </c>
      <c r="R4975" t="s">
        <v>21</v>
      </c>
      <c r="S4975" t="s">
        <v>21</v>
      </c>
    </row>
    <row r="4976" spans="1:19" hidden="1" x14ac:dyDescent="0.25">
      <c r="A4976">
        <v>21401150</v>
      </c>
      <c r="B4976" t="s">
        <v>18</v>
      </c>
      <c r="C4976" t="s">
        <v>68</v>
      </c>
      <c r="D4976">
        <v>45</v>
      </c>
      <c r="E4976">
        <v>30</v>
      </c>
      <c r="F4976">
        <v>15</v>
      </c>
      <c r="G4976">
        <v>2</v>
      </c>
      <c r="H4976" s="1">
        <v>2.7662037037037039E-3</v>
      </c>
      <c r="I4976">
        <v>2014</v>
      </c>
      <c r="J4976" t="s">
        <v>20</v>
      </c>
      <c r="K4976" s="2" t="str">
        <f>HYPERLINK("https://www.nba.com/stats/events?CFID=&amp;CFPARAMS=&amp;GameEventID=203&amp;GameID=0021401150&amp;Season=2014-15&amp;flag=1&amp;title=Leonard%20%20Alley%20Oop%20Dunk%20(13%20PTS)%20(Green%203%20AST)", "Leonard  Alley Oop Dunk (13 PTS) (Green 3 AST)")</f>
        <v>Leonard  Alley Oop Dunk (13 PTS) (Green 3 AST)</v>
      </c>
      <c r="L4976" s="2" t="str">
        <f>HYPERLINK("https://www.nba.com/game/...-vs-...-0021401150/play-by-play?watchFullGame=true", "SAS vs GSW - Q2 03:59.00")</f>
        <v>SAS vs GSW - Q2 03:59.00</v>
      </c>
      <c r="M4976">
        <v>0</v>
      </c>
      <c r="N4976">
        <v>0</v>
      </c>
      <c r="O4976">
        <v>1</v>
      </c>
      <c r="P4976">
        <v>0</v>
      </c>
      <c r="Q4976">
        <v>1</v>
      </c>
      <c r="R4976" t="s">
        <v>21</v>
      </c>
      <c r="S4976" t="s">
        <v>21</v>
      </c>
    </row>
    <row r="4977" spans="1:19" hidden="1" x14ac:dyDescent="0.25">
      <c r="A4977">
        <v>21500028</v>
      </c>
      <c r="B4977" t="s">
        <v>18</v>
      </c>
      <c r="C4977" t="s">
        <v>23</v>
      </c>
      <c r="D4977">
        <v>68</v>
      </c>
      <c r="E4977">
        <v>60</v>
      </c>
      <c r="F4977">
        <v>8</v>
      </c>
      <c r="G4977">
        <v>3</v>
      </c>
      <c r="H4977" s="1">
        <v>2.7777777777777779E-3</v>
      </c>
      <c r="I4977">
        <v>2015</v>
      </c>
      <c r="J4977" t="s">
        <v>20</v>
      </c>
      <c r="K4977" s="2" t="str">
        <f>HYPERLINK("https://www.nba.com/stats/events?CFID=&amp;CFPARAMS=&amp;GameEventID=306&amp;GameID=0021500028&amp;Season=2015-16&amp;flag=1&amp;title=Leonard%20%20Dunk%20(14%20PTS)", "Leonard  Dunk (14 PTS)")</f>
        <v>Leonard  Dunk (14 PTS)</v>
      </c>
      <c r="L4977" s="2" t="str">
        <f>HYPERLINK("https://www.nba.com/game/...-vs-...-0021500028/play-by-play?watchFullGame=true", "SAS vs BKN - Q3 04:00.00")</f>
        <v>SAS vs BKN - Q3 04:00.00</v>
      </c>
      <c r="M4977">
        <v>0</v>
      </c>
      <c r="N4977">
        <v>0</v>
      </c>
      <c r="O4977">
        <v>1</v>
      </c>
      <c r="P4977">
        <v>0</v>
      </c>
      <c r="Q4977">
        <v>1</v>
      </c>
      <c r="R4977" t="s">
        <v>21</v>
      </c>
      <c r="S4977" t="s">
        <v>21</v>
      </c>
    </row>
    <row r="4978" spans="1:19" hidden="1" x14ac:dyDescent="0.25">
      <c r="A4978">
        <v>21400772</v>
      </c>
      <c r="B4978" t="s">
        <v>18</v>
      </c>
      <c r="C4978" t="s">
        <v>32</v>
      </c>
      <c r="D4978">
        <v>46</v>
      </c>
      <c r="E4978">
        <v>37</v>
      </c>
      <c r="F4978">
        <v>9</v>
      </c>
      <c r="G4978">
        <v>2</v>
      </c>
      <c r="H4978" s="1">
        <v>2.2685185185185187E-3</v>
      </c>
      <c r="I4978">
        <v>2014</v>
      </c>
      <c r="J4978" t="s">
        <v>20</v>
      </c>
      <c r="K4978" s="2" t="str">
        <f>HYPERLINK("https://www.nba.com/stats/events?CFID=&amp;CFPARAMS=&amp;GameEventID=231&amp;GameID=0021400772&amp;Season=2014-15&amp;flag=1&amp;title=Leonard%201'%20Alley%20Oop%20Layup%20(6%20PTS)%20(Parker%201%20AST)", "Leonard 1' Alley Oop Layup (6 PTS) (Parker 1 AST)")</f>
        <v>Leonard 1' Alley Oop Layup (6 PTS) (Parker 1 AST)</v>
      </c>
      <c r="L4978" s="2" t="str">
        <f>HYPERLINK("https://www.nba.com/game/...-vs-...-0021400772/play-by-play?watchFullGame=true", "SAS vs TOR - Q2 03:16.00")</f>
        <v>SAS vs TOR - Q2 03:16.00</v>
      </c>
      <c r="M4978">
        <v>1</v>
      </c>
      <c r="N4978">
        <v>13</v>
      </c>
      <c r="O4978">
        <v>3</v>
      </c>
      <c r="P4978">
        <v>13</v>
      </c>
      <c r="Q4978">
        <v>3</v>
      </c>
      <c r="R4978" t="s">
        <v>21</v>
      </c>
      <c r="S4978" t="s">
        <v>21</v>
      </c>
    </row>
    <row r="4979" spans="1:19" hidden="1" x14ac:dyDescent="0.25">
      <c r="A4979">
        <v>21601085</v>
      </c>
      <c r="B4979" t="s">
        <v>18</v>
      </c>
      <c r="C4979" t="s">
        <v>51</v>
      </c>
      <c r="D4979">
        <v>26</v>
      </c>
      <c r="E4979">
        <v>18</v>
      </c>
      <c r="F4979">
        <v>8</v>
      </c>
      <c r="G4979">
        <v>1</v>
      </c>
      <c r="H4979" s="1">
        <v>2.3032407407407407E-3</v>
      </c>
      <c r="I4979">
        <v>2016</v>
      </c>
      <c r="J4979" t="s">
        <v>20</v>
      </c>
      <c r="K4979" s="2" t="str">
        <f>HYPERLINK("https://www.nba.com/stats/events?CFID=&amp;CFPARAMS=&amp;GameEventID=77&amp;GameID=0021601085&amp;Season=2016-17&amp;flag=1&amp;title=Leonard%201'%20Running%20Layup%20(8%20PTS)%20(Mills%202%20AST)", "Leonard 1' Running Layup (8 PTS) (Mills 2 AST)")</f>
        <v>Leonard 1' Running Layup (8 PTS) (Mills 2 AST)</v>
      </c>
      <c r="L4979" s="2" t="str">
        <f>HYPERLINK("https://www.nba.com/game/...-vs-...-0021601085/play-by-play?watchFullGame=true", "SAS vs NYK - Q1 03:19.00")</f>
        <v>SAS vs NYK - Q1 03:19.00</v>
      </c>
      <c r="M4979">
        <v>1</v>
      </c>
      <c r="N4979">
        <v>-1</v>
      </c>
      <c r="O4979">
        <v>-5</v>
      </c>
      <c r="P4979">
        <v>-1</v>
      </c>
      <c r="Q4979">
        <v>-5</v>
      </c>
      <c r="R4979" t="s">
        <v>21</v>
      </c>
      <c r="S4979" t="s">
        <v>21</v>
      </c>
    </row>
    <row r="4980" spans="1:19" hidden="1" x14ac:dyDescent="0.25">
      <c r="A4980">
        <v>41500235</v>
      </c>
      <c r="B4980" t="s">
        <v>18</v>
      </c>
      <c r="C4980" t="s">
        <v>50</v>
      </c>
      <c r="D4980">
        <v>88</v>
      </c>
      <c r="E4980">
        <v>82</v>
      </c>
      <c r="F4980">
        <v>6</v>
      </c>
      <c r="G4980">
        <v>4</v>
      </c>
      <c r="H4980" s="1">
        <v>2.7777777777777779E-3</v>
      </c>
      <c r="I4980" t="s">
        <v>57</v>
      </c>
      <c r="J4980" t="s">
        <v>20</v>
      </c>
      <c r="K4980" s="2" t="str">
        <f>HYPERLINK("https://www.nba.com/stats/events?CFID=&amp;CFPARAMS=&amp;GameEventID=481&amp;GameID=0041500235&amp;Season=2015-16&amp;flag=1&amp;title=Leonard%20%20Running%20Dunk%20(26%20PTS)", "Leonard  Running Dunk (26 PTS)")</f>
        <v>Leonard  Running Dunk (26 PTS)</v>
      </c>
      <c r="L4980" s="2" t="str">
        <f>HYPERLINK("https://www.nba.com/game/...-vs-...-0041500235/play-by-play?watchFullGame=true", "SAS vs OKC - Q4 04:00.00")</f>
        <v>SAS vs OKC - Q4 04:00.00</v>
      </c>
      <c r="M4980">
        <v>0</v>
      </c>
      <c r="N4980">
        <v>0</v>
      </c>
      <c r="O4980">
        <v>1</v>
      </c>
      <c r="P4980">
        <v>0</v>
      </c>
      <c r="Q4980">
        <v>1</v>
      </c>
      <c r="R4980" t="s">
        <v>21</v>
      </c>
      <c r="S4980" t="s">
        <v>21</v>
      </c>
    </row>
    <row r="4981" spans="1:19" hidden="1" x14ac:dyDescent="0.25">
      <c r="A4981">
        <v>21500653</v>
      </c>
      <c r="B4981" t="s">
        <v>18</v>
      </c>
      <c r="C4981" t="s">
        <v>40</v>
      </c>
      <c r="D4981">
        <v>73</v>
      </c>
      <c r="E4981">
        <v>63</v>
      </c>
      <c r="F4981">
        <v>10</v>
      </c>
      <c r="G4981">
        <v>3</v>
      </c>
      <c r="H4981" s="1">
        <v>2.3148148148148147E-3</v>
      </c>
      <c r="I4981">
        <v>2015</v>
      </c>
      <c r="J4981" t="s">
        <v>20</v>
      </c>
      <c r="K4981" s="2" t="str">
        <f>HYPERLINK("https://www.nba.com/stats/events?CFID=&amp;CFPARAMS=&amp;GameEventID=325&amp;GameID=0021500653&amp;Season=2015-16&amp;flag=1&amp;title=Leonard%201'%20Driving%20Finger%20Roll%20Layup%20(17%20PTS)", "Leonard 1' Driving Finger Roll Layup (17 PTS)")</f>
        <v>Leonard 1' Driving Finger Roll Layup (17 PTS)</v>
      </c>
      <c r="L4981" s="2" t="str">
        <f>HYPERLINK("https://www.nba.com/game/...-vs-...-0021500653/play-by-play?watchFullGame=true", "SAS vs LAL - Q3 03:20.00")</f>
        <v>SAS vs LAL - Q3 03:20.00</v>
      </c>
      <c r="M4981">
        <v>1</v>
      </c>
      <c r="N4981">
        <v>-4</v>
      </c>
      <c r="O4981">
        <v>13</v>
      </c>
      <c r="P4981">
        <v>-4</v>
      </c>
      <c r="Q4981">
        <v>13</v>
      </c>
      <c r="R4981" t="s">
        <v>21</v>
      </c>
      <c r="S4981" t="s">
        <v>21</v>
      </c>
    </row>
    <row r="4982" spans="1:19" hidden="1" x14ac:dyDescent="0.25">
      <c r="A4982">
        <v>21600353</v>
      </c>
      <c r="B4982" t="s">
        <v>18</v>
      </c>
      <c r="C4982" t="s">
        <v>44</v>
      </c>
      <c r="D4982">
        <v>60</v>
      </c>
      <c r="E4982">
        <v>45</v>
      </c>
      <c r="F4982">
        <v>15</v>
      </c>
      <c r="G4982">
        <v>2</v>
      </c>
      <c r="H4982" s="1">
        <v>2.3148148148148147E-3</v>
      </c>
      <c r="I4982">
        <v>2016</v>
      </c>
      <c r="J4982" t="s">
        <v>20</v>
      </c>
      <c r="K4982" s="2" t="str">
        <f>HYPERLINK("https://www.nba.com/stats/events?CFID=&amp;CFPARAMS=&amp;GameEventID=195&amp;GameID=0021600353&amp;Season=2016-17&amp;flag=1&amp;title=Leonard%201'%20Driving%20Reverse%20Layup%20(16%20PTS)", "Leonard 1' Driving Reverse Layup (16 PTS)")</f>
        <v>Leonard 1' Driving Reverse Layup (16 PTS)</v>
      </c>
      <c r="L4982" s="2" t="str">
        <f>HYPERLINK("https://www.nba.com/game/...-vs-...-0021600353/play-by-play?watchFullGame=true", "SAS vs BKN - Q2 03:20.00")</f>
        <v>SAS vs BKN - Q2 03:20.00</v>
      </c>
      <c r="M4982">
        <v>1</v>
      </c>
      <c r="N4982">
        <v>-1</v>
      </c>
      <c r="O4982">
        <v>8</v>
      </c>
      <c r="P4982">
        <v>-1</v>
      </c>
      <c r="Q4982">
        <v>8</v>
      </c>
      <c r="R4982" t="s">
        <v>21</v>
      </c>
      <c r="S4982" t="s">
        <v>21</v>
      </c>
    </row>
    <row r="4983" spans="1:19" hidden="1" x14ac:dyDescent="0.25">
      <c r="A4983">
        <v>21800602</v>
      </c>
      <c r="B4983" t="s">
        <v>18</v>
      </c>
      <c r="C4983" t="s">
        <v>71</v>
      </c>
      <c r="D4983">
        <v>98</v>
      </c>
      <c r="E4983">
        <v>97</v>
      </c>
      <c r="F4983">
        <v>1</v>
      </c>
      <c r="G4983">
        <v>4</v>
      </c>
      <c r="H4983" s="1">
        <v>2.3263888888888887E-3</v>
      </c>
      <c r="I4983">
        <v>2018</v>
      </c>
      <c r="J4983" t="s">
        <v>48</v>
      </c>
      <c r="K4983" s="2" t="str">
        <f>HYPERLINK("https://www.nba.com/stats/events?CFID=&amp;CFPARAMS=&amp;GameEventID=664&amp;GameID=0021800602&amp;Season=2018-19&amp;flag=1&amp;title=Leonard%201'%20Running%20Finger%20Roll%20Layup%20(31%20PTS)", "Leonard 1' Running Finger Roll Layup (31 PTS)")</f>
        <v>Leonard 1' Running Finger Roll Layup (31 PTS)</v>
      </c>
      <c r="L4983" s="2" t="str">
        <f>HYPERLINK("https://www.nba.com/game/...-vs-...-0021800602/play-by-play?watchFullGame=true", "TOR vs ATL - Q4 03:21.00")</f>
        <v>TOR vs ATL - Q4 03:21.00</v>
      </c>
      <c r="M4983">
        <v>1</v>
      </c>
      <c r="N4983">
        <v>2</v>
      </c>
      <c r="O4983">
        <v>11</v>
      </c>
      <c r="P4983">
        <v>2</v>
      </c>
      <c r="Q4983">
        <v>11</v>
      </c>
      <c r="R4983" t="s">
        <v>21</v>
      </c>
      <c r="S4983" t="s">
        <v>21</v>
      </c>
    </row>
    <row r="4984" spans="1:19" hidden="1" x14ac:dyDescent="0.25">
      <c r="A4984">
        <v>21500502</v>
      </c>
      <c r="B4984" t="s">
        <v>18</v>
      </c>
      <c r="C4984" t="s">
        <v>25</v>
      </c>
      <c r="D4984">
        <v>45</v>
      </c>
      <c r="E4984">
        <v>48</v>
      </c>
      <c r="F4984">
        <v>3</v>
      </c>
      <c r="G4984">
        <v>2</v>
      </c>
      <c r="H4984" s="1">
        <v>2.8124999999999999E-3</v>
      </c>
      <c r="I4984">
        <v>2015</v>
      </c>
      <c r="J4984" t="s">
        <v>20</v>
      </c>
      <c r="K4984" s="2" t="str">
        <f>HYPERLINK("https://www.nba.com/stats/events?CFID=&amp;CFPARAMS=&amp;GameEventID=226&amp;GameID=0021500502&amp;Season=2015-16&amp;flag=1&amp;title=Leonard%20%20Driving%20Dunk%20(7%20PTS)", "Leonard  Driving Dunk (7 PTS)")</f>
        <v>Leonard  Driving Dunk (7 PTS)</v>
      </c>
      <c r="L4984" s="2" t="str">
        <f>HYPERLINK("https://www.nba.com/game/...-vs-...-0021500502/play-by-play?watchFullGame=true", "SAS vs HOU - Q2 04:03.00")</f>
        <v>SAS vs HOU - Q2 04:03.00</v>
      </c>
      <c r="M4984">
        <v>0</v>
      </c>
      <c r="N4984">
        <v>0</v>
      </c>
      <c r="O4984">
        <v>1</v>
      </c>
      <c r="P4984">
        <v>0</v>
      </c>
      <c r="Q4984">
        <v>1</v>
      </c>
      <c r="R4984" t="s">
        <v>21</v>
      </c>
      <c r="S4984" t="s">
        <v>21</v>
      </c>
    </row>
    <row r="4985" spans="1:19" hidden="1" x14ac:dyDescent="0.25">
      <c r="A4985">
        <v>21800100</v>
      </c>
      <c r="B4985" t="s">
        <v>18</v>
      </c>
      <c r="C4985" t="s">
        <v>22</v>
      </c>
      <c r="D4985">
        <v>96</v>
      </c>
      <c r="E4985">
        <v>75</v>
      </c>
      <c r="F4985">
        <v>21</v>
      </c>
      <c r="G4985">
        <v>3</v>
      </c>
      <c r="H4985" s="1">
        <v>2.3611111111111111E-3</v>
      </c>
      <c r="I4985">
        <v>2018</v>
      </c>
      <c r="J4985" t="s">
        <v>48</v>
      </c>
      <c r="K4985" s="2" t="str">
        <f>HYPERLINK("https://www.nba.com/stats/events?CFID=&amp;CFPARAMS=&amp;GameEventID=531&amp;GameID=0021800100&amp;Season=2018-19&amp;flag=1&amp;title=Leonard%201'%20Driving%20Layup%20(23%20PTS)", "Leonard 1' Driving Layup (23 PTS)")</f>
        <v>Leonard 1' Driving Layup (23 PTS)</v>
      </c>
      <c r="L4985" s="2" t="str">
        <f>HYPERLINK("https://www.nba.com/game/...-vs-...-0021800100/play-by-play?watchFullGame=true", "TOR vs PHI - Q3 03:24.00")</f>
        <v>TOR vs PHI - Q3 03:24.00</v>
      </c>
      <c r="M4985">
        <v>1</v>
      </c>
      <c r="N4985">
        <v>-11</v>
      </c>
      <c r="O4985">
        <v>8</v>
      </c>
      <c r="P4985">
        <v>-11</v>
      </c>
      <c r="Q4985">
        <v>8</v>
      </c>
      <c r="R4985" t="s">
        <v>21</v>
      </c>
      <c r="S4985" t="s">
        <v>21</v>
      </c>
    </row>
    <row r="4986" spans="1:19" hidden="1" x14ac:dyDescent="0.25">
      <c r="A4986">
        <v>21600134</v>
      </c>
      <c r="B4986" t="s">
        <v>18</v>
      </c>
      <c r="C4986" t="s">
        <v>22</v>
      </c>
      <c r="D4986">
        <v>18</v>
      </c>
      <c r="E4986">
        <v>13</v>
      </c>
      <c r="F4986">
        <v>5</v>
      </c>
      <c r="G4986">
        <v>1</v>
      </c>
      <c r="H4986" s="1">
        <v>2.3958333333333331E-3</v>
      </c>
      <c r="I4986">
        <v>2016</v>
      </c>
      <c r="J4986" t="s">
        <v>20</v>
      </c>
      <c r="K4986" s="2" t="str">
        <f>HYPERLINK("https://www.nba.com/stats/events?CFID=&amp;CFPARAMS=&amp;GameEventID=84&amp;GameID=0021600134&amp;Season=2016-17&amp;flag=1&amp;title=Leonard%201'%20Driving%20Layup%20(8%20PTS)", "Leonard 1' Driving Layup (8 PTS)")</f>
        <v>Leonard 1' Driving Layup (8 PTS)</v>
      </c>
      <c r="L4986" s="2" t="str">
        <f>HYPERLINK("https://www.nba.com/game/...-vs-...-0021600134/play-by-play?watchFullGame=true", "SAS vs HOU - Q1 03:27.00")</f>
        <v>SAS vs HOU - Q1 03:27.00</v>
      </c>
      <c r="M4986">
        <v>1</v>
      </c>
      <c r="N4986">
        <v>10</v>
      </c>
      <c r="O4986">
        <v>11</v>
      </c>
      <c r="P4986">
        <v>10</v>
      </c>
      <c r="Q4986">
        <v>11</v>
      </c>
      <c r="R4986" t="s">
        <v>21</v>
      </c>
      <c r="S4986" t="s">
        <v>21</v>
      </c>
    </row>
    <row r="4987" spans="1:19" hidden="1" x14ac:dyDescent="0.25">
      <c r="A4987">
        <v>21600272</v>
      </c>
      <c r="B4987" t="s">
        <v>18</v>
      </c>
      <c r="C4987" t="s">
        <v>24</v>
      </c>
      <c r="D4987">
        <v>49</v>
      </c>
      <c r="E4987">
        <v>60</v>
      </c>
      <c r="F4987">
        <v>11</v>
      </c>
      <c r="G4987">
        <v>3</v>
      </c>
      <c r="H4987" s="1">
        <v>2.3958333333333331E-3</v>
      </c>
      <c r="I4987">
        <v>2016</v>
      </c>
      <c r="J4987" t="s">
        <v>20</v>
      </c>
      <c r="K4987" s="2" t="str">
        <f>HYPERLINK("https://www.nba.com/stats/events?CFID=&amp;CFPARAMS=&amp;GameEventID=326&amp;GameID=0021600272&amp;Season=2016-17&amp;flag=1&amp;title=Leonard%201'%20Layup%20(5%20PTS)%20(Green%201%20AST)", "Leonard 1' Layup (5 PTS) (Green 1 AST)")</f>
        <v>Leonard 1' Layup (5 PTS) (Green 1 AST)</v>
      </c>
      <c r="L4987" s="2" t="str">
        <f>HYPERLINK("https://www.nba.com/game/...-vs-...-0021600272/play-by-play?watchFullGame=true", "SAS vs DAL - Q3 03:27.00")</f>
        <v>SAS vs DAL - Q3 03:27.00</v>
      </c>
      <c r="M4987">
        <v>1</v>
      </c>
      <c r="N4987">
        <v>14</v>
      </c>
      <c r="O4987">
        <v>-5</v>
      </c>
      <c r="P4987">
        <v>14</v>
      </c>
      <c r="Q4987">
        <v>-5</v>
      </c>
      <c r="R4987" t="s">
        <v>21</v>
      </c>
      <c r="S4987" t="s">
        <v>21</v>
      </c>
    </row>
    <row r="4988" spans="1:19" hidden="1" x14ac:dyDescent="0.25">
      <c r="A4988">
        <v>21801180</v>
      </c>
      <c r="B4988" t="s">
        <v>18</v>
      </c>
      <c r="C4988" t="s">
        <v>52</v>
      </c>
      <c r="D4988">
        <v>82</v>
      </c>
      <c r="E4988">
        <v>77</v>
      </c>
      <c r="F4988">
        <v>5</v>
      </c>
      <c r="G4988">
        <v>3</v>
      </c>
      <c r="H4988" s="1">
        <v>2.4652777777777776E-3</v>
      </c>
      <c r="I4988">
        <v>2018</v>
      </c>
      <c r="J4988" t="s">
        <v>48</v>
      </c>
      <c r="K4988" s="2" t="str">
        <f>HYPERLINK("https://www.nba.com/stats/events?CFID=&amp;CFPARAMS=&amp;GameEventID=417&amp;GameID=0021801180&amp;Season=2018-19&amp;flag=1&amp;title=Leonard%201'%20Cutting%20Layup%20Shot%20(23%20PTS)%20(Ibaka%201%20AST)", "Leonard 1' Cutting Layup Shot (23 PTS) (Ibaka 1 AST)")</f>
        <v>Leonard 1' Cutting Layup Shot (23 PTS) (Ibaka 1 AST)</v>
      </c>
      <c r="L4988" s="2" t="str">
        <f>HYPERLINK("https://www.nba.com/game/...-vs-...-0021801180/play-by-play?watchFullGame=true", "TOR vs CHA - Q3 03:33.00")</f>
        <v>TOR vs CHA - Q3 03:33.00</v>
      </c>
      <c r="M4988">
        <v>1</v>
      </c>
      <c r="N4988">
        <v>5</v>
      </c>
      <c r="O4988">
        <v>8</v>
      </c>
      <c r="P4988">
        <v>5</v>
      </c>
      <c r="Q4988">
        <v>8</v>
      </c>
      <c r="R4988" t="s">
        <v>21</v>
      </c>
      <c r="S4988" t="s">
        <v>21</v>
      </c>
    </row>
    <row r="4989" spans="1:19" hidden="1" x14ac:dyDescent="0.25">
      <c r="A4989">
        <v>21400875</v>
      </c>
      <c r="B4989" t="s">
        <v>18</v>
      </c>
      <c r="C4989" t="s">
        <v>35</v>
      </c>
      <c r="D4989">
        <v>67</v>
      </c>
      <c r="E4989">
        <v>37</v>
      </c>
      <c r="F4989">
        <v>30</v>
      </c>
      <c r="G4989">
        <v>3</v>
      </c>
      <c r="H4989" s="1">
        <v>2.476851851851852E-3</v>
      </c>
      <c r="I4989">
        <v>2014</v>
      </c>
      <c r="J4989" t="s">
        <v>20</v>
      </c>
      <c r="K4989" s="2" t="str">
        <f>HYPERLINK("https://www.nba.com/stats/events?CFID=&amp;CFPARAMS=&amp;GameEventID=383&amp;GameID=0021400875&amp;Season=2014-15&amp;flag=1&amp;title=Leonard%201'%20Reverse%20Layup%20(17%20PTS)%20(Ginobili%206%20AST)", "Leonard 1' Reverse Layup (17 PTS) (Ginobili 6 AST)")</f>
        <v>Leonard 1' Reverse Layup (17 PTS) (Ginobili 6 AST)</v>
      </c>
      <c r="L4989" s="2" t="str">
        <f>HYPERLINK("https://www.nba.com/game/...-vs-...-0021400875/play-by-play?watchFullGame=true", "SAS vs PHX - Q3 03:34.00")</f>
        <v>SAS vs PHX - Q3 03:34.00</v>
      </c>
      <c r="M4989">
        <v>1</v>
      </c>
      <c r="N4989">
        <v>-11</v>
      </c>
      <c r="O4989">
        <v>9</v>
      </c>
      <c r="P4989">
        <v>-11</v>
      </c>
      <c r="Q4989">
        <v>9</v>
      </c>
      <c r="R4989" t="s">
        <v>21</v>
      </c>
      <c r="S4989" t="s">
        <v>21</v>
      </c>
    </row>
    <row r="4990" spans="1:19" hidden="1" x14ac:dyDescent="0.25">
      <c r="A4990">
        <v>21800427</v>
      </c>
      <c r="B4990" t="s">
        <v>18</v>
      </c>
      <c r="C4990" t="s">
        <v>22</v>
      </c>
      <c r="D4990">
        <v>107</v>
      </c>
      <c r="E4990">
        <v>117</v>
      </c>
      <c r="F4990">
        <v>10</v>
      </c>
      <c r="G4990">
        <v>4</v>
      </c>
      <c r="H4990" s="1">
        <v>2.5000000000000001E-3</v>
      </c>
      <c r="I4990">
        <v>2018</v>
      </c>
      <c r="J4990" t="s">
        <v>48</v>
      </c>
      <c r="K4990" s="2" t="str">
        <f>HYPERLINK("https://www.nba.com/stats/events?CFID=&amp;CFPARAMS=&amp;GameEventID=543&amp;GameID=0021800427&amp;Season=2018-19&amp;flag=1&amp;title=Leonard%201'%20Driving%20Layup%20(20%20PTS)", "Leonard 1' Driving Layup (20 PTS)")</f>
        <v>Leonard 1' Driving Layup (20 PTS)</v>
      </c>
      <c r="L4990" s="2" t="str">
        <f>HYPERLINK("https://www.nba.com/game/...-vs-...-0021800427/play-by-play?watchFullGame=true", "TOR vs POR - Q4 03:36.00")</f>
        <v>TOR vs POR - Q4 03:36.00</v>
      </c>
      <c r="M4990">
        <v>1</v>
      </c>
      <c r="N4990">
        <v>13</v>
      </c>
      <c r="O4990">
        <v>6</v>
      </c>
      <c r="P4990">
        <v>13</v>
      </c>
      <c r="Q4990">
        <v>6</v>
      </c>
      <c r="R4990" t="s">
        <v>21</v>
      </c>
      <c r="S4990" t="s">
        <v>21</v>
      </c>
    </row>
    <row r="4991" spans="1:19" hidden="1" x14ac:dyDescent="0.25">
      <c r="A4991">
        <v>21801156</v>
      </c>
      <c r="B4991" t="s">
        <v>18</v>
      </c>
      <c r="C4991" t="s">
        <v>24</v>
      </c>
      <c r="D4991">
        <v>23</v>
      </c>
      <c r="E4991">
        <v>30</v>
      </c>
      <c r="F4991">
        <v>7</v>
      </c>
      <c r="G4991">
        <v>1</v>
      </c>
      <c r="H4991" s="1">
        <v>2.5115740740740741E-3</v>
      </c>
      <c r="I4991">
        <v>2018</v>
      </c>
      <c r="J4991" t="s">
        <v>48</v>
      </c>
      <c r="K4991" s="2" t="str">
        <f>HYPERLINK("https://www.nba.com/stats/events?CFID=&amp;CFPARAMS=&amp;GameEventID=96&amp;GameID=0021801156&amp;Season=2018-19&amp;flag=1&amp;title=Leonard%201'%20Layup%20(2%20PTS)", "Leonard 1' Layup (2 PTS)")</f>
        <v>Leonard 1' Layup (2 PTS)</v>
      </c>
      <c r="L4991" s="2" t="str">
        <f>HYPERLINK("https://www.nba.com/game/...-vs-...-0021801156/play-by-play?watchFullGame=true", "TOR vs ORL - Q1 03:37.00")</f>
        <v>TOR vs ORL - Q1 03:37.00</v>
      </c>
      <c r="M4991">
        <v>1</v>
      </c>
      <c r="N4991">
        <v>2</v>
      </c>
      <c r="O4991">
        <v>13</v>
      </c>
      <c r="P4991">
        <v>2</v>
      </c>
      <c r="Q4991">
        <v>13</v>
      </c>
      <c r="R4991" t="s">
        <v>21</v>
      </c>
      <c r="S4991" t="s">
        <v>21</v>
      </c>
    </row>
    <row r="4992" spans="1:19" hidden="1" x14ac:dyDescent="0.25">
      <c r="A4992">
        <v>21300013</v>
      </c>
      <c r="B4992" t="s">
        <v>18</v>
      </c>
      <c r="C4992" t="s">
        <v>24</v>
      </c>
      <c r="D4992">
        <v>13</v>
      </c>
      <c r="E4992">
        <v>16</v>
      </c>
      <c r="F4992">
        <v>3</v>
      </c>
      <c r="G4992">
        <v>1</v>
      </c>
      <c r="H4992" s="1">
        <v>2.5231481481481481E-3</v>
      </c>
      <c r="I4992">
        <v>2013</v>
      </c>
      <c r="J4992" t="s">
        <v>20</v>
      </c>
      <c r="K4992" s="2" t="str">
        <f>HYPERLINK("https://www.nba.com/stats/events?CFID=&amp;CFPARAMS=&amp;GameEventID=67&amp;GameID=0021300013&amp;Season=2013-14&amp;flag=1&amp;title=Leonard%201'%20Layup%20(5%20PTS)", "Leonard 1' Layup (5 PTS)")</f>
        <v>Leonard 1' Layup (5 PTS)</v>
      </c>
      <c r="L4992" s="2" t="str">
        <f>HYPERLINK("https://www.nba.com/game/...-vs-...-0021300013/play-by-play?watchFullGame=true", "SAS vs MEM - Q1 03:38.00")</f>
        <v>SAS vs MEM - Q1 03:38.00</v>
      </c>
      <c r="M4992">
        <v>1</v>
      </c>
      <c r="N4992">
        <v>12</v>
      </c>
      <c r="O4992">
        <v>3</v>
      </c>
      <c r="P4992">
        <v>12</v>
      </c>
      <c r="Q4992">
        <v>3</v>
      </c>
      <c r="R4992" t="s">
        <v>21</v>
      </c>
      <c r="S4992" t="s">
        <v>21</v>
      </c>
    </row>
    <row r="4993" spans="1:19" hidden="1" x14ac:dyDescent="0.25">
      <c r="A4993">
        <v>21800842</v>
      </c>
      <c r="B4993" t="s">
        <v>18</v>
      </c>
      <c r="C4993" t="s">
        <v>52</v>
      </c>
      <c r="D4993">
        <v>17</v>
      </c>
      <c r="E4993">
        <v>20</v>
      </c>
      <c r="F4993">
        <v>3</v>
      </c>
      <c r="G4993">
        <v>1</v>
      </c>
      <c r="H4993" s="1">
        <v>2.5462962962962965E-3</v>
      </c>
      <c r="I4993">
        <v>2018</v>
      </c>
      <c r="J4993" t="s">
        <v>48</v>
      </c>
      <c r="K4993" s="2" t="str">
        <f>HYPERLINK("https://www.nba.com/stats/events?CFID=&amp;CFPARAMS=&amp;GameEventID=105&amp;GameID=0021800842&amp;Season=2018-19&amp;flag=1&amp;title=Leonard%201'%20Cutting%20Layup%20Shot%20(4%20PTS)%20(Ibaka%201%20AST)", "Leonard 1' Cutting Layup Shot (4 PTS) (Ibaka 1 AST)")</f>
        <v>Leonard 1' Cutting Layup Shot (4 PTS) (Ibaka 1 AST)</v>
      </c>
      <c r="L4993" s="2" t="str">
        <f>HYPERLINK("https://www.nba.com/game/...-vs-...-0021800842/play-by-play?watchFullGame=true", "TOR vs BKN - Q1 03:40.00")</f>
        <v>TOR vs BKN - Q1 03:40.00</v>
      </c>
      <c r="M4993">
        <v>1</v>
      </c>
      <c r="N4993">
        <v>-11</v>
      </c>
      <c r="O4993">
        <v>4</v>
      </c>
      <c r="P4993">
        <v>-11</v>
      </c>
      <c r="Q4993">
        <v>4</v>
      </c>
      <c r="R4993" t="s">
        <v>21</v>
      </c>
      <c r="S4993" t="s">
        <v>21</v>
      </c>
    </row>
    <row r="4994" spans="1:19" hidden="1" x14ac:dyDescent="0.25">
      <c r="A4994">
        <v>41500234</v>
      </c>
      <c r="B4994" t="s">
        <v>18</v>
      </c>
      <c r="C4994" t="s">
        <v>24</v>
      </c>
      <c r="D4994">
        <v>16</v>
      </c>
      <c r="E4994">
        <v>11</v>
      </c>
      <c r="F4994">
        <v>5</v>
      </c>
      <c r="G4994">
        <v>1</v>
      </c>
      <c r="H4994" s="1">
        <v>2.5462962962962965E-3</v>
      </c>
      <c r="I4994" t="s">
        <v>57</v>
      </c>
      <c r="J4994" t="s">
        <v>20</v>
      </c>
      <c r="K4994" s="2" t="str">
        <f>HYPERLINK("https://www.nba.com/stats/events?CFID=&amp;CFPARAMS=&amp;GameEventID=73&amp;GameID=0041500234&amp;Season=2015-16&amp;flag=1&amp;title=Leonard%201'%20Layup%20(8%20PTS)", "Leonard 1' Layup (8 PTS)")</f>
        <v>Leonard 1' Layup (8 PTS)</v>
      </c>
      <c r="L4994" s="2" t="str">
        <f>HYPERLINK("https://www.nba.com/game/...-vs-...-0041500234/play-by-play?watchFullGame=true", "SAS vs OKC - Q1 03:40.00")</f>
        <v>SAS vs OKC - Q1 03:40.00</v>
      </c>
      <c r="M4994">
        <v>1</v>
      </c>
      <c r="N4994">
        <v>9</v>
      </c>
      <c r="O4994">
        <v>2</v>
      </c>
      <c r="P4994">
        <v>9</v>
      </c>
      <c r="Q4994">
        <v>2</v>
      </c>
      <c r="R4994" t="s">
        <v>21</v>
      </c>
      <c r="S4994" t="s">
        <v>21</v>
      </c>
    </row>
    <row r="4995" spans="1:19" hidden="1" x14ac:dyDescent="0.25">
      <c r="A4995">
        <v>41300144</v>
      </c>
      <c r="B4995" t="s">
        <v>18</v>
      </c>
      <c r="C4995" t="s">
        <v>40</v>
      </c>
      <c r="D4995">
        <v>41</v>
      </c>
      <c r="E4995">
        <v>31</v>
      </c>
      <c r="F4995">
        <v>10</v>
      </c>
      <c r="G4995">
        <v>2</v>
      </c>
      <c r="H4995" s="1">
        <v>2.5925925925925925E-3</v>
      </c>
      <c r="I4995" t="s">
        <v>55</v>
      </c>
      <c r="J4995" t="s">
        <v>20</v>
      </c>
      <c r="K4995" s="2" t="str">
        <f>HYPERLINK("https://www.nba.com/stats/events?CFID=&amp;CFPARAMS=&amp;GameEventID=220&amp;GameID=0041300144&amp;Season=2013-14&amp;flag=1&amp;title=Leonard%201'%20Driving%20Finger%20Roll%20Layup%20(4%20PTS)%20(Diaw%204%20AST)", "Leonard 1' Driving Finger Roll Layup (4 PTS) (Diaw 4 AST)")</f>
        <v>Leonard 1' Driving Finger Roll Layup (4 PTS) (Diaw 4 AST)</v>
      </c>
      <c r="L4995" s="2" t="str">
        <f>HYPERLINK("https://www.nba.com/game/...-vs-...-0041300144/play-by-play?watchFullGame=true", "SAS vs DAL - Q2 03:44.00")</f>
        <v>SAS vs DAL - Q2 03:44.00</v>
      </c>
      <c r="M4995">
        <v>1</v>
      </c>
      <c r="N4995">
        <v>-5</v>
      </c>
      <c r="O4995">
        <v>6</v>
      </c>
      <c r="P4995">
        <v>-5</v>
      </c>
      <c r="Q4995">
        <v>6</v>
      </c>
      <c r="R4995" t="s">
        <v>21</v>
      </c>
      <c r="S4995" t="s">
        <v>21</v>
      </c>
    </row>
    <row r="4996" spans="1:19" hidden="1" x14ac:dyDescent="0.25">
      <c r="A4996">
        <v>21400906</v>
      </c>
      <c r="B4996" t="s">
        <v>18</v>
      </c>
      <c r="C4996" t="s">
        <v>25</v>
      </c>
      <c r="D4996">
        <v>76</v>
      </c>
      <c r="E4996">
        <v>53</v>
      </c>
      <c r="F4996">
        <v>23</v>
      </c>
      <c r="G4996">
        <v>3</v>
      </c>
      <c r="H4996" s="1">
        <v>2.8356481481481483E-3</v>
      </c>
      <c r="I4996">
        <v>2014</v>
      </c>
      <c r="J4996" t="s">
        <v>20</v>
      </c>
      <c r="K4996" s="2" t="str">
        <f>HYPERLINK("https://www.nba.com/stats/events?CFID=&amp;CFPARAMS=&amp;GameEventID=370&amp;GameID=0021400906&amp;Season=2014-15&amp;flag=1&amp;title=Leonard%20%20Driving%20Dunk%20(21%20PTS)", "Leonard  Driving Dunk (21 PTS)")</f>
        <v>Leonard  Driving Dunk (21 PTS)</v>
      </c>
      <c r="L4996" s="2" t="str">
        <f>HYPERLINK("https://www.nba.com/game/...-vs-...-0021400906/play-by-play?watchFullGame=true", "SAS vs SAC - Q3 04:05.00")</f>
        <v>SAS vs SAC - Q3 04:05.00</v>
      </c>
      <c r="M4996">
        <v>0</v>
      </c>
      <c r="N4996">
        <v>0</v>
      </c>
      <c r="O4996">
        <v>1</v>
      </c>
      <c r="P4996">
        <v>0</v>
      </c>
      <c r="Q4996">
        <v>1</v>
      </c>
      <c r="R4996" t="s">
        <v>21</v>
      </c>
      <c r="S4996" t="s">
        <v>21</v>
      </c>
    </row>
    <row r="4997" spans="1:19" hidden="1" x14ac:dyDescent="0.25">
      <c r="A4997">
        <v>21500742</v>
      </c>
      <c r="B4997" t="s">
        <v>18</v>
      </c>
      <c r="C4997" t="s">
        <v>35</v>
      </c>
      <c r="D4997">
        <v>16</v>
      </c>
      <c r="E4997">
        <v>21</v>
      </c>
      <c r="F4997">
        <v>5</v>
      </c>
      <c r="G4997">
        <v>1</v>
      </c>
      <c r="H4997" s="1">
        <v>2.650462962962963E-3</v>
      </c>
      <c r="I4997">
        <v>2015</v>
      </c>
      <c r="J4997" t="s">
        <v>20</v>
      </c>
      <c r="K4997" s="2" t="str">
        <f>HYPERLINK("https://www.nba.com/stats/events?CFID=&amp;CFPARAMS=&amp;GameEventID=69&amp;GameID=0021500742&amp;Season=2015-16&amp;flag=1&amp;title=Leonard%201'%20Reverse%20Layup%20(4%20PTS)", "Leonard 1' Reverse Layup (4 PTS)")</f>
        <v>Leonard 1' Reverse Layup (4 PTS)</v>
      </c>
      <c r="L4997" s="2" t="str">
        <f>HYPERLINK("https://www.nba.com/game/...-vs-...-0021500742/play-by-play?watchFullGame=true", "SAS vs NOP - Q1 03:49.00")</f>
        <v>SAS vs NOP - Q1 03:49.00</v>
      </c>
      <c r="M4997">
        <v>1</v>
      </c>
      <c r="N4997">
        <v>-14</v>
      </c>
      <c r="O4997">
        <v>3</v>
      </c>
      <c r="P4997">
        <v>-14</v>
      </c>
      <c r="Q4997">
        <v>3</v>
      </c>
      <c r="R4997" t="s">
        <v>21</v>
      </c>
      <c r="S4997" t="s">
        <v>21</v>
      </c>
    </row>
    <row r="4998" spans="1:19" hidden="1" x14ac:dyDescent="0.25">
      <c r="A4998">
        <v>21300057</v>
      </c>
      <c r="B4998" t="s">
        <v>18</v>
      </c>
      <c r="C4998" t="s">
        <v>35</v>
      </c>
      <c r="D4998">
        <v>38</v>
      </c>
      <c r="E4998">
        <v>46</v>
      </c>
      <c r="F4998">
        <v>8</v>
      </c>
      <c r="G4998">
        <v>2</v>
      </c>
      <c r="H4998" s="1">
        <v>2.650462962962963E-3</v>
      </c>
      <c r="I4998">
        <v>2013</v>
      </c>
      <c r="J4998" t="s">
        <v>20</v>
      </c>
      <c r="K4998" s="2" t="str">
        <f>HYPERLINK("https://www.nba.com/stats/events?CFID=&amp;CFPARAMS=&amp;GameEventID=219&amp;GameID=0021300057&amp;Season=2013-14&amp;flag=1&amp;title=Leonard%201'%20Reverse%20Layup%20(4%20PTS)%20(Duncan%203%20AST)", "Leonard 1' Reverse Layup (4 PTS) (Duncan 3 AST)")</f>
        <v>Leonard 1' Reverse Layup (4 PTS) (Duncan 3 AST)</v>
      </c>
      <c r="L4998" s="2" t="str">
        <f>HYPERLINK("https://www.nba.com/game/...-vs-...-0021300057/play-by-play?watchFullGame=true", "SAS vs DEN - Q2 03:49.00")</f>
        <v>SAS vs DEN - Q2 03:49.00</v>
      </c>
      <c r="M4998">
        <v>1</v>
      </c>
      <c r="N4998">
        <v>-13</v>
      </c>
      <c r="O4998">
        <v>-6</v>
      </c>
      <c r="P4998">
        <v>-13</v>
      </c>
      <c r="Q4998">
        <v>-6</v>
      </c>
      <c r="R4998" t="s">
        <v>21</v>
      </c>
      <c r="S4998" t="s">
        <v>21</v>
      </c>
    </row>
    <row r="4999" spans="1:19" hidden="1" x14ac:dyDescent="0.25">
      <c r="A4999">
        <v>21300296</v>
      </c>
      <c r="B4999" t="s">
        <v>18</v>
      </c>
      <c r="C4999" t="s">
        <v>22</v>
      </c>
      <c r="D4999">
        <v>39</v>
      </c>
      <c r="E4999">
        <v>34</v>
      </c>
      <c r="F4999">
        <v>5</v>
      </c>
      <c r="G4999">
        <v>2</v>
      </c>
      <c r="H4999" s="1">
        <v>2.650462962962963E-3</v>
      </c>
      <c r="I4999">
        <v>2013</v>
      </c>
      <c r="J4999" t="s">
        <v>20</v>
      </c>
      <c r="K4999" s="2" t="str">
        <f>HYPERLINK("https://www.nba.com/stats/events?CFID=&amp;CFPARAMS=&amp;GameEventID=176&amp;GameID=0021300296&amp;Season=2013-14&amp;flag=1&amp;title=Leonard%201'%20Driving%20Layup%20(7%20PTS)", "Leonard 1' Driving Layup (7 PTS)")</f>
        <v>Leonard 1' Driving Layup (7 PTS)</v>
      </c>
      <c r="L4999" s="2" t="str">
        <f>HYPERLINK("https://www.nba.com/game/...-vs-...-0021300296/play-by-play?watchFullGame=true", "SAS vs IND - Q2 03:49.00")</f>
        <v>SAS vs IND - Q2 03:49.00</v>
      </c>
      <c r="M4999">
        <v>1</v>
      </c>
      <c r="N4999">
        <v>-7</v>
      </c>
      <c r="O4999">
        <v>6</v>
      </c>
      <c r="P4999">
        <v>-7</v>
      </c>
      <c r="Q4999">
        <v>6</v>
      </c>
      <c r="R4999" t="s">
        <v>21</v>
      </c>
      <c r="S4999" t="s">
        <v>21</v>
      </c>
    </row>
    <row r="5000" spans="1:19" hidden="1" x14ac:dyDescent="0.25">
      <c r="A5000">
        <v>21401168</v>
      </c>
      <c r="B5000" t="s">
        <v>18</v>
      </c>
      <c r="C5000" t="s">
        <v>22</v>
      </c>
      <c r="D5000">
        <v>75</v>
      </c>
      <c r="E5000">
        <v>62</v>
      </c>
      <c r="F5000">
        <v>13</v>
      </c>
      <c r="G5000">
        <v>3</v>
      </c>
      <c r="H5000" s="1">
        <v>2.650462962962963E-3</v>
      </c>
      <c r="I5000">
        <v>2014</v>
      </c>
      <c r="J5000" t="s">
        <v>20</v>
      </c>
      <c r="K5000" s="2" t="str">
        <f>HYPERLINK("https://www.nba.com/stats/events?CFID=&amp;CFPARAMS=&amp;GameEventID=322&amp;GameID=0021401168&amp;Season=2014-15&amp;flag=1&amp;title=Leonard%201'%20Driving%20Layup%20(12%20PTS)", "Leonard 1' Driving Layup (12 PTS)")</f>
        <v>Leonard 1' Driving Layup (12 PTS)</v>
      </c>
      <c r="L5000" s="2" t="str">
        <f>HYPERLINK("https://www.nba.com/game/...-vs-...-0021401168/play-by-play?watchFullGame=true", "SAS vs HOU - Q3 03:49.00")</f>
        <v>SAS vs HOU - Q3 03:49.00</v>
      </c>
      <c r="M5000">
        <v>1</v>
      </c>
      <c r="N5000">
        <v>9</v>
      </c>
      <c r="O5000">
        <v>0</v>
      </c>
      <c r="P5000">
        <v>9</v>
      </c>
      <c r="Q5000">
        <v>0</v>
      </c>
      <c r="R5000" t="s">
        <v>21</v>
      </c>
      <c r="S5000" t="s">
        <v>21</v>
      </c>
    </row>
    <row r="5001" spans="1:19" hidden="1" x14ac:dyDescent="0.25">
      <c r="A5001">
        <v>21500195</v>
      </c>
      <c r="B5001" t="s">
        <v>18</v>
      </c>
      <c r="C5001" t="s">
        <v>23</v>
      </c>
      <c r="D5001">
        <v>66</v>
      </c>
      <c r="E5001">
        <v>57</v>
      </c>
      <c r="F5001">
        <v>9</v>
      </c>
      <c r="G5001">
        <v>3</v>
      </c>
      <c r="H5001" s="1">
        <v>2.8356481481481483E-3</v>
      </c>
      <c r="I5001">
        <v>2015</v>
      </c>
      <c r="J5001" t="s">
        <v>20</v>
      </c>
      <c r="K5001" s="2" t="str">
        <f>HYPERLINK("https://www.nba.com/stats/events?CFID=&amp;CFPARAMS=&amp;GameEventID=316&amp;GameID=0021500195&amp;Season=2015-16&amp;flag=1&amp;title=Leonard%20Dunk%20(11%20PTS)%20(Diaw%202%20AST)", "Leonard Dunk (11 PTS) (Diaw 2 AST)")</f>
        <v>Leonard Dunk (11 PTS) (Diaw 2 AST)</v>
      </c>
      <c r="L5001" s="2" t="str">
        <f>HYPERLINK("https://www.nba.com/game/...-vs-...-0021500195/play-by-play?watchFullGame=true", "SAS vs MEM - Q3 04:05.00")</f>
        <v>SAS vs MEM - Q3 04:05.00</v>
      </c>
      <c r="M5001">
        <v>0</v>
      </c>
      <c r="N5001">
        <v>0</v>
      </c>
      <c r="O5001">
        <v>1</v>
      </c>
      <c r="P5001">
        <v>0</v>
      </c>
      <c r="Q5001">
        <v>1</v>
      </c>
      <c r="R5001" t="s">
        <v>21</v>
      </c>
      <c r="S5001" t="s">
        <v>21</v>
      </c>
    </row>
    <row r="5002" spans="1:19" hidden="1" x14ac:dyDescent="0.25">
      <c r="A5002">
        <v>21500726</v>
      </c>
      <c r="B5002" t="s">
        <v>18</v>
      </c>
      <c r="C5002" t="s">
        <v>25</v>
      </c>
      <c r="D5002">
        <v>46</v>
      </c>
      <c r="E5002">
        <v>36</v>
      </c>
      <c r="F5002">
        <v>10</v>
      </c>
      <c r="G5002">
        <v>2</v>
      </c>
      <c r="H5002" s="1">
        <v>2.8472222222222223E-3</v>
      </c>
      <c r="I5002">
        <v>2015</v>
      </c>
      <c r="J5002" t="s">
        <v>20</v>
      </c>
      <c r="K5002" s="2" t="str">
        <f>HYPERLINK("https://www.nba.com/stats/events?CFID=&amp;CFPARAMS=&amp;GameEventID=204&amp;GameID=0021500726&amp;Season=2015-16&amp;flag=1&amp;title=Leonard%20%20Driving%20Dunk%20(8%20PTS)%20(Parker%203%20AST)", "Leonard  Driving Dunk (8 PTS) (Parker 3 AST)")</f>
        <v>Leonard  Driving Dunk (8 PTS) (Parker 3 AST)</v>
      </c>
      <c r="L5002" s="2" t="str">
        <f>HYPERLINK("https://www.nba.com/game/...-vs-...-0021500726/play-by-play?watchFullGame=true", "SAS vs ORL - Q2 04:06.00")</f>
        <v>SAS vs ORL - Q2 04:06.00</v>
      </c>
      <c r="M5002">
        <v>0</v>
      </c>
      <c r="N5002">
        <v>0</v>
      </c>
      <c r="O5002">
        <v>1</v>
      </c>
      <c r="P5002">
        <v>0</v>
      </c>
      <c r="Q5002">
        <v>1</v>
      </c>
      <c r="R5002" t="s">
        <v>21</v>
      </c>
      <c r="S5002" t="s">
        <v>21</v>
      </c>
    </row>
    <row r="5003" spans="1:19" hidden="1" x14ac:dyDescent="0.25">
      <c r="A5003">
        <v>21800983</v>
      </c>
      <c r="B5003" t="s">
        <v>18</v>
      </c>
      <c r="C5003" t="s">
        <v>71</v>
      </c>
      <c r="D5003">
        <v>21</v>
      </c>
      <c r="E5003">
        <v>19</v>
      </c>
      <c r="F5003">
        <v>2</v>
      </c>
      <c r="G5003">
        <v>1</v>
      </c>
      <c r="H5003" s="1">
        <v>2.7546296296296294E-3</v>
      </c>
      <c r="I5003">
        <v>2018</v>
      </c>
      <c r="J5003" t="s">
        <v>48</v>
      </c>
      <c r="K5003" s="2" t="str">
        <f>HYPERLINK("https://www.nba.com/stats/events?CFID=&amp;CFPARAMS=&amp;GameEventID=99&amp;GameID=0021800983&amp;Season=2018-19&amp;flag=1&amp;title=Leonard%201'%20Running%20Finger%20Roll%20Layup%20(12%20PTS)", "Leonard 1' Running Finger Roll Layup (12 PTS)")</f>
        <v>Leonard 1' Running Finger Roll Layup (12 PTS)</v>
      </c>
      <c r="L5003" s="2" t="str">
        <f>HYPERLINK("https://www.nba.com/game/...-vs-...-0021800983/play-by-play?watchFullGame=true", "TOR vs NOP - Q1 03:58.00")</f>
        <v>TOR vs NOP - Q1 03:58.00</v>
      </c>
      <c r="M5003">
        <v>1</v>
      </c>
      <c r="N5003">
        <v>7</v>
      </c>
      <c r="O5003">
        <v>13</v>
      </c>
      <c r="P5003">
        <v>7</v>
      </c>
      <c r="Q5003">
        <v>13</v>
      </c>
      <c r="R5003" t="s">
        <v>21</v>
      </c>
      <c r="S5003" t="s">
        <v>21</v>
      </c>
    </row>
    <row r="5004" spans="1:19" hidden="1" x14ac:dyDescent="0.25">
      <c r="A5004">
        <v>21301123</v>
      </c>
      <c r="B5004" t="s">
        <v>18</v>
      </c>
      <c r="C5004" t="s">
        <v>24</v>
      </c>
      <c r="D5004">
        <v>50</v>
      </c>
      <c r="E5004">
        <v>34</v>
      </c>
      <c r="F5004">
        <v>16</v>
      </c>
      <c r="G5004">
        <v>2</v>
      </c>
      <c r="H5004" s="1">
        <v>2.7662037037037039E-3</v>
      </c>
      <c r="I5004">
        <v>2013</v>
      </c>
      <c r="J5004" t="s">
        <v>20</v>
      </c>
      <c r="K5004" s="2" t="str">
        <f>HYPERLINK("https://www.nba.com/stats/events?CFID=&amp;CFPARAMS=&amp;GameEventID=200&amp;GameID=0021301123&amp;Season=2013-14&amp;flag=1&amp;title=Leonard%201'%20Layup%20(6%20PTS)%20(Parker%205%20AST)", "Leonard 1' Layup (6 PTS) (Parker 5 AST)")</f>
        <v>Leonard 1' Layup (6 PTS) (Parker 5 AST)</v>
      </c>
      <c r="L5004" s="2" t="str">
        <f>HYPERLINK("https://www.nba.com/game/...-vs-...-0021301123/play-by-play?watchFullGame=true", "SAS vs GSW - Q2 03:59.00")</f>
        <v>SAS vs GSW - Q2 03:59.00</v>
      </c>
      <c r="M5004">
        <v>1</v>
      </c>
      <c r="N5004">
        <v>-5</v>
      </c>
      <c r="O5004">
        <v>-5</v>
      </c>
      <c r="P5004">
        <v>-5</v>
      </c>
      <c r="Q5004">
        <v>-5</v>
      </c>
      <c r="R5004" t="s">
        <v>21</v>
      </c>
      <c r="S5004" t="s">
        <v>21</v>
      </c>
    </row>
    <row r="5005" spans="1:19" hidden="1" x14ac:dyDescent="0.25">
      <c r="A5005">
        <v>21600782</v>
      </c>
      <c r="B5005" t="s">
        <v>18</v>
      </c>
      <c r="C5005" t="s">
        <v>25</v>
      </c>
      <c r="D5005">
        <v>50</v>
      </c>
      <c r="E5005">
        <v>40</v>
      </c>
      <c r="F5005">
        <v>10</v>
      </c>
      <c r="G5005">
        <v>2</v>
      </c>
      <c r="H5005" s="1">
        <v>2.8935185185185184E-3</v>
      </c>
      <c r="I5005">
        <v>2016</v>
      </c>
      <c r="J5005" t="s">
        <v>20</v>
      </c>
      <c r="K5005" s="2" t="str">
        <f>HYPERLINK("https://www.nba.com/stats/events?CFID=&amp;CFPARAMS=&amp;GameEventID=187&amp;GameID=0021600782&amp;Season=2016-17&amp;flag=1&amp;title=Leonard%20%20Driving%20Dunk%20(12%20PTS)%20(Dedmon%201%20AST)", "Leonard  Driving Dunk (12 PTS) (Dedmon 1 AST)")</f>
        <v>Leonard  Driving Dunk (12 PTS) (Dedmon 1 AST)</v>
      </c>
      <c r="L5005" s="2" t="str">
        <f>HYPERLINK("https://www.nba.com/game/...-vs-...-0021600782/play-by-play?watchFullGame=true", "SAS vs PHI - Q2 04:10.00")</f>
        <v>SAS vs PHI - Q2 04:10.00</v>
      </c>
      <c r="M5005">
        <v>0</v>
      </c>
      <c r="N5005">
        <v>0</v>
      </c>
      <c r="O5005">
        <v>1</v>
      </c>
      <c r="P5005">
        <v>0</v>
      </c>
      <c r="Q5005">
        <v>1</v>
      </c>
      <c r="R5005" t="s">
        <v>21</v>
      </c>
      <c r="S5005" t="s">
        <v>21</v>
      </c>
    </row>
    <row r="5006" spans="1:19" hidden="1" x14ac:dyDescent="0.25">
      <c r="A5006">
        <v>21801083</v>
      </c>
      <c r="B5006" t="s">
        <v>18</v>
      </c>
      <c r="C5006" t="s">
        <v>52</v>
      </c>
      <c r="D5006">
        <v>99</v>
      </c>
      <c r="E5006">
        <v>106</v>
      </c>
      <c r="F5006">
        <v>7</v>
      </c>
      <c r="G5006">
        <v>4</v>
      </c>
      <c r="H5006" s="1">
        <v>2.7777777777777779E-3</v>
      </c>
      <c r="I5006">
        <v>2018</v>
      </c>
      <c r="J5006" t="s">
        <v>48</v>
      </c>
      <c r="K5006" s="2" t="str">
        <f>HYPERLINK("https://www.nba.com/stats/events?CFID=&amp;CFPARAMS=&amp;GameEventID=577&amp;GameID=0021801083&amp;Season=2018-19&amp;flag=1&amp;title=Leonard%201'%20Cutting%20Layup%20Shot%20(29%20PTS)%20(Gasol%205%20AST)", "Leonard 1' Cutting Layup Shot (29 PTS) (Gasol 5 AST)")</f>
        <v>Leonard 1' Cutting Layup Shot (29 PTS) (Gasol 5 AST)</v>
      </c>
      <c r="L5006" s="2" t="str">
        <f>HYPERLINK("https://www.nba.com/game/...-vs-...-0021801083/play-by-play?watchFullGame=true", "TOR vs OKC - Q4 04:00.00")</f>
        <v>TOR vs OKC - Q4 04:00.00</v>
      </c>
      <c r="M5006">
        <v>1</v>
      </c>
      <c r="N5006">
        <v>-11</v>
      </c>
      <c r="O5006">
        <v>-5</v>
      </c>
      <c r="P5006">
        <v>-11</v>
      </c>
      <c r="Q5006">
        <v>-5</v>
      </c>
      <c r="R5006" t="s">
        <v>21</v>
      </c>
      <c r="S5006" t="s">
        <v>21</v>
      </c>
    </row>
    <row r="5007" spans="1:19" hidden="1" x14ac:dyDescent="0.25">
      <c r="A5007">
        <v>21600134</v>
      </c>
      <c r="B5007" t="s">
        <v>18</v>
      </c>
      <c r="C5007" t="s">
        <v>46</v>
      </c>
      <c r="D5007">
        <v>96</v>
      </c>
      <c r="E5007">
        <v>87</v>
      </c>
      <c r="F5007">
        <v>9</v>
      </c>
      <c r="G5007">
        <v>4</v>
      </c>
      <c r="H5007" s="1">
        <v>2.9282407407407408E-3</v>
      </c>
      <c r="I5007">
        <v>2016</v>
      </c>
      <c r="J5007" t="s">
        <v>20</v>
      </c>
      <c r="K5007" s="2" t="str">
        <f>HYPERLINK("https://www.nba.com/stats/events?CFID=&amp;CFPARAMS=&amp;GameEventID=487&amp;GameID=0021600134&amp;Season=2016-17&amp;flag=1&amp;title=Leonard%20%20Cutting%20Dunk%20Shot%20(16%20PTS)%20(Aldridge%202%20AST)", "Leonard  Cutting Dunk Shot (16 PTS) (Aldridge 2 AST)")</f>
        <v>Leonard  Cutting Dunk Shot (16 PTS) (Aldridge 2 AST)</v>
      </c>
      <c r="L5007" s="2" t="str">
        <f>HYPERLINK("https://www.nba.com/game/...-vs-...-0021600134/play-by-play?watchFullGame=true", "SAS vs HOU - Q4 04:13.00")</f>
        <v>SAS vs HOU - Q4 04:13.00</v>
      </c>
      <c r="M5007">
        <v>0</v>
      </c>
      <c r="N5007">
        <v>0</v>
      </c>
      <c r="O5007">
        <v>1</v>
      </c>
      <c r="P5007">
        <v>0</v>
      </c>
      <c r="Q5007">
        <v>1</v>
      </c>
      <c r="R5007" t="s">
        <v>21</v>
      </c>
      <c r="S5007" t="s">
        <v>21</v>
      </c>
    </row>
    <row r="5008" spans="1:19" hidden="1" x14ac:dyDescent="0.25">
      <c r="A5008">
        <v>21500207</v>
      </c>
      <c r="B5008" t="s">
        <v>18</v>
      </c>
      <c r="C5008" t="s">
        <v>23</v>
      </c>
      <c r="D5008">
        <v>16</v>
      </c>
      <c r="E5008">
        <v>13</v>
      </c>
      <c r="F5008">
        <v>3</v>
      </c>
      <c r="G5008">
        <v>1</v>
      </c>
      <c r="H5008" s="1">
        <v>2.9513888888888888E-3</v>
      </c>
      <c r="I5008">
        <v>2015</v>
      </c>
      <c r="J5008" t="s">
        <v>20</v>
      </c>
      <c r="K5008" s="2" t="str">
        <f>HYPERLINK("https://www.nba.com/stats/events?CFID=&amp;CFPARAMS=&amp;GameEventID=70&amp;GameID=0021500207&amp;Season=2015-16&amp;flag=1&amp;title=Leonard%20%20Dunk%20(9%20PTS)%20(Parker%201%20AST)", "Leonard  Dunk (9 PTS) (Parker 1 AST)")</f>
        <v>Leonard  Dunk (9 PTS) (Parker 1 AST)</v>
      </c>
      <c r="L5008" s="2" t="str">
        <f>HYPERLINK("https://www.nba.com/game/...-vs-...-0021500207/play-by-play?watchFullGame=true", "SAS vs PHX - Q1 04:15.00")</f>
        <v>SAS vs PHX - Q1 04:15.00</v>
      </c>
      <c r="M5008">
        <v>0</v>
      </c>
      <c r="N5008">
        <v>0</v>
      </c>
      <c r="O5008">
        <v>1</v>
      </c>
      <c r="P5008">
        <v>0</v>
      </c>
      <c r="Q5008">
        <v>1</v>
      </c>
      <c r="R5008" t="s">
        <v>21</v>
      </c>
      <c r="S5008" t="s">
        <v>21</v>
      </c>
    </row>
    <row r="5009" spans="1:19" hidden="1" x14ac:dyDescent="0.25">
      <c r="A5009">
        <v>21800359</v>
      </c>
      <c r="B5009" t="s">
        <v>18</v>
      </c>
      <c r="C5009" t="s">
        <v>22</v>
      </c>
      <c r="D5009">
        <v>73</v>
      </c>
      <c r="E5009">
        <v>69</v>
      </c>
      <c r="F5009">
        <v>4</v>
      </c>
      <c r="G5009">
        <v>3</v>
      </c>
      <c r="H5009" s="1">
        <v>2.7893518518518519E-3</v>
      </c>
      <c r="I5009">
        <v>2018</v>
      </c>
      <c r="J5009" t="s">
        <v>48</v>
      </c>
      <c r="K5009" s="2" t="str">
        <f>HYPERLINK("https://www.nba.com/stats/events?CFID=&amp;CFPARAMS=&amp;GameEventID=472&amp;GameID=0021800359&amp;Season=2018-19&amp;flag=1&amp;title=Leonard%201'%20Driving%20Layup%20(28%20PTS)%20(Ibaka%202%20AST)", "Leonard 1' Driving Layup (28 PTS) (Ibaka 2 AST)")</f>
        <v>Leonard 1' Driving Layup (28 PTS) (Ibaka 2 AST)</v>
      </c>
      <c r="L5009" s="2" t="str">
        <f>HYPERLINK("https://www.nba.com/game/...-vs-...-0021800359/play-by-play?watchFullGame=true", "TOR vs PHI - Q3 04:01.00")</f>
        <v>TOR vs PHI - Q3 04:01.00</v>
      </c>
      <c r="M5009">
        <v>1</v>
      </c>
      <c r="N5009">
        <v>8</v>
      </c>
      <c r="O5009">
        <v>4</v>
      </c>
      <c r="P5009">
        <v>8</v>
      </c>
      <c r="Q5009">
        <v>4</v>
      </c>
      <c r="R5009" t="s">
        <v>21</v>
      </c>
      <c r="S5009" t="s">
        <v>21</v>
      </c>
    </row>
    <row r="5010" spans="1:19" hidden="1" x14ac:dyDescent="0.25">
      <c r="A5010">
        <v>21500465</v>
      </c>
      <c r="B5010" t="s">
        <v>18</v>
      </c>
      <c r="C5010" t="s">
        <v>51</v>
      </c>
      <c r="D5010">
        <v>17</v>
      </c>
      <c r="E5010">
        <v>22</v>
      </c>
      <c r="F5010">
        <v>5</v>
      </c>
      <c r="G5010">
        <v>1</v>
      </c>
      <c r="H5010" s="1">
        <v>2.8009259259259259E-3</v>
      </c>
      <c r="I5010">
        <v>2015</v>
      </c>
      <c r="J5010" t="s">
        <v>20</v>
      </c>
      <c r="K5010" s="2" t="str">
        <f>HYPERLINK("https://www.nba.com/stats/events?CFID=&amp;CFPARAMS=&amp;GameEventID=68&amp;GameID=0021500465&amp;Season=2015-16&amp;flag=1&amp;title=Leonard%201'%20Running%20Layup%20(7%20PTS)", "Leonard 1' Running Layup (7 PTS)")</f>
        <v>Leonard 1' Running Layup (7 PTS)</v>
      </c>
      <c r="L5010" s="2" t="str">
        <f>HYPERLINK("https://www.nba.com/game/...-vs-...-0021500465/play-by-play?watchFullGame=true", "SAS vs MIN - Q1 04:02.00")</f>
        <v>SAS vs MIN - Q1 04:02.00</v>
      </c>
      <c r="M5010">
        <v>1</v>
      </c>
      <c r="N5010">
        <v>-11</v>
      </c>
      <c r="O5010">
        <v>-5</v>
      </c>
      <c r="P5010">
        <v>-11</v>
      </c>
      <c r="Q5010">
        <v>-5</v>
      </c>
      <c r="R5010" t="s">
        <v>21</v>
      </c>
      <c r="S5010" t="s">
        <v>21</v>
      </c>
    </row>
    <row r="5011" spans="1:19" hidden="1" x14ac:dyDescent="0.25">
      <c r="A5011">
        <v>21500546</v>
      </c>
      <c r="B5011" t="s">
        <v>18</v>
      </c>
      <c r="C5011" t="s">
        <v>50</v>
      </c>
      <c r="D5011">
        <v>42</v>
      </c>
      <c r="E5011">
        <v>41</v>
      </c>
      <c r="F5011">
        <v>1</v>
      </c>
      <c r="G5011">
        <v>2</v>
      </c>
      <c r="H5011" s="1">
        <v>2.9861111111111113E-3</v>
      </c>
      <c r="I5011">
        <v>2015</v>
      </c>
      <c r="J5011" t="s">
        <v>20</v>
      </c>
      <c r="K5011" s="2" t="str">
        <f>HYPERLINK("https://www.nba.com/stats/events?CFID=&amp;CFPARAMS=&amp;GameEventID=231&amp;GameID=0021500546&amp;Season=2015-16&amp;flag=1&amp;title=Leonard%20%20Running%20Dunk%20(11%20PTS)", "Leonard  Running Dunk (11 PTS)")</f>
        <v>Leonard  Running Dunk (11 PTS)</v>
      </c>
      <c r="L5011" s="2" t="str">
        <f>HYPERLINK("https://www.nba.com/game/...-vs-...-0021500546/play-by-play?watchFullGame=true", "SAS vs NYK - Q2 04:18.00")</f>
        <v>SAS vs NYK - Q2 04:18.00</v>
      </c>
      <c r="M5011">
        <v>0</v>
      </c>
      <c r="N5011">
        <v>0</v>
      </c>
      <c r="O5011">
        <v>1</v>
      </c>
      <c r="P5011">
        <v>0</v>
      </c>
      <c r="Q5011">
        <v>1</v>
      </c>
      <c r="R5011" t="s">
        <v>21</v>
      </c>
      <c r="S5011" t="s">
        <v>21</v>
      </c>
    </row>
    <row r="5012" spans="1:19" hidden="1" x14ac:dyDescent="0.25">
      <c r="A5012">
        <v>21300068</v>
      </c>
      <c r="B5012" t="s">
        <v>18</v>
      </c>
      <c r="C5012" t="s">
        <v>24</v>
      </c>
      <c r="D5012">
        <v>68</v>
      </c>
      <c r="E5012">
        <v>66</v>
      </c>
      <c r="F5012">
        <v>2</v>
      </c>
      <c r="G5012">
        <v>3</v>
      </c>
      <c r="H5012" s="1">
        <v>2.8124999999999999E-3</v>
      </c>
      <c r="I5012">
        <v>2013</v>
      </c>
      <c r="J5012" t="s">
        <v>20</v>
      </c>
      <c r="K5012" s="2" t="str">
        <f>HYPERLINK("https://www.nba.com/stats/events?CFID=&amp;CFPARAMS=&amp;GameEventID=294&amp;GameID=0021300068&amp;Season=2013-14&amp;flag=1&amp;title=Leonard%201'%20Layup%20(8%20PTS)", "Leonard 1' Layup (8 PTS)")</f>
        <v>Leonard 1' Layup (8 PTS)</v>
      </c>
      <c r="L5012" s="2" t="str">
        <f>HYPERLINK("https://www.nba.com/game/...-vs-...-0021300068/play-by-play?watchFullGame=true", "SAS vs PHX - Q3 04:03.00")</f>
        <v>SAS vs PHX - Q3 04:03.00</v>
      </c>
      <c r="M5012">
        <v>1</v>
      </c>
      <c r="N5012">
        <v>9</v>
      </c>
      <c r="O5012">
        <v>9</v>
      </c>
      <c r="P5012">
        <v>9</v>
      </c>
      <c r="Q5012">
        <v>9</v>
      </c>
      <c r="R5012" t="s">
        <v>21</v>
      </c>
      <c r="S5012" t="s">
        <v>21</v>
      </c>
    </row>
    <row r="5013" spans="1:19" hidden="1" x14ac:dyDescent="0.25">
      <c r="A5013">
        <v>21500061</v>
      </c>
      <c r="B5013" t="s">
        <v>18</v>
      </c>
      <c r="C5013" t="s">
        <v>74</v>
      </c>
      <c r="D5013">
        <v>45</v>
      </c>
      <c r="E5013">
        <v>39</v>
      </c>
      <c r="F5013">
        <v>6</v>
      </c>
      <c r="G5013">
        <v>2</v>
      </c>
      <c r="H5013" s="1">
        <v>2.8240740740740739E-3</v>
      </c>
      <c r="I5013">
        <v>2015</v>
      </c>
      <c r="J5013" t="s">
        <v>20</v>
      </c>
      <c r="K5013" s="2" t="str">
        <f>HYPERLINK("https://www.nba.com/stats/events?CFID=&amp;CFPARAMS=&amp;GameEventID=196&amp;GameID=0021500061&amp;Season=2015-16&amp;flag=1&amp;title=Leonard%201'%20Cutting%20Finger%20Roll%20Layup%20Shot%20(14%20PTS)%20(Parker%203%20AST)", "Leonard 1' Cutting Finger Roll Layup Shot (14 PTS) (Parker 3 AST)")</f>
        <v>Leonard 1' Cutting Finger Roll Layup Shot (14 PTS) (Parker 3 AST)</v>
      </c>
      <c r="L5013" s="2" t="str">
        <f>HYPERLINK("https://www.nba.com/game/...-vs-...-0021500061/play-by-play?watchFullGame=true", "SAS vs WAS - Q2 04:04.00")</f>
        <v>SAS vs WAS - Q2 04:04.00</v>
      </c>
      <c r="M5013">
        <v>1</v>
      </c>
      <c r="N5013">
        <v>-9</v>
      </c>
      <c r="O5013">
        <v>2</v>
      </c>
      <c r="P5013">
        <v>-9</v>
      </c>
      <c r="Q5013">
        <v>2</v>
      </c>
      <c r="R5013" t="s">
        <v>21</v>
      </c>
      <c r="S5013" t="s">
        <v>21</v>
      </c>
    </row>
    <row r="5014" spans="1:19" hidden="1" x14ac:dyDescent="0.25">
      <c r="A5014">
        <v>21301186</v>
      </c>
      <c r="B5014" t="s">
        <v>18</v>
      </c>
      <c r="C5014" t="s">
        <v>35</v>
      </c>
      <c r="D5014">
        <v>76</v>
      </c>
      <c r="E5014">
        <v>78</v>
      </c>
      <c r="F5014">
        <v>2</v>
      </c>
      <c r="G5014">
        <v>3</v>
      </c>
      <c r="H5014" s="1">
        <v>2.8240740740740739E-3</v>
      </c>
      <c r="I5014">
        <v>2013</v>
      </c>
      <c r="J5014" t="s">
        <v>20</v>
      </c>
      <c r="K5014" s="2" t="str">
        <f>HYPERLINK("https://www.nba.com/stats/events?CFID=&amp;CFPARAMS=&amp;GameEventID=331&amp;GameID=0021301186&amp;Season=2013-14&amp;flag=1&amp;title=Leonard%201'%20Reverse%20Layup%20(10%20PTS)%20(Diaw%203%20AST)", "Leonard 1' Reverse Layup (10 PTS) (Diaw 3 AST)")</f>
        <v>Leonard 1' Reverse Layup (10 PTS) (Diaw 3 AST)</v>
      </c>
      <c r="L5014" s="2" t="str">
        <f>HYPERLINK("https://www.nba.com/game/...-vs-...-0021301186/play-by-play?watchFullGame=true", "SAS vs PHX - Q3 04:04.00")</f>
        <v>SAS vs PHX - Q3 04:04.00</v>
      </c>
      <c r="M5014">
        <v>1</v>
      </c>
      <c r="N5014">
        <v>0</v>
      </c>
      <c r="O5014">
        <v>-8</v>
      </c>
      <c r="P5014">
        <v>0</v>
      </c>
      <c r="Q5014">
        <v>-8</v>
      </c>
      <c r="R5014" t="s">
        <v>21</v>
      </c>
      <c r="S5014" t="s">
        <v>21</v>
      </c>
    </row>
    <row r="5015" spans="1:19" hidden="1" x14ac:dyDescent="0.25">
      <c r="A5015">
        <v>21500257</v>
      </c>
      <c r="B5015" t="s">
        <v>18</v>
      </c>
      <c r="C5015" t="s">
        <v>25</v>
      </c>
      <c r="D5015">
        <v>38</v>
      </c>
      <c r="E5015">
        <v>39</v>
      </c>
      <c r="F5015">
        <v>1</v>
      </c>
      <c r="G5015">
        <v>2</v>
      </c>
      <c r="H5015" s="1">
        <v>2.9976851851851853E-3</v>
      </c>
      <c r="I5015">
        <v>2015</v>
      </c>
      <c r="J5015" t="s">
        <v>20</v>
      </c>
      <c r="K5015" s="2" t="str">
        <f>HYPERLINK("https://www.nba.com/stats/events?CFID=&amp;CFPARAMS=&amp;GameEventID=193&amp;GameID=0021500257&amp;Season=2015-16&amp;flag=1&amp;title=Leonard%20%20Driving%20Dunk%20(9%20PTS)%20(Parker%206%20AST)", "Leonard  Driving Dunk (9 PTS) (Parker 6 AST)")</f>
        <v>Leonard  Driving Dunk (9 PTS) (Parker 6 AST)</v>
      </c>
      <c r="L5015" s="2" t="str">
        <f>HYPERLINK("https://www.nba.com/game/...-vs-...-0021500257/play-by-play?watchFullGame=true", "SAS vs CHI - Q2 04:19.00")</f>
        <v>SAS vs CHI - Q2 04:19.00</v>
      </c>
      <c r="M5015">
        <v>0</v>
      </c>
      <c r="N5015">
        <v>0</v>
      </c>
      <c r="O5015">
        <v>1</v>
      </c>
      <c r="P5015">
        <v>0</v>
      </c>
      <c r="Q5015">
        <v>1</v>
      </c>
      <c r="R5015" t="s">
        <v>21</v>
      </c>
      <c r="S5015" t="s">
        <v>21</v>
      </c>
    </row>
    <row r="5016" spans="1:19" hidden="1" x14ac:dyDescent="0.25">
      <c r="A5016">
        <v>21500061</v>
      </c>
      <c r="B5016" t="s">
        <v>18</v>
      </c>
      <c r="C5016" t="s">
        <v>50</v>
      </c>
      <c r="D5016">
        <v>43</v>
      </c>
      <c r="E5016">
        <v>39</v>
      </c>
      <c r="F5016">
        <v>4</v>
      </c>
      <c r="G5016">
        <v>2</v>
      </c>
      <c r="H5016" s="1">
        <v>3.0439814814814813E-3</v>
      </c>
      <c r="I5016">
        <v>2015</v>
      </c>
      <c r="J5016" t="s">
        <v>20</v>
      </c>
      <c r="K5016" s="2" t="str">
        <f>HYPERLINK("https://www.nba.com/stats/events?CFID=&amp;CFPARAMS=&amp;GameEventID=193&amp;GameID=0021500061&amp;Season=2015-16&amp;flag=1&amp;title=Leonard%20%20Running%20Dunk%20(12%20PTS)", "Leonard  Running Dunk (12 PTS)")</f>
        <v>Leonard  Running Dunk (12 PTS)</v>
      </c>
      <c r="L5016" s="2" t="str">
        <f>HYPERLINK("https://www.nba.com/game/...-vs-...-0021500061/play-by-play?watchFullGame=true", "SAS vs WAS - Q2 04:23.00")</f>
        <v>SAS vs WAS - Q2 04:23.00</v>
      </c>
      <c r="M5016">
        <v>0</v>
      </c>
      <c r="N5016">
        <v>0</v>
      </c>
      <c r="O5016">
        <v>1</v>
      </c>
      <c r="P5016">
        <v>0</v>
      </c>
      <c r="Q5016">
        <v>1</v>
      </c>
      <c r="R5016" t="s">
        <v>21</v>
      </c>
      <c r="S5016" t="s">
        <v>21</v>
      </c>
    </row>
    <row r="5017" spans="1:19" hidden="1" x14ac:dyDescent="0.25">
      <c r="A5017">
        <v>21400354</v>
      </c>
      <c r="B5017" t="s">
        <v>18</v>
      </c>
      <c r="C5017" t="s">
        <v>23</v>
      </c>
      <c r="D5017">
        <v>62</v>
      </c>
      <c r="E5017">
        <v>46</v>
      </c>
      <c r="F5017">
        <v>16</v>
      </c>
      <c r="G5017">
        <v>3</v>
      </c>
      <c r="H5017" s="1">
        <v>3.0671296296296297E-3</v>
      </c>
      <c r="I5017">
        <v>2014</v>
      </c>
      <c r="J5017" t="s">
        <v>20</v>
      </c>
      <c r="K5017" s="2" t="str">
        <f>HYPERLINK("https://www.nba.com/stats/events?CFID=&amp;CFPARAMS=&amp;GameEventID=345&amp;GameID=0021400354&amp;Season=2014-15&amp;flag=1&amp;title=Leonard%20%20Dunk%20(12%20PTS)%20(Ginobili%204%20AST)", "Leonard  Dunk (12 PTS) (Ginobili 4 AST)")</f>
        <v>Leonard  Dunk (12 PTS) (Ginobili 4 AST)</v>
      </c>
      <c r="L5017" s="2" t="str">
        <f>HYPERLINK("https://www.nba.com/game/...-vs-...-0021400354/play-by-play?watchFullGame=true", "SAS vs DEN - Q3 04:25.00")</f>
        <v>SAS vs DEN - Q3 04:25.00</v>
      </c>
      <c r="M5017">
        <v>0</v>
      </c>
      <c r="N5017">
        <v>0</v>
      </c>
      <c r="O5017">
        <v>1</v>
      </c>
      <c r="P5017">
        <v>0</v>
      </c>
      <c r="Q5017">
        <v>1</v>
      </c>
      <c r="R5017" t="s">
        <v>21</v>
      </c>
      <c r="S5017" t="s">
        <v>21</v>
      </c>
    </row>
    <row r="5018" spans="1:19" hidden="1" x14ac:dyDescent="0.25">
      <c r="A5018">
        <v>41500151</v>
      </c>
      <c r="B5018" t="s">
        <v>18</v>
      </c>
      <c r="C5018" t="s">
        <v>33</v>
      </c>
      <c r="D5018">
        <v>37</v>
      </c>
      <c r="E5018">
        <v>30</v>
      </c>
      <c r="F5018">
        <v>7</v>
      </c>
      <c r="G5018">
        <v>2</v>
      </c>
      <c r="H5018" s="1">
        <v>2.8819444444444444E-3</v>
      </c>
      <c r="I5018" t="s">
        <v>57</v>
      </c>
      <c r="J5018" t="s">
        <v>20</v>
      </c>
      <c r="K5018" s="2" t="str">
        <f>HYPERLINK("https://www.nba.com/stats/events?CFID=&amp;CFPARAMS=&amp;GameEventID=196&amp;GameID=0041500151&amp;Season=2015-16&amp;flag=1&amp;title=Leonard%201'%20Putback%20Layup%20(12%20PTS)", "Leonard 1' Putback Layup (12 PTS)")</f>
        <v>Leonard 1' Putback Layup (12 PTS)</v>
      </c>
      <c r="L5018" s="2" t="str">
        <f>HYPERLINK("https://www.nba.com/game/...-vs-...-0041500151/play-by-play?watchFullGame=true", "SAS vs MEM - Q2 04:09.00")</f>
        <v>SAS vs MEM - Q2 04:09.00</v>
      </c>
      <c r="M5018">
        <v>1</v>
      </c>
      <c r="N5018">
        <v>12</v>
      </c>
      <c r="O5018">
        <v>-1</v>
      </c>
      <c r="P5018">
        <v>12</v>
      </c>
      <c r="Q5018">
        <v>-1</v>
      </c>
      <c r="R5018" t="s">
        <v>21</v>
      </c>
      <c r="S5018" t="s">
        <v>21</v>
      </c>
    </row>
    <row r="5019" spans="1:19" hidden="1" x14ac:dyDescent="0.25">
      <c r="A5019">
        <v>41800111</v>
      </c>
      <c r="B5019" t="s">
        <v>18</v>
      </c>
      <c r="C5019" t="s">
        <v>35</v>
      </c>
      <c r="D5019">
        <v>71</v>
      </c>
      <c r="E5019">
        <v>67</v>
      </c>
      <c r="F5019">
        <v>4</v>
      </c>
      <c r="G5019">
        <v>3</v>
      </c>
      <c r="H5019" s="1">
        <v>2.8935185185185184E-3</v>
      </c>
      <c r="I5019" t="s">
        <v>60</v>
      </c>
      <c r="J5019" t="s">
        <v>48</v>
      </c>
      <c r="K5019" s="2" t="str">
        <f>HYPERLINK("https://www.nba.com/stats/events?CFID=&amp;CFPARAMS=&amp;GameEventID=394&amp;GameID=0041800111&amp;Season=2018-19&amp;flag=1&amp;title=Leonard%201'%20Reverse%20Layup%20(18%20PTS)", "Leonard 1' Reverse Layup (18 PTS)")</f>
        <v>Leonard 1' Reverse Layup (18 PTS)</v>
      </c>
      <c r="L5019" s="2" t="str">
        <f>HYPERLINK("https://www.nba.com/game/...-vs-...-0041800111/play-by-play?watchFullGame=true", "TOR vs ORL - Q3 04:10.00")</f>
        <v>TOR vs ORL - Q3 04:10.00</v>
      </c>
      <c r="M5019">
        <v>1</v>
      </c>
      <c r="N5019">
        <v>-11</v>
      </c>
      <c r="O5019">
        <v>3</v>
      </c>
      <c r="P5019">
        <v>-11</v>
      </c>
      <c r="Q5019">
        <v>3</v>
      </c>
      <c r="R5019" t="s">
        <v>21</v>
      </c>
      <c r="S5019" t="s">
        <v>21</v>
      </c>
    </row>
    <row r="5020" spans="1:19" hidden="1" x14ac:dyDescent="0.25">
      <c r="A5020">
        <v>41800217</v>
      </c>
      <c r="B5020" t="s">
        <v>18</v>
      </c>
      <c r="C5020" t="s">
        <v>24</v>
      </c>
      <c r="D5020">
        <v>54</v>
      </c>
      <c r="E5020">
        <v>57</v>
      </c>
      <c r="F5020">
        <v>3</v>
      </c>
      <c r="G5020">
        <v>3</v>
      </c>
      <c r="H5020" s="1">
        <v>2.8935185185185184E-3</v>
      </c>
      <c r="I5020" t="s">
        <v>60</v>
      </c>
      <c r="J5020" t="s">
        <v>48</v>
      </c>
      <c r="K5020" s="2" t="str">
        <f>HYPERLINK("https://www.nba.com/stats/events?CFID=&amp;CFPARAMS=&amp;GameEventID=400&amp;GameID=0041800217&amp;Season=2018-19&amp;flag=1&amp;title=Leonard%201'%20Layup%20(21%20PTS)%20(Ibaka%202%20AST)", "Leonard 1' Layup (21 PTS) (Ibaka 2 AST)")</f>
        <v>Leonard 1' Layup (21 PTS) (Ibaka 2 AST)</v>
      </c>
      <c r="L5020" s="2" t="str">
        <f>HYPERLINK("https://www.nba.com/game/...-vs-...-0041800217/play-by-play?watchFullGame=true", "TOR vs PHI - Q3 04:10.00")</f>
        <v>TOR vs PHI - Q3 04:10.00</v>
      </c>
      <c r="M5020">
        <v>1</v>
      </c>
      <c r="N5020">
        <v>-8</v>
      </c>
      <c r="O5020">
        <v>10</v>
      </c>
      <c r="P5020">
        <v>-8</v>
      </c>
      <c r="Q5020">
        <v>10</v>
      </c>
      <c r="R5020" t="s">
        <v>21</v>
      </c>
      <c r="S5020" t="s">
        <v>21</v>
      </c>
    </row>
    <row r="5021" spans="1:19" hidden="1" x14ac:dyDescent="0.25">
      <c r="A5021">
        <v>21400853</v>
      </c>
      <c r="B5021" t="s">
        <v>18</v>
      </c>
      <c r="C5021" t="s">
        <v>22</v>
      </c>
      <c r="D5021">
        <v>39</v>
      </c>
      <c r="E5021">
        <v>46</v>
      </c>
      <c r="F5021">
        <v>7</v>
      </c>
      <c r="G5021">
        <v>2</v>
      </c>
      <c r="H5021" s="1">
        <v>2.9050925925925928E-3</v>
      </c>
      <c r="I5021">
        <v>2014</v>
      </c>
      <c r="J5021" t="s">
        <v>20</v>
      </c>
      <c r="K5021" s="2" t="str">
        <f>HYPERLINK("https://www.nba.com/stats/events?CFID=&amp;CFPARAMS=&amp;GameEventID=165&amp;GameID=0021400853&amp;Season=2014-15&amp;flag=1&amp;title=Leonard%201'%20Driving%20Layup%20(5%20PTS)", "Leonard 1' Driving Layup (5 PTS)")</f>
        <v>Leonard 1' Driving Layup (5 PTS)</v>
      </c>
      <c r="L5021" s="2" t="str">
        <f>HYPERLINK("https://www.nba.com/game/...-vs-...-0021400853/play-by-play?watchFullGame=true", "SAS vs POR - Q2 04:11.00")</f>
        <v>SAS vs POR - Q2 04:11.00</v>
      </c>
      <c r="M5021">
        <v>1</v>
      </c>
      <c r="N5021">
        <v>9</v>
      </c>
      <c r="O5021">
        <v>1</v>
      </c>
      <c r="P5021">
        <v>9</v>
      </c>
      <c r="Q5021">
        <v>1</v>
      </c>
      <c r="R5021" t="s">
        <v>21</v>
      </c>
      <c r="S5021" t="s">
        <v>21</v>
      </c>
    </row>
    <row r="5022" spans="1:19" hidden="1" x14ac:dyDescent="0.25">
      <c r="A5022">
        <v>21800008</v>
      </c>
      <c r="B5022" t="s">
        <v>18</v>
      </c>
      <c r="C5022" t="s">
        <v>41</v>
      </c>
      <c r="D5022">
        <v>48</v>
      </c>
      <c r="E5022">
        <v>41</v>
      </c>
      <c r="F5022">
        <v>7</v>
      </c>
      <c r="G5022">
        <v>2</v>
      </c>
      <c r="H5022" s="1">
        <v>2.9282407407407408E-3</v>
      </c>
      <c r="I5022">
        <v>2018</v>
      </c>
      <c r="J5022" t="s">
        <v>48</v>
      </c>
      <c r="K5022" s="2" t="str">
        <f>HYPERLINK("https://www.nba.com/stats/events?CFID=&amp;CFPARAMS=&amp;GameEventID=281&amp;GameID=0021800008&amp;Season=2018-19&amp;flag=1&amp;title=Leonard%201'%20Tip%20Layup%20Shot%20(8%20PTS)", "Leonard 1' Tip Layup Shot (8 PTS)")</f>
        <v>Leonard 1' Tip Layup Shot (8 PTS)</v>
      </c>
      <c r="L5022" s="2" t="str">
        <f>HYPERLINK("https://www.nba.com/game/...-vs-...-0021800008/play-by-play?watchFullGame=true", "TOR vs CLE - Q2 04:13.00")</f>
        <v>TOR vs CLE - Q2 04:13.00</v>
      </c>
      <c r="M5022">
        <v>1</v>
      </c>
      <c r="N5022">
        <v>0</v>
      </c>
      <c r="O5022">
        <v>-6</v>
      </c>
      <c r="P5022">
        <v>0</v>
      </c>
      <c r="Q5022">
        <v>-6</v>
      </c>
      <c r="R5022" t="s">
        <v>21</v>
      </c>
      <c r="S5022" t="s">
        <v>21</v>
      </c>
    </row>
    <row r="5023" spans="1:19" hidden="1" x14ac:dyDescent="0.25">
      <c r="A5023">
        <v>21300520</v>
      </c>
      <c r="B5023" t="s">
        <v>18</v>
      </c>
      <c r="C5023" t="s">
        <v>24</v>
      </c>
      <c r="D5023">
        <v>21</v>
      </c>
      <c r="E5023">
        <v>12</v>
      </c>
      <c r="F5023">
        <v>9</v>
      </c>
      <c r="G5023">
        <v>1</v>
      </c>
      <c r="H5023" s="1">
        <v>2.9513888888888888E-3</v>
      </c>
      <c r="I5023">
        <v>2013</v>
      </c>
      <c r="J5023" t="s">
        <v>20</v>
      </c>
      <c r="K5023" s="2" t="str">
        <f>HYPERLINK("https://www.nba.com/stats/events?CFID=&amp;CFPARAMS=&amp;GameEventID=81&amp;GameID=0021300520&amp;Season=2013-14&amp;flag=1&amp;title=Leonard%201'%20Layup%20(7%20PTS)%20(Parker%203%20AST)", "Leonard 1' Layup (7 PTS) (Parker 3 AST)")</f>
        <v>Leonard 1' Layup (7 PTS) (Parker 3 AST)</v>
      </c>
      <c r="L5023" s="2" t="str">
        <f>HYPERLINK("https://www.nba.com/game/...-vs-...-0021300520/play-by-play?watchFullGame=true", "SAS vs DAL - Q1 04:15.00")</f>
        <v>SAS vs DAL - Q1 04:15.00</v>
      </c>
      <c r="M5023">
        <v>1</v>
      </c>
      <c r="N5023">
        <v>9</v>
      </c>
      <c r="O5023">
        <v>-2</v>
      </c>
      <c r="P5023">
        <v>9</v>
      </c>
      <c r="Q5023">
        <v>-2</v>
      </c>
      <c r="R5023" t="s">
        <v>21</v>
      </c>
      <c r="S5023" t="s">
        <v>21</v>
      </c>
    </row>
    <row r="5024" spans="1:19" hidden="1" x14ac:dyDescent="0.25">
      <c r="A5024">
        <v>21301092</v>
      </c>
      <c r="B5024" t="s">
        <v>18</v>
      </c>
      <c r="C5024" t="s">
        <v>24</v>
      </c>
      <c r="D5024">
        <v>41</v>
      </c>
      <c r="E5024">
        <v>29</v>
      </c>
      <c r="F5024">
        <v>12</v>
      </c>
      <c r="G5024">
        <v>2</v>
      </c>
      <c r="H5024" s="1">
        <v>2.9745370370370373E-3</v>
      </c>
      <c r="I5024">
        <v>2013</v>
      </c>
      <c r="J5024" t="s">
        <v>20</v>
      </c>
      <c r="K5024" s="2" t="str">
        <f>HYPERLINK("https://www.nba.com/stats/events?CFID=&amp;CFPARAMS=&amp;GameEventID=172&amp;GameID=0021301092&amp;Season=2013-14&amp;flag=1&amp;title=Leonard%201'%20Layup%20(9%20PTS)%20(Parker%202%20AST)", "Leonard 1' Layup (9 PTS) (Parker 2 AST)")</f>
        <v>Leonard 1' Layup (9 PTS) (Parker 2 AST)</v>
      </c>
      <c r="L5024" s="2" t="str">
        <f>HYPERLINK("https://www.nba.com/game/...-vs-...-0021301092/play-by-play?watchFullGame=true", "SAS vs NOP - Q2 04:17.00")</f>
        <v>SAS vs NOP - Q2 04:17.00</v>
      </c>
      <c r="M5024">
        <v>1</v>
      </c>
      <c r="N5024">
        <v>-10</v>
      </c>
      <c r="O5024">
        <v>-11</v>
      </c>
      <c r="P5024">
        <v>-10</v>
      </c>
      <c r="Q5024">
        <v>-11</v>
      </c>
      <c r="R5024" t="s">
        <v>21</v>
      </c>
      <c r="S5024" t="s">
        <v>21</v>
      </c>
    </row>
    <row r="5025" spans="1:19" hidden="1" x14ac:dyDescent="0.25">
      <c r="A5025">
        <v>21400714</v>
      </c>
      <c r="B5025" t="s">
        <v>18</v>
      </c>
      <c r="C5025" t="s">
        <v>35</v>
      </c>
      <c r="D5025">
        <v>17</v>
      </c>
      <c r="E5025">
        <v>19</v>
      </c>
      <c r="F5025">
        <v>2</v>
      </c>
      <c r="G5025">
        <v>1</v>
      </c>
      <c r="H5025" s="1">
        <v>2.9861111111111113E-3</v>
      </c>
      <c r="I5025">
        <v>2014</v>
      </c>
      <c r="J5025" t="s">
        <v>20</v>
      </c>
      <c r="K5025" s="2" t="str">
        <f>HYPERLINK("https://www.nba.com/stats/events?CFID=&amp;CFPARAMS=&amp;GameEventID=61&amp;GameID=0021400714&amp;Season=2014-15&amp;flag=1&amp;title=Leonard%201'%20Reverse%20Layup%20(4%20PTS)%20(Diaw%201%20AST)", "Leonard 1' Reverse Layup (4 PTS) (Diaw 1 AST)")</f>
        <v>Leonard 1' Reverse Layup (4 PTS) (Diaw 1 AST)</v>
      </c>
      <c r="L5025" s="2" t="str">
        <f>HYPERLINK("https://www.nba.com/game/...-vs-...-0021400714/play-by-play?watchFullGame=true", "SAS vs LAC - Q1 04:18.00")</f>
        <v>SAS vs LAC - Q1 04:18.00</v>
      </c>
      <c r="M5025">
        <v>1</v>
      </c>
      <c r="N5025">
        <v>7</v>
      </c>
      <c r="O5025">
        <v>11</v>
      </c>
      <c r="P5025">
        <v>7</v>
      </c>
      <c r="Q5025">
        <v>11</v>
      </c>
      <c r="R5025" t="s">
        <v>21</v>
      </c>
      <c r="S5025" t="s">
        <v>21</v>
      </c>
    </row>
    <row r="5026" spans="1:19" hidden="1" x14ac:dyDescent="0.25">
      <c r="A5026">
        <v>21400774</v>
      </c>
      <c r="B5026" t="s">
        <v>18</v>
      </c>
      <c r="C5026" t="s">
        <v>24</v>
      </c>
      <c r="D5026">
        <v>86</v>
      </c>
      <c r="E5026">
        <v>91</v>
      </c>
      <c r="F5026">
        <v>5</v>
      </c>
      <c r="G5026">
        <v>4</v>
      </c>
      <c r="H5026" s="1">
        <v>3.0092592592592593E-3</v>
      </c>
      <c r="I5026">
        <v>2014</v>
      </c>
      <c r="J5026" t="s">
        <v>20</v>
      </c>
      <c r="K5026" s="2" t="str">
        <f>HYPERLINK("https://www.nba.com/stats/events?CFID=&amp;CFPARAMS=&amp;GameEventID=419&amp;GameID=0021400774&amp;Season=2014-15&amp;flag=1&amp;title=Leonard%201'%20Layup%20(9%20PTS)", "Leonard 1' Layup (9 PTS)")</f>
        <v>Leonard 1' Layup (9 PTS)</v>
      </c>
      <c r="L5026" s="2" t="str">
        <f>HYPERLINK("https://www.nba.com/game/...-vs-...-0021400774/play-by-play?watchFullGame=true", "SAS vs IND - Q4 04:20.00")</f>
        <v>SAS vs IND - Q4 04:20.00</v>
      </c>
      <c r="M5026">
        <v>1</v>
      </c>
      <c r="N5026">
        <v>10</v>
      </c>
      <c r="O5026">
        <v>7</v>
      </c>
      <c r="P5026">
        <v>10</v>
      </c>
      <c r="Q5026">
        <v>7</v>
      </c>
      <c r="R5026" t="s">
        <v>21</v>
      </c>
      <c r="S5026" t="s">
        <v>21</v>
      </c>
    </row>
    <row r="5027" spans="1:19" hidden="1" x14ac:dyDescent="0.25">
      <c r="A5027">
        <v>21800658</v>
      </c>
      <c r="B5027" t="s">
        <v>18</v>
      </c>
      <c r="C5027" t="s">
        <v>22</v>
      </c>
      <c r="D5027">
        <v>75</v>
      </c>
      <c r="E5027">
        <v>80</v>
      </c>
      <c r="F5027">
        <v>5</v>
      </c>
      <c r="G5027">
        <v>3</v>
      </c>
      <c r="H5027" s="1">
        <v>3.0208333333333333E-3</v>
      </c>
      <c r="I5027">
        <v>2018</v>
      </c>
      <c r="J5027" t="s">
        <v>48</v>
      </c>
      <c r="K5027" s="2" t="str">
        <f>HYPERLINK("https://www.nba.com/stats/events?CFID=&amp;CFPARAMS=&amp;GameEventID=407&amp;GameID=0021800658&amp;Season=2018-19&amp;flag=1&amp;title=Leonard%201'%20Driving%20Layup%20(20%20PTS)", "Leonard 1' Driving Layup (20 PTS)")</f>
        <v>Leonard 1' Driving Layup (20 PTS)</v>
      </c>
      <c r="L5027" s="2" t="str">
        <f>HYPERLINK("https://www.nba.com/game/...-vs-...-0021800658/play-by-play?watchFullGame=true", "TOR vs BOS - Q3 04:21.00")</f>
        <v>TOR vs BOS - Q3 04:21.00</v>
      </c>
      <c r="M5027">
        <v>1</v>
      </c>
      <c r="N5027">
        <v>-13</v>
      </c>
      <c r="O5027">
        <v>1</v>
      </c>
      <c r="P5027">
        <v>-13</v>
      </c>
      <c r="Q5027">
        <v>1</v>
      </c>
      <c r="R5027" t="s">
        <v>21</v>
      </c>
      <c r="S5027" t="s">
        <v>21</v>
      </c>
    </row>
    <row r="5028" spans="1:19" hidden="1" x14ac:dyDescent="0.25">
      <c r="A5028">
        <v>41500233</v>
      </c>
      <c r="B5028" t="s">
        <v>18</v>
      </c>
      <c r="C5028" t="s">
        <v>25</v>
      </c>
      <c r="D5028">
        <v>63</v>
      </c>
      <c r="E5028">
        <v>60</v>
      </c>
      <c r="F5028">
        <v>3</v>
      </c>
      <c r="G5028">
        <v>3</v>
      </c>
      <c r="H5028" s="1">
        <v>3.0902777777777777E-3</v>
      </c>
      <c r="I5028" t="s">
        <v>57</v>
      </c>
      <c r="J5028" t="s">
        <v>20</v>
      </c>
      <c r="K5028" s="2" t="str">
        <f>HYPERLINK("https://www.nba.com/stats/events?CFID=&amp;CFPARAMS=&amp;GameEventID=341&amp;GameID=0041500233&amp;Season=2015-16&amp;flag=1&amp;title=Leonard%20%20Driving%20Dunk%20(17%20PTS)", "Leonard  Driving Dunk (17 PTS)")</f>
        <v>Leonard  Driving Dunk (17 PTS)</v>
      </c>
      <c r="L5028" s="2" t="str">
        <f>HYPERLINK("https://www.nba.com/game/...-vs-...-0041500233/play-by-play?watchFullGame=true", "SAS vs OKC - Q3 04:27.00")</f>
        <v>SAS vs OKC - Q3 04:27.00</v>
      </c>
      <c r="M5028">
        <v>0</v>
      </c>
      <c r="N5028">
        <v>0</v>
      </c>
      <c r="O5028">
        <v>1</v>
      </c>
      <c r="P5028">
        <v>0</v>
      </c>
      <c r="Q5028">
        <v>1</v>
      </c>
      <c r="R5028" t="s">
        <v>21</v>
      </c>
      <c r="S5028" t="s">
        <v>21</v>
      </c>
    </row>
    <row r="5029" spans="1:19" hidden="1" x14ac:dyDescent="0.25">
      <c r="A5029">
        <v>21401168</v>
      </c>
      <c r="B5029" t="s">
        <v>18</v>
      </c>
      <c r="C5029" t="s">
        <v>22</v>
      </c>
      <c r="D5029">
        <v>17</v>
      </c>
      <c r="E5029">
        <v>21</v>
      </c>
      <c r="F5029">
        <v>4</v>
      </c>
      <c r="G5029">
        <v>1</v>
      </c>
      <c r="H5029" s="1">
        <v>3.0208333333333333E-3</v>
      </c>
      <c r="I5029">
        <v>2014</v>
      </c>
      <c r="J5029" t="s">
        <v>20</v>
      </c>
      <c r="K5029" s="2" t="str">
        <f>HYPERLINK("https://www.nba.com/stats/events?CFID=&amp;CFPARAMS=&amp;GameEventID=90&amp;GameID=0021401168&amp;Season=2014-15&amp;flag=1&amp;title=Leonard%201'%20Driving%20Layup%20(2%20PTS)%20(Ginobili%201%20AST)", "Leonard 1' Driving Layup (2 PTS) (Ginobili 1 AST)")</f>
        <v>Leonard 1' Driving Layup (2 PTS) (Ginobili 1 AST)</v>
      </c>
      <c r="L5029" s="2" t="str">
        <f>HYPERLINK("https://www.nba.com/game/...-vs-...-0021401168/play-by-play?watchFullGame=true", "SAS vs HOU - Q1 04:21.00")</f>
        <v>SAS vs HOU - Q1 04:21.00</v>
      </c>
      <c r="M5029">
        <v>1</v>
      </c>
      <c r="N5029">
        <v>-5</v>
      </c>
      <c r="O5029">
        <v>3</v>
      </c>
      <c r="P5029">
        <v>-5</v>
      </c>
      <c r="Q5029">
        <v>3</v>
      </c>
      <c r="R5029" t="s">
        <v>21</v>
      </c>
      <c r="S5029" t="s">
        <v>21</v>
      </c>
    </row>
    <row r="5030" spans="1:19" hidden="1" x14ac:dyDescent="0.25">
      <c r="A5030">
        <v>21600264</v>
      </c>
      <c r="B5030" t="s">
        <v>18</v>
      </c>
      <c r="C5030" t="s">
        <v>40</v>
      </c>
      <c r="D5030">
        <v>28</v>
      </c>
      <c r="E5030">
        <v>29</v>
      </c>
      <c r="F5030">
        <v>1</v>
      </c>
      <c r="G5030">
        <v>2</v>
      </c>
      <c r="H5030" s="1">
        <v>3.0208333333333333E-3</v>
      </c>
      <c r="I5030">
        <v>2016</v>
      </c>
      <c r="J5030" t="s">
        <v>20</v>
      </c>
      <c r="K5030" s="2" t="str">
        <f>HYPERLINK("https://www.nba.com/stats/events?CFID=&amp;CFPARAMS=&amp;GameEventID=189&amp;GameID=0021600264&amp;Season=2016-17&amp;flag=1&amp;title=Leonard%201'%20Driving%20Finger%20Roll%20Layup%20(6%20PTS)", "Leonard 1' Driving Finger Roll Layup (6 PTS)")</f>
        <v>Leonard 1' Driving Finger Roll Layup (6 PTS)</v>
      </c>
      <c r="L5030" s="2" t="str">
        <f>HYPERLINK("https://www.nba.com/game/...-vs-...-0021600264/play-by-play?watchFullGame=true", "SAS vs ORL - Q2 04:21.00")</f>
        <v>SAS vs ORL - Q2 04:21.00</v>
      </c>
      <c r="M5030">
        <v>1</v>
      </c>
      <c r="N5030">
        <v>10</v>
      </c>
      <c r="O5030">
        <v>0</v>
      </c>
      <c r="P5030">
        <v>10</v>
      </c>
      <c r="Q5030">
        <v>0</v>
      </c>
      <c r="R5030" t="s">
        <v>21</v>
      </c>
      <c r="S5030" t="s">
        <v>21</v>
      </c>
    </row>
    <row r="5031" spans="1:19" hidden="1" x14ac:dyDescent="0.25">
      <c r="A5031">
        <v>21600865</v>
      </c>
      <c r="B5031" t="s">
        <v>18</v>
      </c>
      <c r="C5031" t="s">
        <v>25</v>
      </c>
      <c r="D5031">
        <v>94</v>
      </c>
      <c r="E5031">
        <v>86</v>
      </c>
      <c r="F5031">
        <v>8</v>
      </c>
      <c r="G5031">
        <v>4</v>
      </c>
      <c r="H5031" s="1">
        <v>3.1018518518518517E-3</v>
      </c>
      <c r="I5031">
        <v>2016</v>
      </c>
      <c r="J5031" t="s">
        <v>20</v>
      </c>
      <c r="K5031" s="2" t="str">
        <f>HYPERLINK("https://www.nba.com/stats/events?CFID=&amp;CFPARAMS=&amp;GameEventID=512&amp;GameID=0021600865&amp;Season=2016-17&amp;flag=1&amp;title=Leonard%20%20Driving%20Dunk%20(18%20PTS)%20(Gasol%202%20AST)", "Leonard  Driving Dunk (18 PTS) (Gasol 2 AST)")</f>
        <v>Leonard  Driving Dunk (18 PTS) (Gasol 2 AST)</v>
      </c>
      <c r="L5031" s="2" t="str">
        <f>HYPERLINK("https://www.nba.com/game/...-vs-...-0021600865/play-by-play?watchFullGame=true", "SAS vs LAC - Q4 04:28.00")</f>
        <v>SAS vs LAC - Q4 04:28.00</v>
      </c>
      <c r="M5031">
        <v>0</v>
      </c>
      <c r="N5031">
        <v>0</v>
      </c>
      <c r="O5031">
        <v>1</v>
      </c>
      <c r="P5031">
        <v>0</v>
      </c>
      <c r="Q5031">
        <v>1</v>
      </c>
      <c r="R5031" t="s">
        <v>21</v>
      </c>
      <c r="S5031" t="s">
        <v>21</v>
      </c>
    </row>
    <row r="5032" spans="1:19" hidden="1" x14ac:dyDescent="0.25">
      <c r="A5032">
        <v>21800347</v>
      </c>
      <c r="B5032" t="s">
        <v>18</v>
      </c>
      <c r="C5032" t="s">
        <v>74</v>
      </c>
      <c r="D5032">
        <v>20</v>
      </c>
      <c r="E5032">
        <v>16</v>
      </c>
      <c r="F5032">
        <v>4</v>
      </c>
      <c r="G5032">
        <v>1</v>
      </c>
      <c r="H5032" s="1">
        <v>3.0439814814814813E-3</v>
      </c>
      <c r="I5032">
        <v>2018</v>
      </c>
      <c r="J5032" t="s">
        <v>48</v>
      </c>
      <c r="K5032" s="2" t="str">
        <f>HYPERLINK("https://www.nba.com/stats/events?CFID=&amp;CFPARAMS=&amp;GameEventID=88&amp;GameID=0021800347&amp;Season=2018-19&amp;flag=1&amp;title=Leonard%201'%20Cutting%20Finger%20Roll%20Layup%20Shot%20(6%20PTS)%20(Lowry%204%20AST)", "Leonard 1' Cutting Finger Roll Layup Shot (6 PTS) (Lowry 4 AST)")</f>
        <v>Leonard 1' Cutting Finger Roll Layup Shot (6 PTS) (Lowry 4 AST)</v>
      </c>
      <c r="L5032" s="2" t="str">
        <f>HYPERLINK("https://www.nba.com/game/...-vs-...-0021800347/play-by-play?watchFullGame=true", "TOR vs DEN - Q1 04:23.00")</f>
        <v>TOR vs DEN - Q1 04:23.00</v>
      </c>
      <c r="M5032">
        <v>1</v>
      </c>
      <c r="N5032">
        <v>-6</v>
      </c>
      <c r="O5032">
        <v>4</v>
      </c>
      <c r="P5032">
        <v>-6</v>
      </c>
      <c r="Q5032">
        <v>4</v>
      </c>
      <c r="R5032" t="s">
        <v>21</v>
      </c>
      <c r="S5032" t="s">
        <v>21</v>
      </c>
    </row>
    <row r="5033" spans="1:19" hidden="1" x14ac:dyDescent="0.25">
      <c r="A5033">
        <v>21800123</v>
      </c>
      <c r="B5033" t="s">
        <v>18</v>
      </c>
      <c r="C5033" t="s">
        <v>24</v>
      </c>
      <c r="D5033">
        <v>37</v>
      </c>
      <c r="E5033">
        <v>41</v>
      </c>
      <c r="F5033">
        <v>4</v>
      </c>
      <c r="G5033">
        <v>2</v>
      </c>
      <c r="H5033" s="1">
        <v>3.0439814814814813E-3</v>
      </c>
      <c r="I5033">
        <v>2018</v>
      </c>
      <c r="J5033" t="s">
        <v>48</v>
      </c>
      <c r="K5033" s="2" t="str">
        <f>HYPERLINK("https://www.nba.com/stats/events?CFID=&amp;CFPARAMS=&amp;GameEventID=278&amp;GameID=0021800123&amp;Season=2018-19&amp;flag=1&amp;title=Leonard%201'%20Layup%20(9%20PTS)", "Leonard 1' Layup (9 PTS)")</f>
        <v>Leonard 1' Layup (9 PTS)</v>
      </c>
      <c r="L5033" s="2" t="str">
        <f>HYPERLINK("https://www.nba.com/game/...-vs-...-0021800123/play-by-play?watchFullGame=true", "TOR vs PHX - Q2 04:23.00")</f>
        <v>TOR vs PHX - Q2 04:23.00</v>
      </c>
      <c r="M5033">
        <v>1</v>
      </c>
      <c r="N5033">
        <v>-6</v>
      </c>
      <c r="O5033">
        <v>6</v>
      </c>
      <c r="P5033">
        <v>-6</v>
      </c>
      <c r="Q5033">
        <v>6</v>
      </c>
      <c r="R5033" t="s">
        <v>21</v>
      </c>
      <c r="S5033" t="s">
        <v>21</v>
      </c>
    </row>
    <row r="5034" spans="1:19" hidden="1" x14ac:dyDescent="0.25">
      <c r="A5034">
        <v>21700502</v>
      </c>
      <c r="B5034" t="s">
        <v>18</v>
      </c>
      <c r="C5034" t="s">
        <v>40</v>
      </c>
      <c r="D5034">
        <v>69</v>
      </c>
      <c r="E5034">
        <v>58</v>
      </c>
      <c r="F5034">
        <v>11</v>
      </c>
      <c r="G5034">
        <v>3</v>
      </c>
      <c r="H5034" s="1">
        <v>3.0439814814814813E-3</v>
      </c>
      <c r="I5034">
        <v>2017</v>
      </c>
      <c r="J5034" t="s">
        <v>20</v>
      </c>
      <c r="K5034" s="2" t="str">
        <f>HYPERLINK("https://www.nba.com/stats/events?CFID=&amp;CFPARAMS=&amp;GameEventID=421&amp;GameID=0021700502&amp;Season=2017-18&amp;flag=1&amp;title=Leonard%201'%20Driving%20Finger%20Roll%20Layup%20(17%20PTS)", "Leonard 1' Driving Finger Roll Layup (17 PTS)")</f>
        <v>Leonard 1' Driving Finger Roll Layup (17 PTS)</v>
      </c>
      <c r="L5034" s="2" t="str">
        <f>HYPERLINK("https://www.nba.com/game/...-vs-...-0021700502/play-by-play?watchFullGame=true", "SAS vs BKN - Q3 04:23.00")</f>
        <v>SAS vs BKN - Q3 04:23.00</v>
      </c>
      <c r="M5034">
        <v>1</v>
      </c>
      <c r="N5034">
        <v>6</v>
      </c>
      <c r="O5034">
        <v>8</v>
      </c>
      <c r="P5034">
        <v>6</v>
      </c>
      <c r="Q5034">
        <v>8</v>
      </c>
      <c r="R5034" t="s">
        <v>21</v>
      </c>
      <c r="S5034" t="s">
        <v>21</v>
      </c>
    </row>
    <row r="5035" spans="1:19" hidden="1" x14ac:dyDescent="0.25">
      <c r="A5035">
        <v>41200312</v>
      </c>
      <c r="B5035" t="s">
        <v>18</v>
      </c>
      <c r="C5035" t="s">
        <v>24</v>
      </c>
      <c r="D5035">
        <v>15</v>
      </c>
      <c r="E5035">
        <v>7</v>
      </c>
      <c r="F5035">
        <v>8</v>
      </c>
      <c r="G5035">
        <v>1</v>
      </c>
      <c r="H5035" s="1">
        <v>3.0671296296296297E-3</v>
      </c>
      <c r="I5035" t="s">
        <v>53</v>
      </c>
      <c r="J5035" t="s">
        <v>20</v>
      </c>
      <c r="K5035" s="2" t="str">
        <f>HYPERLINK("https://www.nba.com/stats/events?CFID=&amp;CFPARAMS=&amp;GameEventID=68&amp;GameID=0041200312&amp;Season=2012-13&amp;flag=1&amp;title=Leonard%201'%20Layup%20(4%20PTS)%20(Diaw%201%20AST)", "Leonard 1' Layup (4 PTS) (Diaw 1 AST)")</f>
        <v>Leonard 1' Layup (4 PTS) (Diaw 1 AST)</v>
      </c>
      <c r="L5035" s="2" t="str">
        <f>HYPERLINK("https://www.nba.com/game/...-vs-...-0041200312/play-by-play?watchFullGame=true", "SAS vs MEM - Q1 04:25.00")</f>
        <v>SAS vs MEM - Q1 04:25.00</v>
      </c>
      <c r="M5035">
        <v>1</v>
      </c>
      <c r="N5035">
        <v>0</v>
      </c>
      <c r="O5035">
        <v>9</v>
      </c>
      <c r="P5035">
        <v>0</v>
      </c>
      <c r="Q5035">
        <v>9</v>
      </c>
      <c r="R5035" t="s">
        <v>21</v>
      </c>
      <c r="S5035" t="s">
        <v>21</v>
      </c>
    </row>
    <row r="5036" spans="1:19" hidden="1" x14ac:dyDescent="0.25">
      <c r="A5036">
        <v>21401150</v>
      </c>
      <c r="B5036" t="s">
        <v>18</v>
      </c>
      <c r="C5036" t="s">
        <v>23</v>
      </c>
      <c r="D5036">
        <v>79</v>
      </c>
      <c r="E5036">
        <v>59</v>
      </c>
      <c r="F5036">
        <v>20</v>
      </c>
      <c r="G5036">
        <v>3</v>
      </c>
      <c r="H5036" s="1">
        <v>3.1828703703703702E-3</v>
      </c>
      <c r="I5036">
        <v>2014</v>
      </c>
      <c r="J5036" t="s">
        <v>20</v>
      </c>
      <c r="K5036" s="2" t="str">
        <f>HYPERLINK("https://www.nba.com/stats/events?CFID=&amp;CFPARAMS=&amp;GameEventID=306&amp;GameID=0021401150&amp;Season=2014-15&amp;flag=1&amp;title=Leonard%20%20Dunk%20(26%20PTS)", "Leonard  Dunk (26 PTS)")</f>
        <v>Leonard  Dunk (26 PTS)</v>
      </c>
      <c r="L5036" s="2" t="str">
        <f>HYPERLINK("https://www.nba.com/game/...-vs-...-0021401150/play-by-play?watchFullGame=true", "SAS vs GSW - Q3 04:35.00")</f>
        <v>SAS vs GSW - Q3 04:35.00</v>
      </c>
      <c r="M5036">
        <v>0</v>
      </c>
      <c r="N5036">
        <v>0</v>
      </c>
      <c r="O5036">
        <v>1</v>
      </c>
      <c r="P5036">
        <v>0</v>
      </c>
      <c r="Q5036">
        <v>1</v>
      </c>
      <c r="R5036" t="s">
        <v>21</v>
      </c>
      <c r="S5036" t="s">
        <v>21</v>
      </c>
    </row>
    <row r="5037" spans="1:19" hidden="1" x14ac:dyDescent="0.25">
      <c r="A5037">
        <v>41200406</v>
      </c>
      <c r="B5037" t="s">
        <v>18</v>
      </c>
      <c r="C5037" t="s">
        <v>24</v>
      </c>
      <c r="D5037">
        <v>97</v>
      </c>
      <c r="E5037">
        <v>95</v>
      </c>
      <c r="F5037">
        <v>2</v>
      </c>
      <c r="G5037">
        <v>5</v>
      </c>
      <c r="H5037" s="1">
        <v>3.0787037037037037E-3</v>
      </c>
      <c r="I5037" t="s">
        <v>53</v>
      </c>
      <c r="J5037" t="s">
        <v>20</v>
      </c>
      <c r="K5037" s="2" t="str">
        <f>HYPERLINK("https://www.nba.com/stats/events?CFID=&amp;CFPARAMS=&amp;GameEventID=522&amp;GameID=0041200406&amp;Season=2012-13&amp;flag=1&amp;title=Leonard%201'%20Layup%20(20%20PTS)%20(Parker%208%20AST)", "Leonard 1' Layup (20 PTS) (Parker 8 AST)")</f>
        <v>Leonard 1' Layup (20 PTS) (Parker 8 AST)</v>
      </c>
      <c r="L5037" s="2" t="str">
        <f>HYPERLINK("https://www.nba.com/game/...-vs-...-0041200406/play-by-play?watchFullGame=true", "SAS vs MIA - Q5 04:26.00")</f>
        <v>SAS vs MIA - Q5 04:26.00</v>
      </c>
      <c r="M5037">
        <v>1</v>
      </c>
      <c r="N5037">
        <v>6</v>
      </c>
      <c r="O5037">
        <v>7</v>
      </c>
      <c r="P5037">
        <v>6</v>
      </c>
      <c r="Q5037">
        <v>7</v>
      </c>
      <c r="R5037" t="s">
        <v>21</v>
      </c>
      <c r="S5037" t="s">
        <v>21</v>
      </c>
    </row>
    <row r="5038" spans="1:19" hidden="1" x14ac:dyDescent="0.25">
      <c r="A5038">
        <v>21600744</v>
      </c>
      <c r="B5038" t="s">
        <v>18</v>
      </c>
      <c r="C5038" t="s">
        <v>41</v>
      </c>
      <c r="D5038">
        <v>17</v>
      </c>
      <c r="E5038">
        <v>12</v>
      </c>
      <c r="F5038">
        <v>5</v>
      </c>
      <c r="G5038">
        <v>1</v>
      </c>
      <c r="H5038" s="1">
        <v>3.0902777777777777E-3</v>
      </c>
      <c r="I5038">
        <v>2016</v>
      </c>
      <c r="J5038" t="s">
        <v>20</v>
      </c>
      <c r="K5038" s="2" t="str">
        <f>HYPERLINK("https://www.nba.com/stats/events?CFID=&amp;CFPARAMS=&amp;GameEventID=88&amp;GameID=0021600744&amp;Season=2016-17&amp;flag=1&amp;title=Leonard%201'%20Tip%20Layup%20Shot%20(4%20PTS)", "Leonard 1' Tip Layup Shot (4 PTS)")</f>
        <v>Leonard 1' Tip Layup Shot (4 PTS)</v>
      </c>
      <c r="L5038" s="2" t="str">
        <f>HYPERLINK("https://www.nba.com/game/...-vs-...-0021600744/play-by-play?watchFullGame=true", "SAS vs PHI - Q1 04:27.00")</f>
        <v>SAS vs PHI - Q1 04:27.00</v>
      </c>
      <c r="M5038">
        <v>1</v>
      </c>
      <c r="N5038">
        <v>-7</v>
      </c>
      <c r="O5038">
        <v>-1</v>
      </c>
      <c r="P5038">
        <v>-7</v>
      </c>
      <c r="Q5038">
        <v>-1</v>
      </c>
      <c r="R5038" t="s">
        <v>21</v>
      </c>
      <c r="S5038" t="s">
        <v>21</v>
      </c>
    </row>
    <row r="5039" spans="1:19" hidden="1" x14ac:dyDescent="0.25">
      <c r="A5039">
        <v>21501215</v>
      </c>
      <c r="B5039" t="s">
        <v>18</v>
      </c>
      <c r="C5039" t="s">
        <v>52</v>
      </c>
      <c r="D5039">
        <v>19</v>
      </c>
      <c r="E5039">
        <v>18</v>
      </c>
      <c r="F5039">
        <v>1</v>
      </c>
      <c r="G5039">
        <v>1</v>
      </c>
      <c r="H5039" s="1">
        <v>3.0902777777777777E-3</v>
      </c>
      <c r="I5039">
        <v>2015</v>
      </c>
      <c r="J5039" t="s">
        <v>20</v>
      </c>
      <c r="K5039" s="2" t="str">
        <f>HYPERLINK("https://www.nba.com/stats/events?CFID=&amp;CFPARAMS=&amp;GameEventID=75&amp;GameID=0021501215&amp;Season=2015-16&amp;flag=1&amp;title=Leonard%201'%20Cutting%20Layup%20Shot%20(4%20PTS)%20(Mills%201%20AST)", "Leonard 1' Cutting Layup Shot (4 PTS) (Mills 1 AST)")</f>
        <v>Leonard 1' Cutting Layup Shot (4 PTS) (Mills 1 AST)</v>
      </c>
      <c r="L5039" s="2" t="str">
        <f>HYPERLINK("https://www.nba.com/game/...-vs-...-0021501215/play-by-play?watchFullGame=true", "SAS vs OKC - Q1 04:27.00")</f>
        <v>SAS vs OKC - Q1 04:27.00</v>
      </c>
      <c r="M5039">
        <v>1</v>
      </c>
      <c r="N5039">
        <v>-1</v>
      </c>
      <c r="O5039">
        <v>13</v>
      </c>
      <c r="P5039">
        <v>-1</v>
      </c>
      <c r="Q5039">
        <v>13</v>
      </c>
      <c r="R5039" t="s">
        <v>21</v>
      </c>
      <c r="S5039" t="s">
        <v>21</v>
      </c>
    </row>
    <row r="5040" spans="1:19" hidden="1" x14ac:dyDescent="0.25">
      <c r="A5040">
        <v>21500275</v>
      </c>
      <c r="B5040" t="s">
        <v>18</v>
      </c>
      <c r="C5040" t="s">
        <v>22</v>
      </c>
      <c r="D5040">
        <v>41</v>
      </c>
      <c r="E5040">
        <v>30</v>
      </c>
      <c r="F5040">
        <v>11</v>
      </c>
      <c r="G5040">
        <v>2</v>
      </c>
      <c r="H5040" s="1">
        <v>3.1018518518518517E-3</v>
      </c>
      <c r="I5040">
        <v>2015</v>
      </c>
      <c r="J5040" t="s">
        <v>20</v>
      </c>
      <c r="K5040" s="2" t="str">
        <f>HYPERLINK("https://www.nba.com/stats/events?CFID=&amp;CFPARAMS=&amp;GameEventID=235&amp;GameID=0021500275&amp;Season=2015-16&amp;flag=1&amp;title=Leonard%201'%20Driving%20Layup%20(9%20PTS)", "Leonard 1' Driving Layup (9 PTS)")</f>
        <v>Leonard 1' Driving Layup (9 PTS)</v>
      </c>
      <c r="L5040" s="2" t="str">
        <f>HYPERLINK("https://www.nba.com/game/...-vs-...-0021500275/play-by-play?watchFullGame=true", "SAS vs MIL - Q2 04:28.00")</f>
        <v>SAS vs MIL - Q2 04:28.00</v>
      </c>
      <c r="M5040">
        <v>1</v>
      </c>
      <c r="N5040">
        <v>-1</v>
      </c>
      <c r="O5040">
        <v>7</v>
      </c>
      <c r="P5040">
        <v>-1</v>
      </c>
      <c r="Q5040">
        <v>7</v>
      </c>
      <c r="R5040" t="s">
        <v>21</v>
      </c>
      <c r="S5040" t="s">
        <v>21</v>
      </c>
    </row>
    <row r="5041" spans="1:19" hidden="1" x14ac:dyDescent="0.25">
      <c r="A5041">
        <v>21401028</v>
      </c>
      <c r="B5041" t="s">
        <v>18</v>
      </c>
      <c r="C5041" t="s">
        <v>24</v>
      </c>
      <c r="D5041">
        <v>77</v>
      </c>
      <c r="E5041">
        <v>58</v>
      </c>
      <c r="F5041">
        <v>19</v>
      </c>
      <c r="G5041">
        <v>3</v>
      </c>
      <c r="H5041" s="1">
        <v>3.1018518518518517E-3</v>
      </c>
      <c r="I5041">
        <v>2014</v>
      </c>
      <c r="J5041" t="s">
        <v>20</v>
      </c>
      <c r="K5041" s="2" t="str">
        <f>HYPERLINK("https://www.nba.com/stats/events?CFID=&amp;CFPARAMS=&amp;GameEventID=325&amp;GameID=0021401028&amp;Season=2014-15&amp;flag=1&amp;title=Leonard%201'%20Layup%20(19%20PTS)%20(Mills%203%20AST)", "Leonard 1' Layup (19 PTS) (Mills 3 AST)")</f>
        <v>Leonard 1' Layup (19 PTS) (Mills 3 AST)</v>
      </c>
      <c r="L5041" s="2" t="str">
        <f>HYPERLINK("https://www.nba.com/game/...-vs-...-0021401028/play-by-play?watchFullGame=true", "SAS vs BOS - Q3 04:28.00")</f>
        <v>SAS vs BOS - Q3 04:28.00</v>
      </c>
      <c r="M5041">
        <v>1</v>
      </c>
      <c r="N5041">
        <v>10</v>
      </c>
      <c r="O5041">
        <v>4</v>
      </c>
      <c r="P5041">
        <v>10</v>
      </c>
      <c r="Q5041">
        <v>4</v>
      </c>
      <c r="R5041" t="s">
        <v>21</v>
      </c>
      <c r="S5041" t="s">
        <v>21</v>
      </c>
    </row>
    <row r="5042" spans="1:19" hidden="1" x14ac:dyDescent="0.25">
      <c r="A5042">
        <v>21800316</v>
      </c>
      <c r="B5042" t="s">
        <v>18</v>
      </c>
      <c r="C5042" t="s">
        <v>51</v>
      </c>
      <c r="D5042">
        <v>28</v>
      </c>
      <c r="E5042">
        <v>14</v>
      </c>
      <c r="F5042">
        <v>14</v>
      </c>
      <c r="G5042">
        <v>1</v>
      </c>
      <c r="H5042" s="1">
        <v>3.1134259259259257E-3</v>
      </c>
      <c r="I5042">
        <v>2018</v>
      </c>
      <c r="J5042" t="s">
        <v>48</v>
      </c>
      <c r="K5042" s="2" t="str">
        <f>HYPERLINK("https://www.nba.com/stats/events?CFID=&amp;CFPARAMS=&amp;GameEventID=69&amp;GameID=0021800316&amp;Season=2018-19&amp;flag=1&amp;title=Leonard%201'%20Running%20Layup%20(11%20PTS)%20(Lowry%204%20AST)", "Leonard 1' Running Layup (11 PTS) (Lowry 4 AST)")</f>
        <v>Leonard 1' Running Layup (11 PTS) (Lowry 4 AST)</v>
      </c>
      <c r="L5042" s="2" t="str">
        <f>HYPERLINK("https://www.nba.com/game/...-vs-...-0021800316/play-by-play?watchFullGame=true", "TOR vs GSW - Q1 04:29.00")</f>
        <v>TOR vs GSW - Q1 04:29.00</v>
      </c>
      <c r="M5042">
        <v>1</v>
      </c>
      <c r="N5042">
        <v>9</v>
      </c>
      <c r="O5042">
        <v>10</v>
      </c>
      <c r="P5042">
        <v>9</v>
      </c>
      <c r="Q5042">
        <v>10</v>
      </c>
      <c r="R5042" t="s">
        <v>21</v>
      </c>
      <c r="S5042" t="s">
        <v>21</v>
      </c>
    </row>
    <row r="5043" spans="1:19" hidden="1" x14ac:dyDescent="0.25">
      <c r="A5043">
        <v>21500342</v>
      </c>
      <c r="B5043" t="s">
        <v>18</v>
      </c>
      <c r="C5043" t="s">
        <v>63</v>
      </c>
      <c r="D5043">
        <v>43</v>
      </c>
      <c r="E5043">
        <v>39</v>
      </c>
      <c r="F5043">
        <v>4</v>
      </c>
      <c r="G5043">
        <v>2</v>
      </c>
      <c r="H5043" s="1">
        <v>3.1481481481481482E-3</v>
      </c>
      <c r="I5043">
        <v>2015</v>
      </c>
      <c r="J5043" t="s">
        <v>20</v>
      </c>
      <c r="K5043" s="2" t="str">
        <f>HYPERLINK("https://www.nba.com/stats/events?CFID=&amp;CFPARAMS=&amp;GameEventID=169&amp;GameID=0021500342&amp;Season=2015-16&amp;flag=1&amp;title=Leonard%201'%20Running%20Reverse%20Layup%20(6%20PTS)%20(Mills%201%20AST)", "Leonard 1' Running Reverse Layup (6 PTS) (Mills 1 AST)")</f>
        <v>Leonard 1' Running Reverse Layup (6 PTS) (Mills 1 AST)</v>
      </c>
      <c r="L5043" s="2" t="str">
        <f>HYPERLINK("https://www.nba.com/game/...-vs-...-0021500342/play-by-play?watchFullGame=true", "SAS vs LAL - Q2 04:32.00")</f>
        <v>SAS vs LAL - Q2 04:32.00</v>
      </c>
      <c r="M5043">
        <v>1</v>
      </c>
      <c r="N5043">
        <v>-11</v>
      </c>
      <c r="O5043">
        <v>-1</v>
      </c>
      <c r="P5043">
        <v>-11</v>
      </c>
      <c r="Q5043">
        <v>-1</v>
      </c>
      <c r="R5043" t="s">
        <v>21</v>
      </c>
      <c r="S5043" t="s">
        <v>21</v>
      </c>
    </row>
    <row r="5044" spans="1:19" hidden="1" x14ac:dyDescent="0.25">
      <c r="A5044">
        <v>21400139</v>
      </c>
      <c r="B5044" t="s">
        <v>18</v>
      </c>
      <c r="C5044" t="s">
        <v>24</v>
      </c>
      <c r="D5044">
        <v>12</v>
      </c>
      <c r="E5044">
        <v>16</v>
      </c>
      <c r="F5044">
        <v>4</v>
      </c>
      <c r="G5044">
        <v>1</v>
      </c>
      <c r="H5044" s="1">
        <v>3.2523148148148147E-3</v>
      </c>
      <c r="I5044">
        <v>2014</v>
      </c>
      <c r="J5044" t="s">
        <v>20</v>
      </c>
      <c r="K5044" s="2" t="str">
        <f>HYPERLINK("https://www.nba.com/stats/events?CFID=&amp;CFPARAMS=&amp;GameEventID=60&amp;GameID=0021400139&amp;Season=2014-15&amp;flag=1&amp;title=Leonard%201'%20Layup%20(4%20PTS)%20(Baynes%202%20AST)", "Leonard 1' Layup (4 PTS) (Baynes 2 AST)")</f>
        <v>Leonard 1' Layup (4 PTS) (Baynes 2 AST)</v>
      </c>
      <c r="L5044" s="2" t="str">
        <f>HYPERLINK("https://www.nba.com/game/...-vs-...-0021400139/play-by-play?watchFullGame=true", "SAS vs SAC - Q1 04:41.00")</f>
        <v>SAS vs SAC - Q1 04:41.00</v>
      </c>
      <c r="M5044">
        <v>1</v>
      </c>
      <c r="N5044">
        <v>2</v>
      </c>
      <c r="O5044">
        <v>11</v>
      </c>
      <c r="P5044">
        <v>2</v>
      </c>
      <c r="Q5044">
        <v>11</v>
      </c>
      <c r="R5044" t="s">
        <v>21</v>
      </c>
      <c r="S5044" t="s">
        <v>21</v>
      </c>
    </row>
    <row r="5045" spans="1:19" hidden="1" x14ac:dyDescent="0.25">
      <c r="A5045">
        <v>21500590</v>
      </c>
      <c r="B5045" t="s">
        <v>18</v>
      </c>
      <c r="C5045" t="s">
        <v>64</v>
      </c>
      <c r="D5045">
        <v>89</v>
      </c>
      <c r="E5045">
        <v>79</v>
      </c>
      <c r="F5045">
        <v>10</v>
      </c>
      <c r="G5045">
        <v>4</v>
      </c>
      <c r="H5045" s="1">
        <v>3.1944444444444446E-3</v>
      </c>
      <c r="I5045">
        <v>2015</v>
      </c>
      <c r="J5045" t="s">
        <v>20</v>
      </c>
      <c r="K5045" s="2" t="str">
        <f>HYPERLINK("https://www.nba.com/stats/events?CFID=&amp;CFPARAMS=&amp;GameEventID=446&amp;GameID=0021500590&amp;Season=2015-16&amp;flag=1&amp;title=Leonard%20%20Tip%20Dunk%20Shot%20(20%20PTS)", "Leonard  Tip Dunk Shot (20 PTS)")</f>
        <v>Leonard  Tip Dunk Shot (20 PTS)</v>
      </c>
      <c r="L5045" s="2" t="str">
        <f>HYPERLINK("https://www.nba.com/game/...-vs-...-0021500590/play-by-play?watchFullGame=true", "SAS vs CLE - Q4 04:36.00")</f>
        <v>SAS vs CLE - Q4 04:36.00</v>
      </c>
      <c r="M5045">
        <v>0</v>
      </c>
      <c r="N5045">
        <v>0</v>
      </c>
      <c r="O5045">
        <v>1</v>
      </c>
      <c r="P5045">
        <v>0</v>
      </c>
      <c r="Q5045">
        <v>1</v>
      </c>
      <c r="R5045" t="s">
        <v>21</v>
      </c>
      <c r="S5045" t="s">
        <v>21</v>
      </c>
    </row>
    <row r="5046" spans="1:19" hidden="1" x14ac:dyDescent="0.25">
      <c r="A5046">
        <v>21800766</v>
      </c>
      <c r="B5046" t="s">
        <v>18</v>
      </c>
      <c r="C5046" t="s">
        <v>51</v>
      </c>
      <c r="D5046">
        <v>16</v>
      </c>
      <c r="E5046">
        <v>13</v>
      </c>
      <c r="F5046">
        <v>3</v>
      </c>
      <c r="G5046">
        <v>1</v>
      </c>
      <c r="H5046" s="1">
        <v>3.2754629629629631E-3</v>
      </c>
      <c r="I5046">
        <v>2018</v>
      </c>
      <c r="J5046" t="s">
        <v>48</v>
      </c>
      <c r="K5046" s="2" t="str">
        <f>HYPERLINK("https://www.nba.com/stats/events?CFID=&amp;CFPARAMS=&amp;GameEventID=88&amp;GameID=0021800766&amp;Season=2018-19&amp;flag=1&amp;title=Leonard%201'%20Running%20Layup%20(2%20PTS)", "Leonard 1' Running Layup (2 PTS)")</f>
        <v>Leonard 1' Running Layup (2 PTS)</v>
      </c>
      <c r="L5046" s="2" t="str">
        <f>HYPERLINK("https://www.nba.com/game/...-vs-...-0021800766/play-by-play?watchFullGame=true", "TOR vs MIL - Q1 04:43.00")</f>
        <v>TOR vs MIL - Q1 04:43.00</v>
      </c>
      <c r="M5046">
        <v>1</v>
      </c>
      <c r="N5046">
        <v>-10</v>
      </c>
      <c r="O5046">
        <v>8</v>
      </c>
      <c r="P5046">
        <v>-10</v>
      </c>
      <c r="Q5046">
        <v>8</v>
      </c>
      <c r="R5046" t="s">
        <v>21</v>
      </c>
      <c r="S5046" t="s">
        <v>21</v>
      </c>
    </row>
    <row r="5047" spans="1:19" hidden="1" x14ac:dyDescent="0.25">
      <c r="A5047">
        <v>41600234</v>
      </c>
      <c r="B5047" t="s">
        <v>18</v>
      </c>
      <c r="C5047" t="s">
        <v>24</v>
      </c>
      <c r="D5047">
        <v>65</v>
      </c>
      <c r="E5047">
        <v>79</v>
      </c>
      <c r="F5047">
        <v>14</v>
      </c>
      <c r="G5047">
        <v>3</v>
      </c>
      <c r="H5047" s="1">
        <v>3.2754629629629631E-3</v>
      </c>
      <c r="I5047" t="s">
        <v>58</v>
      </c>
      <c r="J5047" t="s">
        <v>20</v>
      </c>
      <c r="K5047" s="2" t="str">
        <f>HYPERLINK("https://www.nba.com/stats/events?CFID=&amp;CFPARAMS=&amp;GameEventID=354&amp;GameID=0041600234&amp;Season=2016-17&amp;flag=1&amp;title=Leonard%201'%20Layup%20(16%20PTS)", "Leonard 1' Layup (16 PTS)")</f>
        <v>Leonard 1' Layup (16 PTS)</v>
      </c>
      <c r="L5047" s="2" t="str">
        <f>HYPERLINK("https://www.nba.com/game/...-vs-...-0041600234/play-by-play?watchFullGame=true", "SAS vs HOU - Q3 04:43.00")</f>
        <v>SAS vs HOU - Q3 04:43.00</v>
      </c>
      <c r="M5047">
        <v>1</v>
      </c>
      <c r="N5047">
        <v>2</v>
      </c>
      <c r="O5047">
        <v>-6</v>
      </c>
      <c r="P5047">
        <v>2</v>
      </c>
      <c r="Q5047">
        <v>-6</v>
      </c>
      <c r="R5047" t="s">
        <v>21</v>
      </c>
      <c r="S5047" t="s">
        <v>21</v>
      </c>
    </row>
    <row r="5048" spans="1:19" hidden="1" x14ac:dyDescent="0.25">
      <c r="A5048">
        <v>21600625</v>
      </c>
      <c r="B5048" t="s">
        <v>18</v>
      </c>
      <c r="C5048" t="s">
        <v>50</v>
      </c>
      <c r="D5048">
        <v>50</v>
      </c>
      <c r="E5048">
        <v>53</v>
      </c>
      <c r="F5048">
        <v>3</v>
      </c>
      <c r="G5048">
        <v>2</v>
      </c>
      <c r="H5048" s="1">
        <v>3.1944444444444446E-3</v>
      </c>
      <c r="I5048">
        <v>2016</v>
      </c>
      <c r="J5048" t="s">
        <v>20</v>
      </c>
      <c r="K5048" s="2" t="str">
        <f>HYPERLINK("https://www.nba.com/stats/events?CFID=&amp;CFPARAMS=&amp;GameEventID=226&amp;GameID=0021600625&amp;Season=2016-17&amp;flag=1&amp;title=Leonard%20%20Running%20Dunk%20(8%20PTS)", "Leonard  Running Dunk (8 PTS)")</f>
        <v>Leonard  Running Dunk (8 PTS)</v>
      </c>
      <c r="L5048" s="2" t="str">
        <f>HYPERLINK("https://www.nba.com/game/...-vs-...-0021600625/play-by-play?watchFullGame=true", "SAS vs MIN - Q2 04:36.00")</f>
        <v>SAS vs MIN - Q2 04:36.00</v>
      </c>
      <c r="M5048">
        <v>0</v>
      </c>
      <c r="N5048">
        <v>0</v>
      </c>
      <c r="O5048">
        <v>1</v>
      </c>
      <c r="P5048">
        <v>0</v>
      </c>
      <c r="Q5048">
        <v>1</v>
      </c>
      <c r="R5048" t="s">
        <v>21</v>
      </c>
      <c r="S5048" t="s">
        <v>21</v>
      </c>
    </row>
    <row r="5049" spans="1:19" hidden="1" x14ac:dyDescent="0.25">
      <c r="A5049">
        <v>41400165</v>
      </c>
      <c r="B5049" t="s">
        <v>18</v>
      </c>
      <c r="C5049" t="s">
        <v>28</v>
      </c>
      <c r="D5049">
        <v>97</v>
      </c>
      <c r="E5049">
        <v>94</v>
      </c>
      <c r="F5049">
        <v>3</v>
      </c>
      <c r="G5049">
        <v>4</v>
      </c>
      <c r="H5049" s="1">
        <v>3.3333333333333335E-3</v>
      </c>
      <c r="I5049" t="s">
        <v>56</v>
      </c>
      <c r="J5049" t="s">
        <v>20</v>
      </c>
      <c r="K5049" s="2" t="str">
        <f>HYPERLINK("https://www.nba.com/stats/events?CFID=&amp;CFPARAMS=&amp;GameEventID=557&amp;GameID=0041400165&amp;Season=2014-15&amp;flag=1&amp;title=Leonard%201'%20Tip%20Shot%20(14%20PTS)", "Leonard 1' Tip Shot (14 PTS)")</f>
        <v>Leonard 1' Tip Shot (14 PTS)</v>
      </c>
      <c r="L5049" s="2" t="str">
        <f>HYPERLINK("https://www.nba.com/game/...-vs-...-0041400165/play-by-play?watchFullGame=true", "SAS vs LAC - Q4 04:48.00")</f>
        <v>SAS vs LAC - Q4 04:48.00</v>
      </c>
      <c r="M5049">
        <v>1</v>
      </c>
      <c r="N5049">
        <v>-7</v>
      </c>
      <c r="O5049">
        <v>12</v>
      </c>
      <c r="P5049">
        <v>-7</v>
      </c>
      <c r="Q5049">
        <v>12</v>
      </c>
      <c r="R5049" t="s">
        <v>21</v>
      </c>
      <c r="S5049" t="s">
        <v>21</v>
      </c>
    </row>
    <row r="5050" spans="1:19" hidden="1" x14ac:dyDescent="0.25">
      <c r="A5050">
        <v>41200234</v>
      </c>
      <c r="B5050" t="s">
        <v>18</v>
      </c>
      <c r="C5050" t="s">
        <v>24</v>
      </c>
      <c r="D5050">
        <v>80</v>
      </c>
      <c r="E5050">
        <v>72</v>
      </c>
      <c r="F5050">
        <v>8</v>
      </c>
      <c r="G5050">
        <v>4</v>
      </c>
      <c r="H5050" s="1">
        <v>3.3449074074074076E-3</v>
      </c>
      <c r="I5050" t="s">
        <v>53</v>
      </c>
      <c r="J5050" t="s">
        <v>20</v>
      </c>
      <c r="K5050" s="2" t="str">
        <f>HYPERLINK("https://www.nba.com/stats/events?CFID=&amp;CFPARAMS=&amp;GameEventID=501&amp;GameID=0041200234&amp;Season=2012-13&amp;flag=1&amp;title=Leonard%201'%20Layup%20(11%20PTS)", "Leonard 1' Layup (11 PTS)")</f>
        <v>Leonard 1' Layup (11 PTS)</v>
      </c>
      <c r="L5050" s="2" t="str">
        <f>HYPERLINK("https://www.nba.com/game/...-vs-...-0041200234/play-by-play?watchFullGame=true", "SAS vs GSW - Q4 04:49.00")</f>
        <v>SAS vs GSW - Q4 04:49.00</v>
      </c>
      <c r="M5050">
        <v>1</v>
      </c>
      <c r="N5050">
        <v>-4</v>
      </c>
      <c r="O5050">
        <v>11</v>
      </c>
      <c r="P5050">
        <v>-4</v>
      </c>
      <c r="Q5050">
        <v>11</v>
      </c>
      <c r="R5050" t="s">
        <v>21</v>
      </c>
      <c r="S5050" t="s">
        <v>21</v>
      </c>
    </row>
    <row r="5051" spans="1:19" hidden="1" x14ac:dyDescent="0.25">
      <c r="A5051">
        <v>41200406</v>
      </c>
      <c r="B5051" t="s">
        <v>18</v>
      </c>
      <c r="C5051" t="s">
        <v>24</v>
      </c>
      <c r="D5051">
        <v>64</v>
      </c>
      <c r="E5051">
        <v>56</v>
      </c>
      <c r="F5051">
        <v>8</v>
      </c>
      <c r="G5051">
        <v>3</v>
      </c>
      <c r="H5051" s="1">
        <v>3.4027777777777776E-3</v>
      </c>
      <c r="I5051" t="s">
        <v>53</v>
      </c>
      <c r="J5051" t="s">
        <v>20</v>
      </c>
      <c r="K5051" s="2" t="str">
        <f>HYPERLINK("https://www.nba.com/stats/events?CFID=&amp;CFPARAMS=&amp;GameEventID=303&amp;GameID=0041200406&amp;Season=2012-13&amp;flag=1&amp;title=Leonard%201'%20Layup%20(12%20PTS)", "Leonard 1' Layup (12 PTS)")</f>
        <v>Leonard 1' Layup (12 PTS)</v>
      </c>
      <c r="L5051" s="2" t="str">
        <f>HYPERLINK("https://www.nba.com/game/...-vs-...-0041200406/play-by-play?watchFullGame=true", "SAS vs MIA - Q3 04:54.00")</f>
        <v>SAS vs MIA - Q3 04:54.00</v>
      </c>
      <c r="M5051">
        <v>1</v>
      </c>
      <c r="N5051">
        <v>4</v>
      </c>
      <c r="O5051">
        <v>12</v>
      </c>
      <c r="P5051">
        <v>4</v>
      </c>
      <c r="Q5051">
        <v>12</v>
      </c>
      <c r="R5051" t="s">
        <v>21</v>
      </c>
      <c r="S5051" t="s">
        <v>21</v>
      </c>
    </row>
    <row r="5052" spans="1:19" hidden="1" x14ac:dyDescent="0.25">
      <c r="A5052">
        <v>41200313</v>
      </c>
      <c r="B5052" t="s">
        <v>18</v>
      </c>
      <c r="C5052" t="s">
        <v>24</v>
      </c>
      <c r="D5052">
        <v>33</v>
      </c>
      <c r="E5052">
        <v>42</v>
      </c>
      <c r="F5052">
        <v>9</v>
      </c>
      <c r="G5052">
        <v>2</v>
      </c>
      <c r="H5052" s="1">
        <v>3.4375E-3</v>
      </c>
      <c r="I5052" t="s">
        <v>53</v>
      </c>
      <c r="J5052" t="s">
        <v>20</v>
      </c>
      <c r="K5052" s="2" t="str">
        <f>HYPERLINK("https://www.nba.com/stats/events?CFID=&amp;CFPARAMS=&amp;GameEventID=179&amp;GameID=0041200313&amp;Season=2012-13&amp;flag=1&amp;title=Leonard%201'%20Layup%20(4%20PTS)", "Leonard 1' Layup (4 PTS)")</f>
        <v>Leonard 1' Layup (4 PTS)</v>
      </c>
      <c r="L5052" s="2" t="str">
        <f>HYPERLINK("https://www.nba.com/game/...-vs-...-0041200313/play-by-play?watchFullGame=true", "SAS vs MEM - Q2 04:57.00")</f>
        <v>SAS vs MEM - Q2 04:57.00</v>
      </c>
      <c r="M5052">
        <v>1</v>
      </c>
      <c r="N5052">
        <v>-2</v>
      </c>
      <c r="O5052">
        <v>-5</v>
      </c>
      <c r="P5052">
        <v>-2</v>
      </c>
      <c r="Q5052">
        <v>-5</v>
      </c>
      <c r="R5052" t="s">
        <v>21</v>
      </c>
      <c r="S5052" t="s">
        <v>21</v>
      </c>
    </row>
    <row r="5053" spans="1:19" hidden="1" x14ac:dyDescent="0.25">
      <c r="A5053">
        <v>21801156</v>
      </c>
      <c r="B5053" t="s">
        <v>18</v>
      </c>
      <c r="C5053" t="s">
        <v>24</v>
      </c>
      <c r="D5053">
        <v>46</v>
      </c>
      <c r="E5053">
        <v>50</v>
      </c>
      <c r="F5053">
        <v>4</v>
      </c>
      <c r="G5053">
        <v>2</v>
      </c>
      <c r="H5053" s="1">
        <v>3.472222222222222E-3</v>
      </c>
      <c r="I5053">
        <v>2018</v>
      </c>
      <c r="J5053" t="s">
        <v>48</v>
      </c>
      <c r="K5053" s="2" t="str">
        <f>HYPERLINK("https://www.nba.com/stats/events?CFID=&amp;CFPARAMS=&amp;GameEventID=246&amp;GameID=0021801156&amp;Season=2018-19&amp;flag=1&amp;title=Leonard%201'%20Layup%20(5%20PTS)", "Leonard 1' Layup (5 PTS)")</f>
        <v>Leonard 1' Layup (5 PTS)</v>
      </c>
      <c r="L5053" s="2" t="str">
        <f>HYPERLINK("https://www.nba.com/game/...-vs-...-0021801156/play-by-play?watchFullGame=true", "TOR vs ORL - Q2 05:00.00")</f>
        <v>TOR vs ORL - Q2 05:00.00</v>
      </c>
      <c r="M5053">
        <v>1</v>
      </c>
      <c r="N5053">
        <v>-1</v>
      </c>
      <c r="O5053">
        <v>7</v>
      </c>
      <c r="P5053">
        <v>-1</v>
      </c>
      <c r="Q5053">
        <v>7</v>
      </c>
      <c r="R5053" t="s">
        <v>21</v>
      </c>
      <c r="S5053" t="s">
        <v>21</v>
      </c>
    </row>
    <row r="5054" spans="1:19" hidden="1" x14ac:dyDescent="0.25">
      <c r="A5054">
        <v>21400931</v>
      </c>
      <c r="B5054" t="s">
        <v>18</v>
      </c>
      <c r="C5054" t="s">
        <v>23</v>
      </c>
      <c r="D5054">
        <v>17</v>
      </c>
      <c r="E5054">
        <v>10</v>
      </c>
      <c r="F5054">
        <v>7</v>
      </c>
      <c r="G5054">
        <v>1</v>
      </c>
      <c r="H5054" s="1">
        <v>3.2175925925925926E-3</v>
      </c>
      <c r="I5054">
        <v>2014</v>
      </c>
      <c r="J5054" t="s">
        <v>20</v>
      </c>
      <c r="K5054" s="2" t="str">
        <f>HYPERLINK("https://www.nba.com/stats/events?CFID=&amp;CFPARAMS=&amp;GameEventID=67&amp;GameID=0021400931&amp;Season=2014-15&amp;flag=1&amp;title=Leonard%20%20Dunk%20(4%20PTS)%20(Splitter%202%20AST)", "Leonard  Dunk (4 PTS) (Splitter 2 AST)")</f>
        <v>Leonard  Dunk (4 PTS) (Splitter 2 AST)</v>
      </c>
      <c r="L5054" s="2" t="str">
        <f>HYPERLINK("https://www.nba.com/game/...-vs-...-0021400931/play-by-play?watchFullGame=true", "SAS vs CHI - Q1 04:38.00")</f>
        <v>SAS vs CHI - Q1 04:38.00</v>
      </c>
      <c r="M5054">
        <v>0</v>
      </c>
      <c r="N5054">
        <v>0</v>
      </c>
      <c r="O5054">
        <v>1</v>
      </c>
      <c r="P5054">
        <v>0</v>
      </c>
      <c r="Q5054">
        <v>1</v>
      </c>
      <c r="R5054" t="s">
        <v>21</v>
      </c>
      <c r="S5054" t="s">
        <v>21</v>
      </c>
    </row>
    <row r="5055" spans="1:19" hidden="1" x14ac:dyDescent="0.25">
      <c r="A5055">
        <v>21500156</v>
      </c>
      <c r="B5055" t="s">
        <v>18</v>
      </c>
      <c r="C5055" t="s">
        <v>50</v>
      </c>
      <c r="D5055">
        <v>8</v>
      </c>
      <c r="E5055">
        <v>10</v>
      </c>
      <c r="F5055">
        <v>2</v>
      </c>
      <c r="G5055">
        <v>1</v>
      </c>
      <c r="H5055" s="1">
        <v>3.3333333333333335E-3</v>
      </c>
      <c r="I5055">
        <v>2015</v>
      </c>
      <c r="J5055" t="s">
        <v>20</v>
      </c>
      <c r="K5055" s="2" t="str">
        <f>HYPERLINK("https://www.nba.com/stats/events?CFID=&amp;CFPARAMS=&amp;GameEventID=65&amp;GameID=0021500156&amp;Season=2015-16&amp;flag=1&amp;title=Leonard%20%20Running%20Dunk%20(2%20PTS)%20(Ginobili%201%20AST)", "Leonard  Running Dunk (2 PTS) (Ginobili 1 AST)")</f>
        <v>Leonard  Running Dunk (2 PTS) (Ginobili 1 AST)</v>
      </c>
      <c r="L5055" s="2" t="str">
        <f>HYPERLINK("https://www.nba.com/game/...-vs-...-0021500156/play-by-play?watchFullGame=true", "SAS vs POR - Q1 04:48.00")</f>
        <v>SAS vs POR - Q1 04:48.00</v>
      </c>
      <c r="M5055">
        <v>0</v>
      </c>
      <c r="N5055">
        <v>0</v>
      </c>
      <c r="O5055">
        <v>1</v>
      </c>
      <c r="P5055">
        <v>0</v>
      </c>
      <c r="Q5055">
        <v>1</v>
      </c>
      <c r="R5055" t="s">
        <v>21</v>
      </c>
      <c r="S5055" t="s">
        <v>21</v>
      </c>
    </row>
    <row r="5056" spans="1:19" hidden="1" x14ac:dyDescent="0.25">
      <c r="A5056">
        <v>21500123</v>
      </c>
      <c r="B5056" t="s">
        <v>18</v>
      </c>
      <c r="C5056" t="s">
        <v>32</v>
      </c>
      <c r="D5056">
        <v>14</v>
      </c>
      <c r="E5056">
        <v>18</v>
      </c>
      <c r="F5056">
        <v>4</v>
      </c>
      <c r="G5056">
        <v>1</v>
      </c>
      <c r="H5056" s="1">
        <v>3.5648148148148149E-3</v>
      </c>
      <c r="I5056">
        <v>2015</v>
      </c>
      <c r="J5056" t="s">
        <v>20</v>
      </c>
      <c r="K5056" s="2" t="str">
        <f>HYPERLINK("https://www.nba.com/stats/events?CFID=&amp;CFPARAMS=&amp;GameEventID=45&amp;GameID=0021500123&amp;Season=2015-16&amp;flag=1&amp;title=Leonard%201'%20Alley%20Oop%20Layup%20(6%20PTS)%20(Duncan%202%20AST)", "Leonard 1' Alley Oop Layup (6 PTS) (Duncan 2 AST)")</f>
        <v>Leonard 1' Alley Oop Layup (6 PTS) (Duncan 2 AST)</v>
      </c>
      <c r="L5056" s="2" t="str">
        <f>HYPERLINK("https://www.nba.com/game/...-vs-...-0021500123/play-by-play?watchFullGame=true", "SAS vs POR - Q1 05:08.00")</f>
        <v>SAS vs POR - Q1 05:08.00</v>
      </c>
      <c r="M5056">
        <v>1</v>
      </c>
      <c r="N5056">
        <v>9</v>
      </c>
      <c r="O5056">
        <v>2</v>
      </c>
      <c r="P5056">
        <v>9</v>
      </c>
      <c r="Q5056">
        <v>2</v>
      </c>
      <c r="R5056" t="s">
        <v>21</v>
      </c>
      <c r="S5056" t="s">
        <v>21</v>
      </c>
    </row>
    <row r="5057" spans="1:19" hidden="1" x14ac:dyDescent="0.25">
      <c r="A5057">
        <v>21501140</v>
      </c>
      <c r="B5057" t="s">
        <v>18</v>
      </c>
      <c r="C5057" t="s">
        <v>40</v>
      </c>
      <c r="D5057">
        <v>65</v>
      </c>
      <c r="E5057">
        <v>55</v>
      </c>
      <c r="F5057">
        <v>10</v>
      </c>
      <c r="G5057">
        <v>3</v>
      </c>
      <c r="H5057" s="1">
        <v>3.5879629629629629E-3</v>
      </c>
      <c r="I5057">
        <v>2015</v>
      </c>
      <c r="J5057" t="s">
        <v>20</v>
      </c>
      <c r="K5057" s="2" t="str">
        <f>HYPERLINK("https://www.nba.com/stats/events?CFID=&amp;CFPARAMS=&amp;GameEventID=292&amp;GameID=0021501140&amp;Season=2015-16&amp;flag=1&amp;title=Leonard%201'%20Driving%20Finger%20Roll%20Layup%20(19%20PTS)%20(Aldridge%201%20AST)", "Leonard 1' Driving Finger Roll Layup (19 PTS) (Aldridge 1 AST)")</f>
        <v>Leonard 1' Driving Finger Roll Layup (19 PTS) (Aldridge 1 AST)</v>
      </c>
      <c r="L5057" s="2" t="str">
        <f>HYPERLINK("https://www.nba.com/game/...-vs-...-0021501140/play-by-play?watchFullGame=true", "SAS vs TOR - Q3 05:10.00")</f>
        <v>SAS vs TOR - Q3 05:10.00</v>
      </c>
      <c r="M5057">
        <v>1</v>
      </c>
      <c r="N5057">
        <v>12</v>
      </c>
      <c r="O5057">
        <v>2</v>
      </c>
      <c r="P5057">
        <v>12</v>
      </c>
      <c r="Q5057">
        <v>2</v>
      </c>
      <c r="R5057" t="s">
        <v>21</v>
      </c>
      <c r="S5057" t="s">
        <v>21</v>
      </c>
    </row>
    <row r="5058" spans="1:19" hidden="1" x14ac:dyDescent="0.25">
      <c r="A5058">
        <v>41600153</v>
      </c>
      <c r="B5058" t="s">
        <v>18</v>
      </c>
      <c r="C5058" t="s">
        <v>32</v>
      </c>
      <c r="D5058">
        <v>13</v>
      </c>
      <c r="E5058">
        <v>10</v>
      </c>
      <c r="F5058">
        <v>3</v>
      </c>
      <c r="G5058">
        <v>1</v>
      </c>
      <c r="H5058" s="1">
        <v>3.6342592592592594E-3</v>
      </c>
      <c r="I5058" t="s">
        <v>58</v>
      </c>
      <c r="J5058" t="s">
        <v>20</v>
      </c>
      <c r="K5058" s="2" t="str">
        <f>HYPERLINK("https://www.nba.com/stats/events?CFID=&amp;CFPARAMS=&amp;GameEventID=70&amp;GameID=0041600153&amp;Season=2016-17&amp;flag=1&amp;title=Leonard%201'%20Alley%20Oop%20Layup%20(6%20PTS)%20(Gasol%201%20AST)", "Leonard 1' Alley Oop Layup (6 PTS) (Gasol 1 AST)")</f>
        <v>Leonard 1' Alley Oop Layup (6 PTS) (Gasol 1 AST)</v>
      </c>
      <c r="L5058" s="2" t="str">
        <f>HYPERLINK("https://www.nba.com/game/...-vs-...-0041600153/play-by-play?watchFullGame=true", "SAS vs MEM - Q1 05:14.00")</f>
        <v>SAS vs MEM - Q1 05:14.00</v>
      </c>
      <c r="M5058">
        <v>1</v>
      </c>
      <c r="N5058">
        <v>4</v>
      </c>
      <c r="O5058">
        <v>13</v>
      </c>
      <c r="P5058">
        <v>4</v>
      </c>
      <c r="Q5058">
        <v>13</v>
      </c>
      <c r="R5058" t="s">
        <v>21</v>
      </c>
      <c r="S5058" t="s">
        <v>21</v>
      </c>
    </row>
    <row r="5059" spans="1:19" hidden="1" x14ac:dyDescent="0.25">
      <c r="A5059">
        <v>21800100</v>
      </c>
      <c r="B5059" t="s">
        <v>18</v>
      </c>
      <c r="C5059" t="s">
        <v>51</v>
      </c>
      <c r="D5059">
        <v>90</v>
      </c>
      <c r="E5059">
        <v>68</v>
      </c>
      <c r="F5059">
        <v>22</v>
      </c>
      <c r="G5059">
        <v>3</v>
      </c>
      <c r="H5059" s="1">
        <v>3.6574074074074074E-3</v>
      </c>
      <c r="I5059">
        <v>2018</v>
      </c>
      <c r="J5059" t="s">
        <v>48</v>
      </c>
      <c r="K5059" s="2" t="str">
        <f>HYPERLINK("https://www.nba.com/stats/events?CFID=&amp;CFPARAMS=&amp;GameEventID=491&amp;GameID=0021800100&amp;Season=2018-19&amp;flag=1&amp;title=Leonard%201'%20Running%20Layup%20(20%20PTS)%20(Siakam%202%20AST)", "Leonard 1' Running Layup (20 PTS) (Siakam 2 AST)")</f>
        <v>Leonard 1' Running Layup (20 PTS) (Siakam 2 AST)</v>
      </c>
      <c r="L5059" s="2" t="str">
        <f>HYPERLINK("https://www.nba.com/game/...-vs-...-0021800100/play-by-play?watchFullGame=true", "TOR vs PHI - Q3 05:16.00")</f>
        <v>TOR vs PHI - Q3 05:16.00</v>
      </c>
      <c r="M5059">
        <v>1</v>
      </c>
      <c r="N5059">
        <v>-10</v>
      </c>
      <c r="O5059">
        <v>3</v>
      </c>
      <c r="P5059">
        <v>-10</v>
      </c>
      <c r="Q5059">
        <v>3</v>
      </c>
      <c r="R5059" t="s">
        <v>21</v>
      </c>
      <c r="S5059" t="s">
        <v>21</v>
      </c>
    </row>
    <row r="5060" spans="1:19" hidden="1" x14ac:dyDescent="0.25">
      <c r="A5060">
        <v>41800402</v>
      </c>
      <c r="B5060" t="s">
        <v>18</v>
      </c>
      <c r="C5060" t="s">
        <v>35</v>
      </c>
      <c r="D5060">
        <v>46</v>
      </c>
      <c r="E5060">
        <v>35</v>
      </c>
      <c r="F5060">
        <v>11</v>
      </c>
      <c r="G5060">
        <v>2</v>
      </c>
      <c r="H5060" s="1">
        <v>3.6574074074074074E-3</v>
      </c>
      <c r="I5060" t="s">
        <v>60</v>
      </c>
      <c r="J5060" t="s">
        <v>48</v>
      </c>
      <c r="K5060" s="2" t="str">
        <f>HYPERLINK("https://www.nba.com/stats/events?CFID=&amp;CFPARAMS=&amp;GameEventID=280&amp;GameID=0041800402&amp;Season=2018-19&amp;flag=1&amp;title=Leonard%201'%20Reverse%20Layup%20(13%20PTS)%20(Siakam%202%20AST)", "Leonard 1' Reverse Layup (13 PTS) (Siakam 2 AST)")</f>
        <v>Leonard 1' Reverse Layup (13 PTS) (Siakam 2 AST)</v>
      </c>
      <c r="L5060" s="2" t="str">
        <f>HYPERLINK("https://www.nba.com/game/...-vs-...-0041800402/play-by-play?watchFullGame=true", "TOR vs GSW - Q2 05:16.00")</f>
        <v>TOR vs GSW - Q2 05:16.00</v>
      </c>
      <c r="M5060">
        <v>1</v>
      </c>
      <c r="N5060">
        <v>5</v>
      </c>
      <c r="O5060">
        <v>5</v>
      </c>
      <c r="P5060">
        <v>5</v>
      </c>
      <c r="Q5060">
        <v>5</v>
      </c>
      <c r="R5060" t="s">
        <v>21</v>
      </c>
      <c r="S5060" t="s">
        <v>21</v>
      </c>
    </row>
    <row r="5061" spans="1:19" hidden="1" x14ac:dyDescent="0.25">
      <c r="A5061">
        <v>21600962</v>
      </c>
      <c r="B5061" t="s">
        <v>18</v>
      </c>
      <c r="C5061" t="s">
        <v>46</v>
      </c>
      <c r="D5061">
        <v>36</v>
      </c>
      <c r="E5061">
        <v>44</v>
      </c>
      <c r="F5061">
        <v>8</v>
      </c>
      <c r="G5061">
        <v>2</v>
      </c>
      <c r="H5061" s="1">
        <v>3.3449074074074076E-3</v>
      </c>
      <c r="I5061">
        <v>2016</v>
      </c>
      <c r="J5061" t="s">
        <v>20</v>
      </c>
      <c r="K5061" s="2" t="str">
        <f>HYPERLINK("https://www.nba.com/stats/events?CFID=&amp;CFPARAMS=&amp;GameEventID=213&amp;GameID=0021600962&amp;Season=2016-17&amp;flag=1&amp;title=Leonard%20%20Cutting%20Dunk%20Shot%20(10%20PTS)%20(Green%202%20AST)", "Leonard  Cutting Dunk Shot (10 PTS) (Green 2 AST)")</f>
        <v>Leonard  Cutting Dunk Shot (10 PTS) (Green 2 AST)</v>
      </c>
      <c r="L5061" s="2" t="str">
        <f>HYPERLINK("https://www.nba.com/game/...-vs-...-0021600962/play-by-play?watchFullGame=true", "SAS vs OKC - Q2 04:49.00")</f>
        <v>SAS vs OKC - Q2 04:49.00</v>
      </c>
      <c r="M5061">
        <v>0</v>
      </c>
      <c r="N5061">
        <v>0</v>
      </c>
      <c r="O5061">
        <v>1</v>
      </c>
      <c r="P5061">
        <v>0</v>
      </c>
      <c r="Q5061">
        <v>1</v>
      </c>
      <c r="R5061" t="s">
        <v>21</v>
      </c>
      <c r="S5061" t="s">
        <v>21</v>
      </c>
    </row>
    <row r="5062" spans="1:19" hidden="1" x14ac:dyDescent="0.25">
      <c r="A5062">
        <v>41500234</v>
      </c>
      <c r="B5062" t="s">
        <v>18</v>
      </c>
      <c r="C5062" t="s">
        <v>46</v>
      </c>
      <c r="D5062">
        <v>14</v>
      </c>
      <c r="E5062">
        <v>11</v>
      </c>
      <c r="F5062">
        <v>3</v>
      </c>
      <c r="G5062">
        <v>1</v>
      </c>
      <c r="H5062" s="1">
        <v>3.3564814814814816E-3</v>
      </c>
      <c r="I5062" t="s">
        <v>57</v>
      </c>
      <c r="J5062" t="s">
        <v>20</v>
      </c>
      <c r="K5062" s="2" t="str">
        <f>HYPERLINK("https://www.nba.com/stats/events?CFID=&amp;CFPARAMS=&amp;GameEventID=66&amp;GameID=0041500234&amp;Season=2015-16&amp;flag=1&amp;title=Leonard%20%20Cutting%20Dunk%20Shot%20(6%20PTS)%20(West%201%20AST)", "Leonard  Cutting Dunk Shot (6 PTS) (West 1 AST)")</f>
        <v>Leonard  Cutting Dunk Shot (6 PTS) (West 1 AST)</v>
      </c>
      <c r="L5062" s="2" t="str">
        <f>HYPERLINK("https://www.nba.com/game/...-vs-...-0041500234/play-by-play?watchFullGame=true", "SAS vs OKC - Q1 04:50.00")</f>
        <v>SAS vs OKC - Q1 04:50.00</v>
      </c>
      <c r="M5062">
        <v>0</v>
      </c>
      <c r="N5062">
        <v>0</v>
      </c>
      <c r="O5062">
        <v>1</v>
      </c>
      <c r="P5062">
        <v>0</v>
      </c>
      <c r="Q5062">
        <v>1</v>
      </c>
      <c r="R5062" t="s">
        <v>21</v>
      </c>
      <c r="S5062" t="s">
        <v>21</v>
      </c>
    </row>
    <row r="5063" spans="1:19" hidden="1" x14ac:dyDescent="0.25">
      <c r="A5063">
        <v>21501063</v>
      </c>
      <c r="B5063" t="s">
        <v>18</v>
      </c>
      <c r="C5063" t="s">
        <v>51</v>
      </c>
      <c r="D5063">
        <v>47</v>
      </c>
      <c r="E5063">
        <v>37</v>
      </c>
      <c r="F5063">
        <v>10</v>
      </c>
      <c r="G5063">
        <v>2</v>
      </c>
      <c r="H5063" s="1">
        <v>3.6689814814814814E-3</v>
      </c>
      <c r="I5063">
        <v>2015</v>
      </c>
      <c r="J5063" t="s">
        <v>20</v>
      </c>
      <c r="K5063" s="2" t="str">
        <f>HYPERLINK("https://www.nba.com/stats/events?CFID=&amp;CFPARAMS=&amp;GameEventID=187&amp;GameID=0021501063&amp;Season=2015-16&amp;flag=1&amp;title=Leonard%201'%20Running%20Layup%20(15%20PTS)%20(Duncan%202%20AST)", "Leonard 1' Running Layup (15 PTS) (Duncan 2 AST)")</f>
        <v>Leonard 1' Running Layup (15 PTS) (Duncan 2 AST)</v>
      </c>
      <c r="L5063" s="2" t="str">
        <f>HYPERLINK("https://www.nba.com/game/...-vs-...-0021501063/play-by-play?watchFullGame=true", "SAS vs MIA - Q2 05:17.00")</f>
        <v>SAS vs MIA - Q2 05:17.00</v>
      </c>
      <c r="M5063">
        <v>1</v>
      </c>
      <c r="N5063">
        <v>9</v>
      </c>
      <c r="O5063">
        <v>-6</v>
      </c>
      <c r="P5063">
        <v>9</v>
      </c>
      <c r="Q5063">
        <v>-6</v>
      </c>
      <c r="R5063" t="s">
        <v>21</v>
      </c>
      <c r="S5063" t="s">
        <v>21</v>
      </c>
    </row>
    <row r="5064" spans="1:19" hidden="1" x14ac:dyDescent="0.25">
      <c r="A5064">
        <v>41800212</v>
      </c>
      <c r="B5064" t="s">
        <v>18</v>
      </c>
      <c r="C5064" t="s">
        <v>33</v>
      </c>
      <c r="D5064">
        <v>72</v>
      </c>
      <c r="E5064">
        <v>83</v>
      </c>
      <c r="F5064">
        <v>11</v>
      </c>
      <c r="G5064">
        <v>4</v>
      </c>
      <c r="H5064" s="1">
        <v>3.6921296296296298E-3</v>
      </c>
      <c r="I5064" t="s">
        <v>60</v>
      </c>
      <c r="J5064" t="s">
        <v>48</v>
      </c>
      <c r="K5064" s="2" t="str">
        <f>HYPERLINK("https://www.nba.com/stats/events?CFID=&amp;CFPARAMS=&amp;GameEventID=581&amp;GameID=0041800212&amp;Season=2018-19&amp;flag=1&amp;title=Leonard%201'%20Putback%20Layup%20(31%20PTS)", "Leonard 1' Putback Layup (31 PTS)")</f>
        <v>Leonard 1' Putback Layup (31 PTS)</v>
      </c>
      <c r="L5064" s="2" t="str">
        <f>HYPERLINK("https://www.nba.com/game/...-vs-...-0041800212/play-by-play?watchFullGame=true", "TOR vs PHI - Q4 05:19.00")</f>
        <v>TOR vs PHI - Q4 05:19.00</v>
      </c>
      <c r="M5064">
        <v>1</v>
      </c>
      <c r="N5064">
        <v>6</v>
      </c>
      <c r="O5064">
        <v>13</v>
      </c>
      <c r="P5064">
        <v>6</v>
      </c>
      <c r="Q5064">
        <v>13</v>
      </c>
      <c r="R5064" t="s">
        <v>21</v>
      </c>
      <c r="S5064" t="s">
        <v>21</v>
      </c>
    </row>
    <row r="5065" spans="1:19" hidden="1" x14ac:dyDescent="0.25">
      <c r="A5065">
        <v>21300133</v>
      </c>
      <c r="B5065" t="s">
        <v>18</v>
      </c>
      <c r="C5065" t="s">
        <v>24</v>
      </c>
      <c r="D5065">
        <v>10</v>
      </c>
      <c r="E5065">
        <v>11</v>
      </c>
      <c r="F5065">
        <v>1</v>
      </c>
      <c r="G5065">
        <v>1</v>
      </c>
      <c r="H5065" s="1">
        <v>3.6921296296296298E-3</v>
      </c>
      <c r="I5065">
        <v>2013</v>
      </c>
      <c r="J5065" t="s">
        <v>20</v>
      </c>
      <c r="K5065" s="2" t="str">
        <f>HYPERLINK("https://www.nba.com/stats/events?CFID=&amp;CFPARAMS=&amp;GameEventID=55&amp;GameID=0021300133&amp;Season=2013-14&amp;flag=1&amp;title=Leonard%201'%20Layup%20(2%20PTS)%20(Duncan%202%20AST)", "Leonard 1' Layup (2 PTS) (Duncan 2 AST)")</f>
        <v>Leonard 1' Layup (2 PTS) (Duncan 2 AST)</v>
      </c>
      <c r="L5065" s="2" t="str">
        <f>HYPERLINK("https://www.nba.com/game/...-vs-...-0021300133/play-by-play?watchFullGame=true", "SAS vs UTA - Q1 05:19.00")</f>
        <v>SAS vs UTA - Q1 05:19.00</v>
      </c>
      <c r="M5065">
        <v>1</v>
      </c>
      <c r="N5065">
        <v>7</v>
      </c>
      <c r="O5065">
        <v>1</v>
      </c>
      <c r="P5065">
        <v>7</v>
      </c>
      <c r="Q5065">
        <v>1</v>
      </c>
      <c r="R5065" t="s">
        <v>21</v>
      </c>
      <c r="S5065" t="s">
        <v>21</v>
      </c>
    </row>
    <row r="5066" spans="1:19" hidden="1" x14ac:dyDescent="0.25">
      <c r="A5066">
        <v>21801169</v>
      </c>
      <c r="B5066" t="s">
        <v>18</v>
      </c>
      <c r="C5066" t="s">
        <v>52</v>
      </c>
      <c r="D5066">
        <v>45</v>
      </c>
      <c r="E5066">
        <v>34</v>
      </c>
      <c r="F5066">
        <v>11</v>
      </c>
      <c r="G5066">
        <v>2</v>
      </c>
      <c r="H5066" s="1">
        <v>3.7268518518518519E-3</v>
      </c>
      <c r="I5066">
        <v>2018</v>
      </c>
      <c r="J5066" t="s">
        <v>48</v>
      </c>
      <c r="K5066" s="2" t="str">
        <f>HYPERLINK("https://www.nba.com/stats/events?CFID=&amp;CFPARAMS=&amp;GameEventID=269&amp;GameID=0021801169&amp;Season=2018-19&amp;flag=1&amp;title=Leonard%201'%20Cutting%20Layup%20Shot%20(13%20PTS)%20(Gasol%205%20AST)", "Leonard 1' Cutting Layup Shot (13 PTS) (Gasol 5 AST)")</f>
        <v>Leonard 1' Cutting Layup Shot (13 PTS) (Gasol 5 AST)</v>
      </c>
      <c r="L5066" s="2" t="str">
        <f>HYPERLINK("https://www.nba.com/game/...-vs-...-0021801169/play-by-play?watchFullGame=true", "TOR vs BKN - Q2 05:22.00")</f>
        <v>TOR vs BKN - Q2 05:22.00</v>
      </c>
      <c r="M5066">
        <v>1</v>
      </c>
      <c r="N5066">
        <v>8</v>
      </c>
      <c r="O5066">
        <v>9</v>
      </c>
      <c r="P5066">
        <v>8</v>
      </c>
      <c r="Q5066">
        <v>9</v>
      </c>
      <c r="R5066" t="s">
        <v>21</v>
      </c>
      <c r="S5066" t="s">
        <v>21</v>
      </c>
    </row>
    <row r="5067" spans="1:19" hidden="1" x14ac:dyDescent="0.25">
      <c r="A5067">
        <v>21800549</v>
      </c>
      <c r="B5067" t="s">
        <v>18</v>
      </c>
      <c r="C5067" t="s">
        <v>44</v>
      </c>
      <c r="D5067">
        <v>78</v>
      </c>
      <c r="E5067">
        <v>69</v>
      </c>
      <c r="F5067">
        <v>9</v>
      </c>
      <c r="G5067">
        <v>3</v>
      </c>
      <c r="H5067" s="1">
        <v>3.7384259259259259E-3</v>
      </c>
      <c r="I5067">
        <v>2018</v>
      </c>
      <c r="J5067" t="s">
        <v>48</v>
      </c>
      <c r="K5067" s="2" t="str">
        <f>HYPERLINK("https://www.nba.com/stats/events?CFID=&amp;CFPARAMS=&amp;GameEventID=383&amp;GameID=0021800549&amp;Season=2018-19&amp;flag=1&amp;title=Leonard%201'%20Driving%20Reverse%20Layup%20(26%20PTS)", "Leonard 1' Driving Reverse Layup (26 PTS)")</f>
        <v>Leonard 1' Driving Reverse Layup (26 PTS)</v>
      </c>
      <c r="L5067" s="2" t="str">
        <f>HYPERLINK("https://www.nba.com/game/...-vs-...-0021800549/play-by-play?watchFullGame=true", "TOR vs UTA - Q3 05:23.00")</f>
        <v>TOR vs UTA - Q3 05:23.00</v>
      </c>
      <c r="M5067">
        <v>1</v>
      </c>
      <c r="N5067">
        <v>-6</v>
      </c>
      <c r="O5067">
        <v>8</v>
      </c>
      <c r="P5067">
        <v>-6</v>
      </c>
      <c r="Q5067">
        <v>8</v>
      </c>
      <c r="R5067" t="s">
        <v>21</v>
      </c>
      <c r="S5067" t="s">
        <v>21</v>
      </c>
    </row>
    <row r="5068" spans="1:19" hidden="1" x14ac:dyDescent="0.25">
      <c r="A5068">
        <v>21400249</v>
      </c>
      <c r="B5068" t="s">
        <v>18</v>
      </c>
      <c r="C5068" t="s">
        <v>70</v>
      </c>
      <c r="D5068">
        <v>98</v>
      </c>
      <c r="E5068">
        <v>87</v>
      </c>
      <c r="F5068">
        <v>11</v>
      </c>
      <c r="G5068">
        <v>4</v>
      </c>
      <c r="H5068" s="1">
        <v>3.3912037037037036E-3</v>
      </c>
      <c r="I5068">
        <v>2014</v>
      </c>
      <c r="J5068" t="s">
        <v>20</v>
      </c>
      <c r="K5068" s="2" t="str">
        <f>HYPERLINK("https://www.nba.com/stats/events?CFID=&amp;CFPARAMS=&amp;GameEventID=508&amp;GameID=0021400249&amp;Season=2014-15&amp;flag=1&amp;title=Leonard%20%20Slam%20Dunk%20(22%20PTS)%20(Joseph%206%20AST)", "Leonard  Slam Dunk (22 PTS) (Joseph 6 AST)")</f>
        <v>Leonard  Slam Dunk (22 PTS) (Joseph 6 AST)</v>
      </c>
      <c r="L5068" s="2" t="str">
        <f>HYPERLINK("https://www.nba.com/game/...-vs-...-0021400249/play-by-play?watchFullGame=true", "SAS vs PHI - Q4 04:53.00")</f>
        <v>SAS vs PHI - Q4 04:53.00</v>
      </c>
      <c r="M5068">
        <v>0</v>
      </c>
      <c r="N5068">
        <v>0</v>
      </c>
      <c r="O5068">
        <v>1</v>
      </c>
      <c r="P5068">
        <v>0</v>
      </c>
      <c r="Q5068">
        <v>1</v>
      </c>
      <c r="R5068" t="s">
        <v>21</v>
      </c>
      <c r="S5068" t="s">
        <v>21</v>
      </c>
    </row>
    <row r="5069" spans="1:19" hidden="1" x14ac:dyDescent="0.25">
      <c r="A5069">
        <v>41800112</v>
      </c>
      <c r="B5069" t="s">
        <v>18</v>
      </c>
      <c r="C5069" t="s">
        <v>51</v>
      </c>
      <c r="D5069">
        <v>76</v>
      </c>
      <c r="E5069">
        <v>55</v>
      </c>
      <c r="F5069">
        <v>21</v>
      </c>
      <c r="G5069">
        <v>3</v>
      </c>
      <c r="H5069" s="1">
        <v>3.7384259259259259E-3</v>
      </c>
      <c r="I5069" t="s">
        <v>60</v>
      </c>
      <c r="J5069" t="s">
        <v>48</v>
      </c>
      <c r="K5069" s="2" t="str">
        <f>HYPERLINK("https://www.nba.com/stats/events?CFID=&amp;CFPARAMS=&amp;GameEventID=408&amp;GameID=0041800112&amp;Season=2018-19&amp;flag=1&amp;title=Leonard%201'%20Running%20Layup%20(29%20PTS)", "Leonard 1' Running Layup (29 PTS)")</f>
        <v>Leonard 1' Running Layup (29 PTS)</v>
      </c>
      <c r="L5069" s="2" t="str">
        <f>HYPERLINK("https://www.nba.com/game/...-vs-...-0041800112/play-by-play?watchFullGame=true", "TOR vs ORL - Q3 05:23.00")</f>
        <v>TOR vs ORL - Q3 05:23.00</v>
      </c>
      <c r="M5069">
        <v>1</v>
      </c>
      <c r="N5069">
        <v>8</v>
      </c>
      <c r="O5069">
        <v>1</v>
      </c>
      <c r="P5069">
        <v>8</v>
      </c>
      <c r="Q5069">
        <v>1</v>
      </c>
      <c r="R5069" t="s">
        <v>21</v>
      </c>
      <c r="S5069" t="s">
        <v>21</v>
      </c>
    </row>
    <row r="5070" spans="1:19" hidden="1" x14ac:dyDescent="0.25">
      <c r="A5070">
        <v>21500416</v>
      </c>
      <c r="B5070" t="s">
        <v>18</v>
      </c>
      <c r="C5070" t="s">
        <v>22</v>
      </c>
      <c r="D5070">
        <v>63</v>
      </c>
      <c r="E5070">
        <v>60</v>
      </c>
      <c r="F5070">
        <v>3</v>
      </c>
      <c r="G5070">
        <v>3</v>
      </c>
      <c r="H5070" s="1">
        <v>3.7499999999999999E-3</v>
      </c>
      <c r="I5070">
        <v>2015</v>
      </c>
      <c r="J5070" t="s">
        <v>20</v>
      </c>
      <c r="K5070" s="2" t="str">
        <f>HYPERLINK("https://www.nba.com/stats/events?CFID=&amp;CFPARAMS=&amp;GameEventID=299&amp;GameID=0021500416&amp;Season=2015-16&amp;flag=1&amp;title=Leonard%201'%20Driving%20Layup%20(18%20PTS)", "Leonard 1' Driving Layup (18 PTS)")</f>
        <v>Leonard 1' Driving Layup (18 PTS)</v>
      </c>
      <c r="L5070" s="2" t="str">
        <f>HYPERLINK("https://www.nba.com/game/...-vs-...-0021500416/play-by-play?watchFullGame=true", "SAS vs IND - Q3 05:24.00")</f>
        <v>SAS vs IND - Q3 05:24.00</v>
      </c>
      <c r="M5070">
        <v>1</v>
      </c>
      <c r="N5070">
        <v>-7</v>
      </c>
      <c r="O5070">
        <v>7</v>
      </c>
      <c r="P5070">
        <v>-7</v>
      </c>
      <c r="Q5070">
        <v>7</v>
      </c>
      <c r="R5070" t="s">
        <v>21</v>
      </c>
      <c r="S5070" t="s">
        <v>21</v>
      </c>
    </row>
    <row r="5071" spans="1:19" hidden="1" x14ac:dyDescent="0.25">
      <c r="A5071">
        <v>21500612</v>
      </c>
      <c r="B5071" t="s">
        <v>18</v>
      </c>
      <c r="C5071" t="s">
        <v>23</v>
      </c>
      <c r="D5071">
        <v>65</v>
      </c>
      <c r="E5071">
        <v>47</v>
      </c>
      <c r="F5071">
        <v>18</v>
      </c>
      <c r="G5071">
        <v>3</v>
      </c>
      <c r="H5071" s="1">
        <v>3.4375E-3</v>
      </c>
      <c r="I5071">
        <v>2015</v>
      </c>
      <c r="J5071" t="s">
        <v>20</v>
      </c>
      <c r="K5071" s="2" t="str">
        <f>HYPERLINK("https://www.nba.com/stats/events?CFID=&amp;CFPARAMS=&amp;GameEventID=355&amp;GameID=0021500612&amp;Season=2015-16&amp;flag=1&amp;title=Leonard%20%20Dunk%20(13%20PTS)%20(Parker%207%20AST)", "Leonard  Dunk (13 PTS) (Parker 7 AST)")</f>
        <v>Leonard  Dunk (13 PTS) (Parker 7 AST)</v>
      </c>
      <c r="L5071" s="2" t="str">
        <f>HYPERLINK("https://www.nba.com/game/...-vs-...-0021500612/play-by-play?watchFullGame=true", "SAS vs DAL - Q3 04:57.00")</f>
        <v>SAS vs DAL - Q3 04:57.00</v>
      </c>
      <c r="M5071">
        <v>0</v>
      </c>
      <c r="N5071">
        <v>0</v>
      </c>
      <c r="O5071">
        <v>1</v>
      </c>
      <c r="P5071">
        <v>0</v>
      </c>
      <c r="Q5071">
        <v>1</v>
      </c>
      <c r="R5071" t="s">
        <v>21</v>
      </c>
      <c r="S5071" t="s">
        <v>21</v>
      </c>
    </row>
    <row r="5072" spans="1:19" hidden="1" x14ac:dyDescent="0.25">
      <c r="A5072">
        <v>21601011</v>
      </c>
      <c r="B5072" t="s">
        <v>18</v>
      </c>
      <c r="C5072" t="s">
        <v>23</v>
      </c>
      <c r="D5072">
        <v>71</v>
      </c>
      <c r="E5072">
        <v>66</v>
      </c>
      <c r="F5072">
        <v>5</v>
      </c>
      <c r="G5072">
        <v>3</v>
      </c>
      <c r="H5072" s="1">
        <v>3.460648148148148E-3</v>
      </c>
      <c r="I5072">
        <v>2016</v>
      </c>
      <c r="J5072" t="s">
        <v>20</v>
      </c>
      <c r="K5072" s="2" t="str">
        <f>HYPERLINK("https://www.nba.com/stats/events?CFID=&amp;CFPARAMS=&amp;GameEventID=289&amp;GameID=0021601011&amp;Season=2016-17&amp;flag=1&amp;title=Leonard%20%20Dunk%20(27%20PTS)%20(Ginobili%203%20AST)", "Leonard  Dunk (27 PTS) (Ginobili 3 AST)")</f>
        <v>Leonard  Dunk (27 PTS) (Ginobili 3 AST)</v>
      </c>
      <c r="L5072" s="2" t="str">
        <f>HYPERLINK("https://www.nba.com/game/...-vs-...-0021601011/play-by-play?watchFullGame=true", "SAS vs POR - Q3 04:59.00")</f>
        <v>SAS vs POR - Q3 04:59.00</v>
      </c>
      <c r="M5072">
        <v>0</v>
      </c>
      <c r="N5072">
        <v>0</v>
      </c>
      <c r="O5072">
        <v>1</v>
      </c>
      <c r="P5072">
        <v>0</v>
      </c>
      <c r="Q5072">
        <v>1</v>
      </c>
      <c r="R5072" t="s">
        <v>21</v>
      </c>
      <c r="S5072" t="s">
        <v>21</v>
      </c>
    </row>
    <row r="5073" spans="1:19" hidden="1" x14ac:dyDescent="0.25">
      <c r="A5073">
        <v>21300258</v>
      </c>
      <c r="B5073" t="s">
        <v>18</v>
      </c>
      <c r="C5073" t="s">
        <v>35</v>
      </c>
      <c r="D5073">
        <v>14</v>
      </c>
      <c r="E5073">
        <v>11</v>
      </c>
      <c r="F5073">
        <v>3</v>
      </c>
      <c r="G5073">
        <v>1</v>
      </c>
      <c r="H5073" s="1">
        <v>3.7615740740740739E-3</v>
      </c>
      <c r="I5073">
        <v>2013</v>
      </c>
      <c r="J5073" t="s">
        <v>20</v>
      </c>
      <c r="K5073" s="2" t="str">
        <f>HYPERLINK("https://www.nba.com/stats/events?CFID=&amp;CFPARAMS=&amp;GameEventID=43&amp;GameID=0021300258&amp;Season=2013-14&amp;flag=1&amp;title=Leonard%201'%20Reverse%20Layup%20(2%20PTS)%20(Splitter%201%20AST)", "Leonard 1' Reverse Layup (2 PTS) (Splitter 1 AST)")</f>
        <v>Leonard 1' Reverse Layup (2 PTS) (Splitter 1 AST)</v>
      </c>
      <c r="L5073" s="2" t="str">
        <f>HYPERLINK("https://www.nba.com/game/...-vs-...-0021300258/play-by-play?watchFullGame=true", "SAS vs ATL - Q1 05:25.00")</f>
        <v>SAS vs ATL - Q1 05:25.00</v>
      </c>
      <c r="M5073">
        <v>1</v>
      </c>
      <c r="N5073">
        <v>-10</v>
      </c>
      <c r="O5073">
        <v>-6</v>
      </c>
      <c r="P5073">
        <v>-10</v>
      </c>
      <c r="Q5073">
        <v>-6</v>
      </c>
      <c r="R5073" t="s">
        <v>21</v>
      </c>
      <c r="S5073" t="s">
        <v>21</v>
      </c>
    </row>
    <row r="5074" spans="1:19" hidden="1" x14ac:dyDescent="0.25">
      <c r="A5074">
        <v>21800549</v>
      </c>
      <c r="B5074" t="s">
        <v>18</v>
      </c>
      <c r="C5074" t="s">
        <v>44</v>
      </c>
      <c r="D5074">
        <v>106</v>
      </c>
      <c r="E5074">
        <v>97</v>
      </c>
      <c r="F5074">
        <v>9</v>
      </c>
      <c r="G5074">
        <v>4</v>
      </c>
      <c r="H5074" s="1">
        <v>3.7731481481481483E-3</v>
      </c>
      <c r="I5074">
        <v>2018</v>
      </c>
      <c r="J5074" t="s">
        <v>48</v>
      </c>
      <c r="K5074" s="2" t="str">
        <f>HYPERLINK("https://www.nba.com/stats/events?CFID=&amp;CFPARAMS=&amp;GameEventID=564&amp;GameID=0021800549&amp;Season=2018-19&amp;flag=1&amp;title=Leonard%201'%20Driving%20Reverse%20Layup%20(36%20PTS)", "Leonard 1' Driving Reverse Layup (36 PTS)")</f>
        <v>Leonard 1' Driving Reverse Layup (36 PTS)</v>
      </c>
      <c r="L5074" s="2" t="str">
        <f>HYPERLINK("https://www.nba.com/game/...-vs-...-0021800549/play-by-play?watchFullGame=true", "TOR vs UTA - Q4 05:26.00")</f>
        <v>TOR vs UTA - Q4 05:26.00</v>
      </c>
      <c r="M5074">
        <v>1</v>
      </c>
      <c r="N5074">
        <v>-6</v>
      </c>
      <c r="O5074">
        <v>12</v>
      </c>
      <c r="P5074">
        <v>-6</v>
      </c>
      <c r="Q5074">
        <v>12</v>
      </c>
      <c r="R5074" t="s">
        <v>21</v>
      </c>
      <c r="S5074" t="s">
        <v>21</v>
      </c>
    </row>
    <row r="5075" spans="1:19" hidden="1" x14ac:dyDescent="0.25">
      <c r="A5075">
        <v>21401084</v>
      </c>
      <c r="B5075" t="s">
        <v>18</v>
      </c>
      <c r="C5075" t="s">
        <v>32</v>
      </c>
      <c r="D5075">
        <v>15</v>
      </c>
      <c r="E5075">
        <v>9</v>
      </c>
      <c r="F5075">
        <v>6</v>
      </c>
      <c r="G5075">
        <v>1</v>
      </c>
      <c r="H5075" s="1">
        <v>3.8657407407407408E-3</v>
      </c>
      <c r="I5075">
        <v>2014</v>
      </c>
      <c r="J5075" t="s">
        <v>20</v>
      </c>
      <c r="K5075" s="2" t="str">
        <f>HYPERLINK("https://www.nba.com/stats/events?CFID=&amp;CFPARAMS=&amp;GameEventID=59&amp;GameID=0021401084&amp;Season=2014-15&amp;flag=1&amp;title=Leonard%201'%20Alley%20Oop%20Layup%20(5%20PTS)%20(Parker%201%20AST)", "Leonard 1' Alley Oop Layup (5 PTS) (Parker 1 AST)")</f>
        <v>Leonard 1' Alley Oop Layup (5 PTS) (Parker 1 AST)</v>
      </c>
      <c r="L5075" s="2" t="str">
        <f>HYPERLINK("https://www.nba.com/game/...-vs-...-0021401084/play-by-play?watchFullGame=true", "SAS vs DAL - Q1 05:34.00")</f>
        <v>SAS vs DAL - Q1 05:34.00</v>
      </c>
      <c r="M5075">
        <v>1</v>
      </c>
      <c r="N5075">
        <v>-7</v>
      </c>
      <c r="O5075">
        <v>4</v>
      </c>
      <c r="P5075">
        <v>-7</v>
      </c>
      <c r="Q5075">
        <v>4</v>
      </c>
      <c r="R5075" t="s">
        <v>21</v>
      </c>
      <c r="S5075" t="s">
        <v>21</v>
      </c>
    </row>
    <row r="5076" spans="1:19" hidden="1" x14ac:dyDescent="0.25">
      <c r="A5076">
        <v>21800332</v>
      </c>
      <c r="B5076" t="s">
        <v>18</v>
      </c>
      <c r="C5076" t="s">
        <v>22</v>
      </c>
      <c r="D5076">
        <v>94</v>
      </c>
      <c r="E5076">
        <v>82</v>
      </c>
      <c r="F5076">
        <v>12</v>
      </c>
      <c r="G5076">
        <v>4</v>
      </c>
      <c r="H5076" s="1">
        <v>3.8888888888888888E-3</v>
      </c>
      <c r="I5076">
        <v>2018</v>
      </c>
      <c r="J5076" t="s">
        <v>48</v>
      </c>
      <c r="K5076" s="2" t="str">
        <f>HYPERLINK("https://www.nba.com/stats/events?CFID=&amp;CFPARAMS=&amp;GameEventID=542&amp;GameID=0021800332&amp;Season=2018-19&amp;flag=1&amp;title=Leonard%201'%20Driving%20Layup%20(32%20PTS)", "Leonard 1' Driving Layup (32 PTS)")</f>
        <v>Leonard 1' Driving Layup (32 PTS)</v>
      </c>
      <c r="L5076" s="2" t="str">
        <f>HYPERLINK("https://www.nba.com/game/...-vs-...-0021800332/play-by-play?watchFullGame=true", "TOR vs CLE - Q4 05:36.00")</f>
        <v>TOR vs CLE - Q4 05:36.00</v>
      </c>
      <c r="M5076">
        <v>1</v>
      </c>
      <c r="N5076">
        <v>3</v>
      </c>
      <c r="O5076">
        <v>6</v>
      </c>
      <c r="P5076">
        <v>3</v>
      </c>
      <c r="Q5076">
        <v>6</v>
      </c>
      <c r="R5076" t="s">
        <v>21</v>
      </c>
      <c r="S5076" t="s">
        <v>21</v>
      </c>
    </row>
    <row r="5077" spans="1:19" hidden="1" x14ac:dyDescent="0.25">
      <c r="A5077">
        <v>21300181</v>
      </c>
      <c r="B5077" t="s">
        <v>18</v>
      </c>
      <c r="C5077" t="s">
        <v>22</v>
      </c>
      <c r="D5077">
        <v>40</v>
      </c>
      <c r="E5077">
        <v>29</v>
      </c>
      <c r="F5077">
        <v>11</v>
      </c>
      <c r="G5077">
        <v>2</v>
      </c>
      <c r="H5077" s="1">
        <v>3.9004629629629628E-3</v>
      </c>
      <c r="I5077">
        <v>2013</v>
      </c>
      <c r="J5077" t="s">
        <v>20</v>
      </c>
      <c r="K5077" s="2" t="str">
        <f>HYPERLINK("https://www.nba.com/stats/events?CFID=&amp;CFPARAMS=&amp;GameEventID=158&amp;GameID=0021300181&amp;Season=2013-14&amp;flag=1&amp;title=Leonard%201'%20Driving%20Layup%20(4%20PTS)", "Leonard 1' Driving Layup (4 PTS)")</f>
        <v>Leonard 1' Driving Layup (4 PTS)</v>
      </c>
      <c r="L5077" s="2" t="str">
        <f>HYPERLINK("https://www.nba.com/game/...-vs-...-0021300181/play-by-play?watchFullGame=true", "SAS vs MEM - Q2 05:37.00")</f>
        <v>SAS vs MEM - Q2 05:37.00</v>
      </c>
      <c r="M5077">
        <v>1</v>
      </c>
      <c r="N5077">
        <v>-10</v>
      </c>
      <c r="O5077">
        <v>-3</v>
      </c>
      <c r="P5077">
        <v>-10</v>
      </c>
      <c r="Q5077">
        <v>-3</v>
      </c>
      <c r="R5077" t="s">
        <v>21</v>
      </c>
      <c r="S5077" t="s">
        <v>21</v>
      </c>
    </row>
    <row r="5078" spans="1:19" hidden="1" x14ac:dyDescent="0.25">
      <c r="A5078">
        <v>21400757</v>
      </c>
      <c r="B5078" t="s">
        <v>18</v>
      </c>
      <c r="C5078" t="s">
        <v>23</v>
      </c>
      <c r="D5078">
        <v>13</v>
      </c>
      <c r="E5078">
        <v>13</v>
      </c>
      <c r="F5078">
        <v>0</v>
      </c>
      <c r="G5078">
        <v>1</v>
      </c>
      <c r="H5078" s="1">
        <v>3.472222222222222E-3</v>
      </c>
      <c r="I5078">
        <v>2014</v>
      </c>
      <c r="J5078" t="s">
        <v>20</v>
      </c>
      <c r="K5078" s="2" t="str">
        <f>HYPERLINK("https://www.nba.com/stats/events?CFID=&amp;CFPARAMS=&amp;GameEventID=62&amp;GameID=0021400757&amp;Season=2014-15&amp;flag=1&amp;title=Leonard%20%20Dunk%20(2%20PTS)", "Leonard  Dunk (2 PTS)")</f>
        <v>Leonard  Dunk (2 PTS)</v>
      </c>
      <c r="L5078" s="2" t="str">
        <f>HYPERLINK("https://www.nba.com/game/...-vs-...-0021400757/play-by-play?watchFullGame=true", "SAS vs MIA - Q1 05:00.00")</f>
        <v>SAS vs MIA - Q1 05:00.00</v>
      </c>
      <c r="M5078">
        <v>0</v>
      </c>
      <c r="N5078">
        <v>0</v>
      </c>
      <c r="O5078">
        <v>1</v>
      </c>
      <c r="P5078">
        <v>0</v>
      </c>
      <c r="Q5078">
        <v>1</v>
      </c>
      <c r="R5078" t="s">
        <v>21</v>
      </c>
      <c r="S5078" t="s">
        <v>21</v>
      </c>
    </row>
    <row r="5079" spans="1:19" hidden="1" x14ac:dyDescent="0.25">
      <c r="A5079">
        <v>41500235</v>
      </c>
      <c r="B5079" t="s">
        <v>18</v>
      </c>
      <c r="C5079" t="s">
        <v>40</v>
      </c>
      <c r="D5079">
        <v>30</v>
      </c>
      <c r="E5079">
        <v>31</v>
      </c>
      <c r="F5079">
        <v>1</v>
      </c>
      <c r="G5079">
        <v>2</v>
      </c>
      <c r="H5079" s="1">
        <v>3.9004629629629628E-3</v>
      </c>
      <c r="I5079" t="s">
        <v>57</v>
      </c>
      <c r="J5079" t="s">
        <v>20</v>
      </c>
      <c r="K5079" s="2" t="str">
        <f>HYPERLINK("https://www.nba.com/stats/events?CFID=&amp;CFPARAMS=&amp;GameEventID=200&amp;GameID=0041500235&amp;Season=2015-16&amp;flag=1&amp;title=Leonard%201'%20Driving%20Finger%20Roll%20Layup%20(12%20PTS)", "Leonard 1' Driving Finger Roll Layup (12 PTS)")</f>
        <v>Leonard 1' Driving Finger Roll Layup (12 PTS)</v>
      </c>
      <c r="L5079" s="2" t="str">
        <f>HYPERLINK("https://www.nba.com/game/...-vs-...-0041500235/play-by-play?watchFullGame=true", "SAS vs OKC - Q2 05:37.00")</f>
        <v>SAS vs OKC - Q2 05:37.00</v>
      </c>
      <c r="M5079">
        <v>1</v>
      </c>
      <c r="N5079">
        <v>9</v>
      </c>
      <c r="O5079">
        <v>3</v>
      </c>
      <c r="P5079">
        <v>9</v>
      </c>
      <c r="Q5079">
        <v>3</v>
      </c>
      <c r="R5079" t="s">
        <v>21</v>
      </c>
      <c r="S5079" t="s">
        <v>21</v>
      </c>
    </row>
    <row r="5080" spans="1:19" hidden="1" x14ac:dyDescent="0.25">
      <c r="A5080">
        <v>21600727</v>
      </c>
      <c r="B5080" t="s">
        <v>18</v>
      </c>
      <c r="C5080" t="s">
        <v>25</v>
      </c>
      <c r="D5080">
        <v>101</v>
      </c>
      <c r="E5080">
        <v>84</v>
      </c>
      <c r="F5080">
        <v>17</v>
      </c>
      <c r="G5080">
        <v>4</v>
      </c>
      <c r="H5080" s="1">
        <v>3.472222222222222E-3</v>
      </c>
      <c r="I5080">
        <v>2016</v>
      </c>
      <c r="J5080" t="s">
        <v>20</v>
      </c>
      <c r="K5080" s="2" t="str">
        <f>HYPERLINK("https://www.nba.com/stats/events?CFID=&amp;CFPARAMS=&amp;GameEventID=585&amp;GameID=0021600727&amp;Season=2016-17&amp;flag=1&amp;title=Leonard%20%20Driving%20Dunk%20(36%20PTS)", "Leonard  Driving Dunk (36 PTS)")</f>
        <v>Leonard  Driving Dunk (36 PTS)</v>
      </c>
      <c r="L5080" s="2" t="str">
        <f>HYPERLINK("https://www.nba.com/game/...-vs-...-0021600727/play-by-play?watchFullGame=true", "SAS vs OKC - Q4 05:00.00")</f>
        <v>SAS vs OKC - Q4 05:00.00</v>
      </c>
      <c r="M5080">
        <v>0</v>
      </c>
      <c r="N5080">
        <v>0</v>
      </c>
      <c r="O5080">
        <v>1</v>
      </c>
      <c r="P5080">
        <v>0</v>
      </c>
      <c r="Q5080">
        <v>1</v>
      </c>
      <c r="R5080" t="s">
        <v>21</v>
      </c>
      <c r="S5080" t="s">
        <v>21</v>
      </c>
    </row>
    <row r="5081" spans="1:19" hidden="1" x14ac:dyDescent="0.25">
      <c r="A5081">
        <v>21500928</v>
      </c>
      <c r="B5081" t="s">
        <v>18</v>
      </c>
      <c r="C5081" t="s">
        <v>31</v>
      </c>
      <c r="D5081">
        <v>41</v>
      </c>
      <c r="E5081">
        <v>36</v>
      </c>
      <c r="F5081">
        <v>5</v>
      </c>
      <c r="G5081">
        <v>2</v>
      </c>
      <c r="H5081" s="1">
        <v>3.9583333333333337E-3</v>
      </c>
      <c r="I5081">
        <v>2015</v>
      </c>
      <c r="J5081" t="s">
        <v>20</v>
      </c>
      <c r="K5081" s="2" t="str">
        <f>HYPERLINK("https://www.nba.com/stats/events?CFID=&amp;CFPARAMS=&amp;GameEventID=194&amp;GameID=0021500928&amp;Season=2015-16&amp;flag=1&amp;title=Leonard%201'%20Driving%20Hook%20Shot%20(5%20PTS)%20(Mills%202%20AST)", "Leonard 1' Driving Hook Shot (5 PTS) (Mills 2 AST)")</f>
        <v>Leonard 1' Driving Hook Shot (5 PTS) (Mills 2 AST)</v>
      </c>
      <c r="L5081" s="2" t="str">
        <f>HYPERLINK("https://www.nba.com/game/...-vs-...-0021500928/play-by-play?watchFullGame=true", "SAS vs SAC - Q2 05:42.00")</f>
        <v>SAS vs SAC - Q2 05:42.00</v>
      </c>
      <c r="M5081">
        <v>1</v>
      </c>
      <c r="N5081">
        <v>2</v>
      </c>
      <c r="O5081">
        <v>7</v>
      </c>
      <c r="P5081">
        <v>2</v>
      </c>
      <c r="Q5081">
        <v>7</v>
      </c>
      <c r="R5081" t="s">
        <v>21</v>
      </c>
      <c r="S5081" t="s">
        <v>21</v>
      </c>
    </row>
    <row r="5082" spans="1:19" hidden="1" x14ac:dyDescent="0.25">
      <c r="A5082">
        <v>21600817</v>
      </c>
      <c r="B5082" t="s">
        <v>18</v>
      </c>
      <c r="C5082" t="s">
        <v>23</v>
      </c>
      <c r="D5082">
        <v>40</v>
      </c>
      <c r="E5082">
        <v>30</v>
      </c>
      <c r="F5082">
        <v>10</v>
      </c>
      <c r="G5082">
        <v>2</v>
      </c>
      <c r="H5082" s="1">
        <v>3.472222222222222E-3</v>
      </c>
      <c r="I5082">
        <v>2016</v>
      </c>
      <c r="J5082" t="s">
        <v>20</v>
      </c>
      <c r="K5082" s="2" t="str">
        <f>HYPERLINK("https://www.nba.com/stats/events?CFID=&amp;CFPARAMS=&amp;GameEventID=181&amp;GameID=0021600817&amp;Season=2016-17&amp;flag=1&amp;title=Leonard%20%20Dunk%20(8%20PTS)%20(Parker%203%20AST)", "Leonard  Dunk (8 PTS) (Parker 3 AST)")</f>
        <v>Leonard  Dunk (8 PTS) (Parker 3 AST)</v>
      </c>
      <c r="L5082" s="2" t="str">
        <f>HYPERLINK("https://www.nba.com/game/...-vs-...-0021600817/play-by-play?watchFullGame=true", "SAS vs NYK - Q2 05:00.00")</f>
        <v>SAS vs NYK - Q2 05:00.00</v>
      </c>
      <c r="M5082">
        <v>0</v>
      </c>
      <c r="N5082">
        <v>0</v>
      </c>
      <c r="O5082">
        <v>1</v>
      </c>
      <c r="P5082">
        <v>0</v>
      </c>
      <c r="Q5082">
        <v>1</v>
      </c>
      <c r="R5082" t="s">
        <v>21</v>
      </c>
      <c r="S5082" t="s">
        <v>21</v>
      </c>
    </row>
    <row r="5083" spans="1:19" hidden="1" x14ac:dyDescent="0.25">
      <c r="A5083">
        <v>21600865</v>
      </c>
      <c r="B5083" t="s">
        <v>18</v>
      </c>
      <c r="C5083" t="s">
        <v>50</v>
      </c>
      <c r="D5083">
        <v>92</v>
      </c>
      <c r="E5083">
        <v>84</v>
      </c>
      <c r="F5083">
        <v>8</v>
      </c>
      <c r="G5083">
        <v>4</v>
      </c>
      <c r="H5083" s="1">
        <v>3.4953703703703705E-3</v>
      </c>
      <c r="I5083">
        <v>2016</v>
      </c>
      <c r="J5083" t="s">
        <v>20</v>
      </c>
      <c r="K5083" s="2" t="str">
        <f>HYPERLINK("https://www.nba.com/stats/events?CFID=&amp;CFPARAMS=&amp;GameEventID=508&amp;GameID=0021600865&amp;Season=2016-17&amp;flag=1&amp;title=Leonard%20%20Running%20Dunk%20(16%20PTS)%20(Parker%203%20AST)", "Leonard  Running Dunk (16 PTS) (Parker 3 AST)")</f>
        <v>Leonard  Running Dunk (16 PTS) (Parker 3 AST)</v>
      </c>
      <c r="L5083" s="2" t="str">
        <f>HYPERLINK("https://www.nba.com/game/...-vs-...-0021600865/play-by-play?watchFullGame=true", "SAS vs LAC - Q4 05:02.00")</f>
        <v>SAS vs LAC - Q4 05:02.00</v>
      </c>
      <c r="M5083">
        <v>0</v>
      </c>
      <c r="N5083">
        <v>0</v>
      </c>
      <c r="O5083">
        <v>1</v>
      </c>
      <c r="P5083">
        <v>0</v>
      </c>
      <c r="Q5083">
        <v>1</v>
      </c>
      <c r="R5083" t="s">
        <v>21</v>
      </c>
      <c r="S5083" t="s">
        <v>21</v>
      </c>
    </row>
    <row r="5084" spans="1:19" hidden="1" x14ac:dyDescent="0.25">
      <c r="A5084">
        <v>21501140</v>
      </c>
      <c r="B5084" t="s">
        <v>18</v>
      </c>
      <c r="C5084" t="s">
        <v>24</v>
      </c>
      <c r="D5084">
        <v>84</v>
      </c>
      <c r="E5084">
        <v>76</v>
      </c>
      <c r="F5084">
        <v>8</v>
      </c>
      <c r="G5084">
        <v>4</v>
      </c>
      <c r="H5084" s="1">
        <v>4.0046296296296297E-3</v>
      </c>
      <c r="I5084">
        <v>2015</v>
      </c>
      <c r="J5084" t="s">
        <v>20</v>
      </c>
      <c r="K5084" s="2" t="str">
        <f>HYPERLINK("https://www.nba.com/stats/events?CFID=&amp;CFPARAMS=&amp;GameEventID=390&amp;GameID=0021501140&amp;Season=2015-16&amp;flag=1&amp;title=Leonard%201'%20Layup%20(23%20PTS)%20(Anderson%203%20AST)", "Leonard 1' Layup (23 PTS) (Anderson 3 AST)")</f>
        <v>Leonard 1' Layup (23 PTS) (Anderson 3 AST)</v>
      </c>
      <c r="L5084" s="2" t="str">
        <f>HYPERLINK("https://www.nba.com/game/...-vs-...-0021501140/play-by-play?watchFullGame=true", "SAS vs TOR - Q4 05:46.00")</f>
        <v>SAS vs TOR - Q4 05:46.00</v>
      </c>
      <c r="M5084">
        <v>1</v>
      </c>
      <c r="N5084">
        <v>9</v>
      </c>
      <c r="O5084">
        <v>-6</v>
      </c>
      <c r="P5084">
        <v>9</v>
      </c>
      <c r="Q5084">
        <v>-6</v>
      </c>
      <c r="R5084" t="s">
        <v>21</v>
      </c>
      <c r="S5084" t="s">
        <v>21</v>
      </c>
    </row>
    <row r="5085" spans="1:19" hidden="1" x14ac:dyDescent="0.25">
      <c r="A5085">
        <v>21400663</v>
      </c>
      <c r="B5085" t="s">
        <v>18</v>
      </c>
      <c r="C5085" t="s">
        <v>25</v>
      </c>
      <c r="D5085">
        <v>57</v>
      </c>
      <c r="E5085">
        <v>62</v>
      </c>
      <c r="F5085">
        <v>5</v>
      </c>
      <c r="G5085">
        <v>3</v>
      </c>
      <c r="H5085" s="1">
        <v>3.5648148148148149E-3</v>
      </c>
      <c r="I5085">
        <v>2014</v>
      </c>
      <c r="J5085" t="s">
        <v>20</v>
      </c>
      <c r="K5085" s="2" t="str">
        <f>HYPERLINK("https://www.nba.com/stats/events?CFID=&amp;CFPARAMS=&amp;GameEventID=335&amp;GameID=0021400663&amp;Season=2014-15&amp;flag=1&amp;title=Leonard%20Driving%20Dunk%20(8%20PTS)", "Leonard Driving Dunk (8 PTS)")</f>
        <v>Leonard Driving Dunk (8 PTS)</v>
      </c>
      <c r="L5085" s="2" t="str">
        <f>HYPERLINK("https://www.nba.com/game/...-vs-...-0021400663/play-by-play?watchFullGame=true", "SAS vs MIL - Q3 05:08.00")</f>
        <v>SAS vs MIL - Q3 05:08.00</v>
      </c>
      <c r="M5085">
        <v>0</v>
      </c>
      <c r="N5085">
        <v>0</v>
      </c>
      <c r="O5085">
        <v>1</v>
      </c>
      <c r="P5085">
        <v>0</v>
      </c>
      <c r="Q5085">
        <v>1</v>
      </c>
      <c r="R5085" t="s">
        <v>21</v>
      </c>
      <c r="S5085" t="s">
        <v>21</v>
      </c>
    </row>
    <row r="5086" spans="1:19" hidden="1" x14ac:dyDescent="0.25">
      <c r="A5086">
        <v>21600902</v>
      </c>
      <c r="B5086" t="s">
        <v>18</v>
      </c>
      <c r="C5086" t="s">
        <v>64</v>
      </c>
      <c r="D5086">
        <v>15</v>
      </c>
      <c r="E5086">
        <v>16</v>
      </c>
      <c r="F5086">
        <v>1</v>
      </c>
      <c r="G5086">
        <v>1</v>
      </c>
      <c r="H5086" s="1">
        <v>3.5879629629629629E-3</v>
      </c>
      <c r="I5086">
        <v>2016</v>
      </c>
      <c r="J5086" t="s">
        <v>20</v>
      </c>
      <c r="K5086" s="2" t="str">
        <f>HYPERLINK("https://www.nba.com/stats/events?CFID=&amp;CFPARAMS=&amp;GameEventID=68&amp;GameID=0021600902&amp;Season=2016-17&amp;flag=1&amp;title=Leonard%20%20Tip%20Dunk%20Shot%20(4%20PTS)", "Leonard  Tip Dunk Shot (4 PTS)")</f>
        <v>Leonard  Tip Dunk Shot (4 PTS)</v>
      </c>
      <c r="L5086" s="2" t="str">
        <f>HYPERLINK("https://www.nba.com/game/...-vs-...-0021600902/play-by-play?watchFullGame=true", "SAS vs IND - Q1 05:10.00")</f>
        <v>SAS vs IND - Q1 05:10.00</v>
      </c>
      <c r="M5086">
        <v>0</v>
      </c>
      <c r="N5086">
        <v>0</v>
      </c>
      <c r="O5086">
        <v>1</v>
      </c>
      <c r="P5086">
        <v>0</v>
      </c>
      <c r="Q5086">
        <v>1</v>
      </c>
      <c r="R5086" t="s">
        <v>21</v>
      </c>
      <c r="S5086" t="s">
        <v>21</v>
      </c>
    </row>
    <row r="5087" spans="1:19" hidden="1" x14ac:dyDescent="0.25">
      <c r="A5087">
        <v>21601011</v>
      </c>
      <c r="B5087" t="s">
        <v>18</v>
      </c>
      <c r="C5087" t="s">
        <v>35</v>
      </c>
      <c r="D5087">
        <v>93</v>
      </c>
      <c r="E5087">
        <v>98</v>
      </c>
      <c r="F5087">
        <v>5</v>
      </c>
      <c r="G5087">
        <v>4</v>
      </c>
      <c r="H5087" s="1">
        <v>4.0393518518518521E-3</v>
      </c>
      <c r="I5087">
        <v>2016</v>
      </c>
      <c r="J5087" t="s">
        <v>20</v>
      </c>
      <c r="K5087" s="2" t="str">
        <f>HYPERLINK("https://www.nba.com/stats/events?CFID=&amp;CFPARAMS=&amp;GameEventID=419&amp;GameID=0021601011&amp;Season=2016-17&amp;flag=1&amp;title=Leonard%201'%20Reverse%20Layup%20(32%20PTS)%20(Aldridge%204%20AST)", "Leonard 1' Reverse Layup (32 PTS) (Aldridge 4 AST)")</f>
        <v>Leonard 1' Reverse Layup (32 PTS) (Aldridge 4 AST)</v>
      </c>
      <c r="L5087" s="2" t="str">
        <f>HYPERLINK("https://www.nba.com/game/...-vs-...-0021601011/play-by-play?watchFullGame=true", "SAS vs POR - Q4 05:49.00")</f>
        <v>SAS vs POR - Q4 05:49.00</v>
      </c>
      <c r="M5087">
        <v>1</v>
      </c>
      <c r="N5087">
        <v>-7</v>
      </c>
      <c r="O5087">
        <v>-6</v>
      </c>
      <c r="P5087">
        <v>-7</v>
      </c>
      <c r="Q5087">
        <v>-6</v>
      </c>
      <c r="R5087" t="s">
        <v>21</v>
      </c>
      <c r="S5087" t="s">
        <v>21</v>
      </c>
    </row>
    <row r="5088" spans="1:19" hidden="1" x14ac:dyDescent="0.25">
      <c r="A5088">
        <v>41800402</v>
      </c>
      <c r="B5088" t="s">
        <v>18</v>
      </c>
      <c r="C5088" t="s">
        <v>41</v>
      </c>
      <c r="D5088">
        <v>12</v>
      </c>
      <c r="E5088">
        <v>9</v>
      </c>
      <c r="F5088">
        <v>3</v>
      </c>
      <c r="G5088">
        <v>1</v>
      </c>
      <c r="H5088" s="1">
        <v>4.0393518518518521E-3</v>
      </c>
      <c r="I5088" t="s">
        <v>60</v>
      </c>
      <c r="J5088" t="s">
        <v>48</v>
      </c>
      <c r="K5088" s="2" t="str">
        <f>HYPERLINK("https://www.nba.com/stats/events?CFID=&amp;CFPARAMS=&amp;GameEventID=77&amp;GameID=0041800402&amp;Season=2018-19&amp;flag=1&amp;title=Leonard%201'%20Tip%20Layup%20Shot%20(7%20PTS)", "Leonard 1' Tip Layup Shot (7 PTS)")</f>
        <v>Leonard 1' Tip Layup Shot (7 PTS)</v>
      </c>
      <c r="L5088" s="2" t="str">
        <f>HYPERLINK("https://www.nba.com/game/...-vs-...-0041800402/play-by-play?watchFullGame=true", "TOR vs GSW - Q1 05:49.00")</f>
        <v>TOR vs GSW - Q1 05:49.00</v>
      </c>
      <c r="M5088">
        <v>1</v>
      </c>
      <c r="N5088">
        <v>0</v>
      </c>
      <c r="O5088">
        <v>-6</v>
      </c>
      <c r="P5088">
        <v>0</v>
      </c>
      <c r="Q5088">
        <v>-6</v>
      </c>
      <c r="R5088" t="s">
        <v>21</v>
      </c>
      <c r="S5088" t="s">
        <v>21</v>
      </c>
    </row>
    <row r="5089" spans="1:19" hidden="1" x14ac:dyDescent="0.25">
      <c r="A5089">
        <v>21600762</v>
      </c>
      <c r="B5089" t="s">
        <v>18</v>
      </c>
      <c r="C5089" t="s">
        <v>50</v>
      </c>
      <c r="D5089">
        <v>77</v>
      </c>
      <c r="E5089">
        <v>57</v>
      </c>
      <c r="F5089">
        <v>20</v>
      </c>
      <c r="G5089">
        <v>3</v>
      </c>
      <c r="H5089" s="1">
        <v>3.5995370370370369E-3</v>
      </c>
      <c r="I5089">
        <v>2016</v>
      </c>
      <c r="J5089" t="s">
        <v>20</v>
      </c>
      <c r="K5089" s="2" t="str">
        <f>HYPERLINK("https://www.nba.com/stats/events?CFID=&amp;CFPARAMS=&amp;GameEventID=327&amp;GameID=0021600762&amp;Season=2016-17&amp;flag=1&amp;title=Leonard%20%20Running%20Dunk%20(15%20PTS)%20(Green%203%20AST)", "Leonard  Running Dunk (15 PTS) (Green 3 AST)")</f>
        <v>Leonard  Running Dunk (15 PTS) (Green 3 AST)</v>
      </c>
      <c r="L5089" s="2" t="str">
        <f>HYPERLINK("https://www.nba.com/game/...-vs-...-0021600762/play-by-play?watchFullGame=true", "SAS vs DEN - Q3 05:11.00")</f>
        <v>SAS vs DEN - Q3 05:11.00</v>
      </c>
      <c r="M5089">
        <v>0</v>
      </c>
      <c r="N5089">
        <v>0</v>
      </c>
      <c r="O5089">
        <v>1</v>
      </c>
      <c r="P5089">
        <v>0</v>
      </c>
      <c r="Q5089">
        <v>1</v>
      </c>
      <c r="R5089" t="s">
        <v>21</v>
      </c>
      <c r="S5089" t="s">
        <v>21</v>
      </c>
    </row>
    <row r="5090" spans="1:19" hidden="1" x14ac:dyDescent="0.25">
      <c r="A5090">
        <v>41800301</v>
      </c>
      <c r="B5090" t="s">
        <v>18</v>
      </c>
      <c r="C5090" t="s">
        <v>24</v>
      </c>
      <c r="D5090">
        <v>74</v>
      </c>
      <c r="E5090">
        <v>64</v>
      </c>
      <c r="F5090">
        <v>10</v>
      </c>
      <c r="G5090">
        <v>3</v>
      </c>
      <c r="H5090" s="1">
        <v>4.0509259259259257E-3</v>
      </c>
      <c r="I5090" t="s">
        <v>60</v>
      </c>
      <c r="J5090" t="s">
        <v>48</v>
      </c>
      <c r="K5090" s="2" t="str">
        <f>HYPERLINK("https://www.nba.com/stats/events?CFID=&amp;CFPARAMS=&amp;GameEventID=408&amp;GameID=0041800301&amp;Season=2018-19&amp;flag=1&amp;title=Leonard%201'%20Layup%20(23%20PTS)%20(Gasol%205%20AST)", "Leonard 1' Layup (23 PTS) (Gasol 5 AST)")</f>
        <v>Leonard 1' Layup (23 PTS) (Gasol 5 AST)</v>
      </c>
      <c r="L5090" s="2" t="str">
        <f>HYPERLINK("https://www.nba.com/game/...-vs-...-0041800301/play-by-play?watchFullGame=true", "TOR vs MIL - Q3 05:50.00")</f>
        <v>TOR vs MIL - Q3 05:50.00</v>
      </c>
      <c r="M5090">
        <v>1</v>
      </c>
      <c r="N5090">
        <v>2</v>
      </c>
      <c r="O5090">
        <v>7</v>
      </c>
      <c r="P5090">
        <v>2</v>
      </c>
      <c r="Q5090">
        <v>7</v>
      </c>
      <c r="R5090" t="s">
        <v>21</v>
      </c>
      <c r="S5090" t="s">
        <v>21</v>
      </c>
    </row>
    <row r="5091" spans="1:19" hidden="1" x14ac:dyDescent="0.25">
      <c r="A5091">
        <v>21800549</v>
      </c>
      <c r="B5091" t="s">
        <v>18</v>
      </c>
      <c r="C5091" t="s">
        <v>44</v>
      </c>
      <c r="D5091">
        <v>75</v>
      </c>
      <c r="E5091">
        <v>66</v>
      </c>
      <c r="F5091">
        <v>9</v>
      </c>
      <c r="G5091">
        <v>3</v>
      </c>
      <c r="H5091" s="1">
        <v>4.0856481481481481E-3</v>
      </c>
      <c r="I5091">
        <v>2018</v>
      </c>
      <c r="J5091" t="s">
        <v>48</v>
      </c>
      <c r="K5091" s="2" t="str">
        <f>HYPERLINK("https://www.nba.com/stats/events?CFID=&amp;CFPARAMS=&amp;GameEventID=377&amp;GameID=0021800549&amp;Season=2018-19&amp;flag=1&amp;title=Leonard%201'%20Driving%20Reverse%20Layup%20(23%20PTS)", "Leonard 1' Driving Reverse Layup (23 PTS)")</f>
        <v>Leonard 1' Driving Reverse Layup (23 PTS)</v>
      </c>
      <c r="L5091" s="2" t="str">
        <f>HYPERLINK("https://www.nba.com/game/...-vs-...-0021800549/play-by-play?watchFullGame=true", "TOR vs UTA - Q3 05:53.00")</f>
        <v>TOR vs UTA - Q3 05:53.00</v>
      </c>
      <c r="M5091">
        <v>1</v>
      </c>
      <c r="N5091">
        <v>9</v>
      </c>
      <c r="O5091">
        <v>2</v>
      </c>
      <c r="P5091">
        <v>9</v>
      </c>
      <c r="Q5091">
        <v>2</v>
      </c>
      <c r="R5091" t="s">
        <v>21</v>
      </c>
      <c r="S5091" t="s">
        <v>21</v>
      </c>
    </row>
    <row r="5092" spans="1:19" hidden="1" x14ac:dyDescent="0.25">
      <c r="A5092">
        <v>21500546</v>
      </c>
      <c r="B5092" t="s">
        <v>18</v>
      </c>
      <c r="C5092" t="s">
        <v>50</v>
      </c>
      <c r="D5092">
        <v>69</v>
      </c>
      <c r="E5092">
        <v>64</v>
      </c>
      <c r="F5092">
        <v>5</v>
      </c>
      <c r="G5092">
        <v>3</v>
      </c>
      <c r="H5092" s="1">
        <v>3.6574074074074074E-3</v>
      </c>
      <c r="I5092">
        <v>2015</v>
      </c>
      <c r="J5092" t="s">
        <v>20</v>
      </c>
      <c r="K5092" s="2" t="str">
        <f>HYPERLINK("https://www.nba.com/stats/events?CFID=&amp;CFPARAMS=&amp;GameEventID=330&amp;GameID=0021500546&amp;Season=2015-16&amp;flag=1&amp;title=Leonard%20%20Running%20Dunk%20(17%20PTS)%20(Parker%207%20AST)", "Leonard  Running Dunk (17 PTS) (Parker 7 AST)")</f>
        <v>Leonard  Running Dunk (17 PTS) (Parker 7 AST)</v>
      </c>
      <c r="L5092" s="2" t="str">
        <f>HYPERLINK("https://www.nba.com/game/...-vs-...-0021500546/play-by-play?watchFullGame=true", "SAS vs NYK - Q3 05:16.00")</f>
        <v>SAS vs NYK - Q3 05:16.00</v>
      </c>
      <c r="M5092">
        <v>0</v>
      </c>
      <c r="N5092">
        <v>0</v>
      </c>
      <c r="O5092">
        <v>1</v>
      </c>
      <c r="P5092">
        <v>0</v>
      </c>
      <c r="Q5092">
        <v>1</v>
      </c>
      <c r="R5092" t="s">
        <v>21</v>
      </c>
      <c r="S5092" t="s">
        <v>21</v>
      </c>
    </row>
    <row r="5093" spans="1:19" hidden="1" x14ac:dyDescent="0.25">
      <c r="A5093">
        <v>21600289</v>
      </c>
      <c r="B5093" t="s">
        <v>18</v>
      </c>
      <c r="C5093" t="s">
        <v>23</v>
      </c>
      <c r="D5093">
        <v>96</v>
      </c>
      <c r="E5093">
        <v>87</v>
      </c>
      <c r="F5093">
        <v>9</v>
      </c>
      <c r="G5093">
        <v>4</v>
      </c>
      <c r="H5093" s="1">
        <v>3.7037037037037038E-3</v>
      </c>
      <c r="I5093">
        <v>2016</v>
      </c>
      <c r="J5093" t="s">
        <v>20</v>
      </c>
      <c r="K5093" s="2" t="str">
        <f>HYPERLINK("https://www.nba.com/stats/events?CFID=&amp;CFPARAMS=&amp;GameEventID=489&amp;GameID=0021600289&amp;Season=2016-17&amp;flag=1&amp;title=Leonard%20%20Dunk%20(19%20PTS)%20(Aldridge%201%20AST)", "Leonard  Dunk (19 PTS) (Aldridge 1 AST)")</f>
        <v>Leonard  Dunk (19 PTS) (Aldridge 1 AST)</v>
      </c>
      <c r="L5093" s="2" t="str">
        <f>HYPERLINK("https://www.nba.com/game/...-vs-...-0021600289/play-by-play?watchFullGame=true", "SAS vs WAS - Q4 05:20.00")</f>
        <v>SAS vs WAS - Q4 05:20.00</v>
      </c>
      <c r="M5093">
        <v>0</v>
      </c>
      <c r="N5093">
        <v>0</v>
      </c>
      <c r="O5093">
        <v>1</v>
      </c>
      <c r="P5093">
        <v>0</v>
      </c>
      <c r="Q5093">
        <v>1</v>
      </c>
      <c r="R5093" t="s">
        <v>21</v>
      </c>
      <c r="S5093" t="s">
        <v>21</v>
      </c>
    </row>
    <row r="5094" spans="1:19" hidden="1" x14ac:dyDescent="0.25">
      <c r="A5094">
        <v>21500644</v>
      </c>
      <c r="B5094" t="s">
        <v>18</v>
      </c>
      <c r="C5094" t="s">
        <v>52</v>
      </c>
      <c r="D5094">
        <v>13</v>
      </c>
      <c r="E5094">
        <v>8</v>
      </c>
      <c r="F5094">
        <v>5</v>
      </c>
      <c r="G5094">
        <v>1</v>
      </c>
      <c r="H5094" s="1">
        <v>4.1319444444444442E-3</v>
      </c>
      <c r="I5094">
        <v>2015</v>
      </c>
      <c r="J5094" t="s">
        <v>20</v>
      </c>
      <c r="K5094" s="2" t="str">
        <f>HYPERLINK("https://www.nba.com/stats/events?CFID=&amp;CFPARAMS=&amp;GameEventID=57&amp;GameID=0021500644&amp;Season=2015-16&amp;flag=1&amp;title=Leonard%201'%20Cutting%20Layup%20Shot%20(2%20PTS)%20(West%202%20AST)", "Leonard 1' Cutting Layup Shot (2 PTS) (West 2 AST)")</f>
        <v>Leonard 1' Cutting Layup Shot (2 PTS) (West 2 AST)</v>
      </c>
      <c r="L5094" s="2" t="str">
        <f>HYPERLINK("https://www.nba.com/game/...-vs-...-0021500644/play-by-play?watchFullGame=true", "SAS vs PHX - Q1 05:57.00")</f>
        <v>SAS vs PHX - Q1 05:57.00</v>
      </c>
      <c r="M5094">
        <v>1</v>
      </c>
      <c r="N5094">
        <v>-4</v>
      </c>
      <c r="O5094">
        <v>11</v>
      </c>
      <c r="P5094">
        <v>-4</v>
      </c>
      <c r="Q5094">
        <v>11</v>
      </c>
      <c r="R5094" t="s">
        <v>21</v>
      </c>
      <c r="S5094" t="s">
        <v>21</v>
      </c>
    </row>
    <row r="5095" spans="1:19" hidden="1" x14ac:dyDescent="0.25">
      <c r="A5095">
        <v>21600543</v>
      </c>
      <c r="B5095" t="s">
        <v>18</v>
      </c>
      <c r="C5095" t="s">
        <v>25</v>
      </c>
      <c r="D5095">
        <v>110</v>
      </c>
      <c r="E5095">
        <v>90</v>
      </c>
      <c r="F5095">
        <v>20</v>
      </c>
      <c r="G5095">
        <v>4</v>
      </c>
      <c r="H5095" s="1">
        <v>3.7615740740740739E-3</v>
      </c>
      <c r="I5095">
        <v>2016</v>
      </c>
      <c r="J5095" t="s">
        <v>20</v>
      </c>
      <c r="K5095" s="2" t="str">
        <f>HYPERLINK("https://www.nba.com/stats/events?CFID=&amp;CFPARAMS=&amp;GameEventID=455&amp;GameID=0021600543&amp;Season=2016-17&amp;flag=1&amp;title=Leonard%20%20Driving%20Dunk%20(24%20PTS)%20(Murray%201%20AST)", "Leonard  Driving Dunk (24 PTS) (Murray 1 AST)")</f>
        <v>Leonard  Driving Dunk (24 PTS) (Murray 1 AST)</v>
      </c>
      <c r="L5095" s="2" t="str">
        <f>HYPERLINK("https://www.nba.com/game/...-vs-...-0021600543/play-by-play?watchFullGame=true", "SAS vs DEN - Q4 05:25.00")</f>
        <v>SAS vs DEN - Q4 05:25.00</v>
      </c>
      <c r="M5095">
        <v>0</v>
      </c>
      <c r="N5095">
        <v>0</v>
      </c>
      <c r="O5095">
        <v>1</v>
      </c>
      <c r="P5095">
        <v>0</v>
      </c>
      <c r="Q5095">
        <v>1</v>
      </c>
      <c r="R5095" t="s">
        <v>21</v>
      </c>
      <c r="S5095" t="s">
        <v>21</v>
      </c>
    </row>
    <row r="5096" spans="1:19" hidden="1" x14ac:dyDescent="0.25">
      <c r="A5096">
        <v>21500257</v>
      </c>
      <c r="B5096" t="s">
        <v>18</v>
      </c>
      <c r="C5096" t="s">
        <v>40</v>
      </c>
      <c r="D5096">
        <v>14</v>
      </c>
      <c r="E5096">
        <v>13</v>
      </c>
      <c r="F5096">
        <v>1</v>
      </c>
      <c r="G5096">
        <v>1</v>
      </c>
      <c r="H5096" s="1">
        <v>4.1435185185185186E-3</v>
      </c>
      <c r="I5096">
        <v>2015</v>
      </c>
      <c r="J5096" t="s">
        <v>20</v>
      </c>
      <c r="K5096" s="2" t="str">
        <f>HYPERLINK("https://www.nba.com/stats/events?CFID=&amp;CFPARAMS=&amp;GameEventID=43&amp;GameID=0021500257&amp;Season=2015-16&amp;flag=1&amp;title=Leonard%201'%20Driving%20Finger%20Roll%20Layup%20(4%20PTS)%20(Parker%203%20AST)", "Leonard 1' Driving Finger Roll Layup (4 PTS) (Parker 3 AST)")</f>
        <v>Leonard 1' Driving Finger Roll Layup (4 PTS) (Parker 3 AST)</v>
      </c>
      <c r="L5096" s="2" t="str">
        <f>HYPERLINK("https://www.nba.com/game/...-vs-...-0021500257/play-by-play?watchFullGame=true", "SAS vs CHI - Q1 05:58.00")</f>
        <v>SAS vs CHI - Q1 05:58.00</v>
      </c>
      <c r="M5096">
        <v>1</v>
      </c>
      <c r="N5096">
        <v>-1</v>
      </c>
      <c r="O5096">
        <v>14</v>
      </c>
      <c r="P5096">
        <v>-1</v>
      </c>
      <c r="Q5096">
        <v>14</v>
      </c>
      <c r="R5096" t="s">
        <v>21</v>
      </c>
      <c r="S5096" t="s">
        <v>21</v>
      </c>
    </row>
    <row r="5097" spans="1:19" hidden="1" x14ac:dyDescent="0.25">
      <c r="A5097">
        <v>21600925</v>
      </c>
      <c r="B5097" t="s">
        <v>18</v>
      </c>
      <c r="C5097" t="s">
        <v>23</v>
      </c>
      <c r="D5097">
        <v>55</v>
      </c>
      <c r="E5097">
        <v>62</v>
      </c>
      <c r="F5097">
        <v>7</v>
      </c>
      <c r="G5097">
        <v>3</v>
      </c>
      <c r="H5097" s="1">
        <v>3.8425925925925928E-3</v>
      </c>
      <c r="I5097">
        <v>2016</v>
      </c>
      <c r="J5097" t="s">
        <v>20</v>
      </c>
      <c r="K5097" s="2" t="str">
        <f>HYPERLINK("https://www.nba.com/stats/events?CFID=&amp;CFPARAMS=&amp;GameEventID=323&amp;GameID=0021600925&amp;Season=2016-17&amp;flag=1&amp;title=Leonard%20%20Dunk%20(14%20PTS)", "Leonard  Dunk (14 PTS)")</f>
        <v>Leonard  Dunk (14 PTS)</v>
      </c>
      <c r="L5097" s="2" t="str">
        <f>HYPERLINK("https://www.nba.com/game/...-vs-...-0021600925/play-by-play?watchFullGame=true", "SAS vs MIN - Q3 05:32.00")</f>
        <v>SAS vs MIN - Q3 05:32.00</v>
      </c>
      <c r="M5097">
        <v>0</v>
      </c>
      <c r="N5097">
        <v>0</v>
      </c>
      <c r="O5097">
        <v>1</v>
      </c>
      <c r="P5097">
        <v>0</v>
      </c>
      <c r="Q5097">
        <v>1</v>
      </c>
      <c r="R5097" t="s">
        <v>21</v>
      </c>
      <c r="S5097" t="s">
        <v>21</v>
      </c>
    </row>
    <row r="5098" spans="1:19" hidden="1" x14ac:dyDescent="0.25">
      <c r="A5098">
        <v>41600152</v>
      </c>
      <c r="B5098" t="s">
        <v>18</v>
      </c>
      <c r="C5098" t="s">
        <v>71</v>
      </c>
      <c r="D5098">
        <v>85</v>
      </c>
      <c r="E5098">
        <v>75</v>
      </c>
      <c r="F5098">
        <v>10</v>
      </c>
      <c r="G5098">
        <v>4</v>
      </c>
      <c r="H5098" s="1">
        <v>4.1666666666666666E-3</v>
      </c>
      <c r="I5098" t="s">
        <v>58</v>
      </c>
      <c r="J5098" t="s">
        <v>20</v>
      </c>
      <c r="K5098" s="2" t="str">
        <f>HYPERLINK("https://www.nba.com/stats/events?CFID=&amp;CFPARAMS=&amp;GameEventID=439&amp;GameID=0041600152&amp;Season=2016-17&amp;flag=1&amp;title=Leonard%201'%20Running%20Finger%20Roll%20Layup%20(31%20PTS)", "Leonard 1' Running Finger Roll Layup (31 PTS)")</f>
        <v>Leonard 1' Running Finger Roll Layup (31 PTS)</v>
      </c>
      <c r="L5098" s="2" t="str">
        <f>HYPERLINK("https://www.nba.com/game/...-vs-...-0041600152/play-by-play?watchFullGame=true", "SAS vs MEM - Q4 06:00.00")</f>
        <v>SAS vs MEM - Q4 06:00.00</v>
      </c>
      <c r="M5098">
        <v>1</v>
      </c>
      <c r="N5098">
        <v>-4</v>
      </c>
      <c r="O5098">
        <v>-11</v>
      </c>
      <c r="P5098">
        <v>-4</v>
      </c>
      <c r="Q5098">
        <v>-11</v>
      </c>
      <c r="R5098" t="s">
        <v>21</v>
      </c>
      <c r="S5098" t="s">
        <v>21</v>
      </c>
    </row>
    <row r="5099" spans="1:19" hidden="1" x14ac:dyDescent="0.25">
      <c r="A5099">
        <v>21500347</v>
      </c>
      <c r="B5099" t="s">
        <v>18</v>
      </c>
      <c r="C5099" t="s">
        <v>25</v>
      </c>
      <c r="D5099">
        <v>13</v>
      </c>
      <c r="E5099">
        <v>7</v>
      </c>
      <c r="F5099">
        <v>6</v>
      </c>
      <c r="G5099">
        <v>1</v>
      </c>
      <c r="H5099" s="1">
        <v>3.8541666666666668E-3</v>
      </c>
      <c r="I5099">
        <v>2015</v>
      </c>
      <c r="J5099" t="s">
        <v>20</v>
      </c>
      <c r="K5099" s="2" t="str">
        <f>HYPERLINK("https://www.nba.com/stats/events?CFID=&amp;CFPARAMS=&amp;GameEventID=61&amp;GameID=0021500347&amp;Season=2015-16&amp;flag=1&amp;title=Leonard%20%20Driving%20Dunk%20(2%20PTS)", "Leonard  Driving Dunk (2 PTS)")</f>
        <v>Leonard  Driving Dunk (2 PTS)</v>
      </c>
      <c r="L5099" s="2" t="str">
        <f>HYPERLINK("https://www.nba.com/game/...-vs-...-0021500347/play-by-play?watchFullGame=true", "SAS vs ATL - Q1 05:33.00")</f>
        <v>SAS vs ATL - Q1 05:33.00</v>
      </c>
      <c r="M5099">
        <v>0</v>
      </c>
      <c r="N5099">
        <v>0</v>
      </c>
      <c r="O5099">
        <v>1</v>
      </c>
      <c r="P5099">
        <v>0</v>
      </c>
      <c r="Q5099">
        <v>1</v>
      </c>
      <c r="R5099" t="s">
        <v>21</v>
      </c>
      <c r="S5099" t="s">
        <v>21</v>
      </c>
    </row>
    <row r="5100" spans="1:19" hidden="1" x14ac:dyDescent="0.25">
      <c r="A5100">
        <v>21401098</v>
      </c>
      <c r="B5100" t="s">
        <v>18</v>
      </c>
      <c r="C5100" t="s">
        <v>33</v>
      </c>
      <c r="D5100">
        <v>16</v>
      </c>
      <c r="E5100">
        <v>9</v>
      </c>
      <c r="F5100">
        <v>7</v>
      </c>
      <c r="G5100">
        <v>1</v>
      </c>
      <c r="H5100" s="1">
        <v>4.2361111111111115E-3</v>
      </c>
      <c r="I5100">
        <v>2014</v>
      </c>
      <c r="J5100" t="s">
        <v>20</v>
      </c>
      <c r="K5100" s="2" t="str">
        <f>HYPERLINK("https://www.nba.com/stats/events?CFID=&amp;CFPARAMS=&amp;GameEventID=46&amp;GameID=0021401098&amp;Season=2014-15&amp;flag=1&amp;title=Leonard%201'%20Putback%20Layup%20(4%20PTS)", "Leonard 1' Putback Layup (4 PTS)")</f>
        <v>Leonard 1' Putback Layup (4 PTS)</v>
      </c>
      <c r="L5100" s="2" t="str">
        <f>HYPERLINK("https://www.nba.com/game/...-vs-...-0021401098/play-by-play?watchFullGame=true", "SAS vs MEM - Q1 06:06.00")</f>
        <v>SAS vs MEM - Q1 06:06.00</v>
      </c>
      <c r="M5100">
        <v>1</v>
      </c>
      <c r="N5100">
        <v>10</v>
      </c>
      <c r="O5100">
        <v>6</v>
      </c>
      <c r="P5100">
        <v>10</v>
      </c>
      <c r="Q5100">
        <v>6</v>
      </c>
      <c r="R5100" t="s">
        <v>21</v>
      </c>
      <c r="S5100" t="s">
        <v>21</v>
      </c>
    </row>
    <row r="5101" spans="1:19" hidden="1" x14ac:dyDescent="0.25">
      <c r="A5101">
        <v>21500235</v>
      </c>
      <c r="B5101" t="s">
        <v>18</v>
      </c>
      <c r="C5101" t="s">
        <v>22</v>
      </c>
      <c r="D5101">
        <v>29</v>
      </c>
      <c r="E5101">
        <v>34</v>
      </c>
      <c r="F5101">
        <v>5</v>
      </c>
      <c r="G5101">
        <v>2</v>
      </c>
      <c r="H5101" s="1">
        <v>4.2592592592592595E-3</v>
      </c>
      <c r="I5101">
        <v>2015</v>
      </c>
      <c r="J5101" t="s">
        <v>20</v>
      </c>
      <c r="K5101" s="2" t="str">
        <f>HYPERLINK("https://www.nba.com/stats/events?CFID=&amp;CFPARAMS=&amp;GameEventID=176&amp;GameID=0021500235&amp;Season=2015-16&amp;flag=1&amp;title=Leonard%201'%20Driving%20Layup%20(4%20PTS)", "Leonard 1' Driving Layup (4 PTS)")</f>
        <v>Leonard 1' Driving Layup (4 PTS)</v>
      </c>
      <c r="L5101" s="2" t="str">
        <f>HYPERLINK("https://www.nba.com/game/...-vs-...-0021500235/play-by-play?watchFullGame=true", "SAS vs DEN - Q2 06:08.00")</f>
        <v>SAS vs DEN - Q2 06:08.00</v>
      </c>
      <c r="M5101">
        <v>1</v>
      </c>
      <c r="N5101">
        <v>-11</v>
      </c>
      <c r="O5101">
        <v>7</v>
      </c>
      <c r="P5101">
        <v>-11</v>
      </c>
      <c r="Q5101">
        <v>7</v>
      </c>
      <c r="R5101" t="s">
        <v>21</v>
      </c>
      <c r="S5101" t="s">
        <v>21</v>
      </c>
    </row>
    <row r="5102" spans="1:19" hidden="1" x14ac:dyDescent="0.25">
      <c r="A5102">
        <v>21500048</v>
      </c>
      <c r="B5102" t="s">
        <v>18</v>
      </c>
      <c r="C5102" t="s">
        <v>68</v>
      </c>
      <c r="D5102">
        <v>38</v>
      </c>
      <c r="E5102">
        <v>29</v>
      </c>
      <c r="F5102">
        <v>9</v>
      </c>
      <c r="G5102">
        <v>2</v>
      </c>
      <c r="H5102" s="1">
        <v>3.8888888888888888E-3</v>
      </c>
      <c r="I5102">
        <v>2015</v>
      </c>
      <c r="J5102" t="s">
        <v>20</v>
      </c>
      <c r="K5102" s="2" t="str">
        <f>HYPERLINK("https://www.nba.com/stats/events?CFID=&amp;CFPARAMS=&amp;GameEventID=183&amp;GameID=0021500048&amp;Season=2015-16&amp;flag=1&amp;title=Leonard%20%20Alley%20Oop%20Dunk%20(12%20PTS)%20(Duncan%203%20AST)", "Leonard  Alley Oop Dunk (12 PTS) (Duncan 3 AST)")</f>
        <v>Leonard  Alley Oop Dunk (12 PTS) (Duncan 3 AST)</v>
      </c>
      <c r="L5102" s="2" t="str">
        <f>HYPERLINK("https://www.nba.com/game/...-vs-...-0021500048/play-by-play?watchFullGame=true", "SAS vs NYK - Q2 05:36.00")</f>
        <v>SAS vs NYK - Q2 05:36.00</v>
      </c>
      <c r="M5102">
        <v>0</v>
      </c>
      <c r="N5102">
        <v>0</v>
      </c>
      <c r="O5102">
        <v>1</v>
      </c>
      <c r="P5102">
        <v>0</v>
      </c>
      <c r="Q5102">
        <v>1</v>
      </c>
      <c r="R5102" t="s">
        <v>21</v>
      </c>
      <c r="S5102" t="s">
        <v>21</v>
      </c>
    </row>
    <row r="5103" spans="1:19" hidden="1" x14ac:dyDescent="0.25">
      <c r="A5103">
        <v>41800302</v>
      </c>
      <c r="B5103" t="s">
        <v>18</v>
      </c>
      <c r="C5103" t="s">
        <v>22</v>
      </c>
      <c r="D5103">
        <v>91</v>
      </c>
      <c r="E5103">
        <v>107</v>
      </c>
      <c r="F5103">
        <v>16</v>
      </c>
      <c r="G5103">
        <v>4</v>
      </c>
      <c r="H5103" s="1">
        <v>4.2824074074074075E-3</v>
      </c>
      <c r="I5103" t="s">
        <v>60</v>
      </c>
      <c r="J5103" t="s">
        <v>48</v>
      </c>
      <c r="K5103" s="2" t="str">
        <f>HYPERLINK("https://www.nba.com/stats/events?CFID=&amp;CFPARAMS=&amp;GameEventID=617&amp;GameID=0041800302&amp;Season=2018-19&amp;flag=1&amp;title=Leonard%201'%20Driving%20Layup%20(30%20PTS)", "Leonard 1' Driving Layup (30 PTS)")</f>
        <v>Leonard 1' Driving Layup (30 PTS)</v>
      </c>
      <c r="L5103" s="2" t="str">
        <f>HYPERLINK("https://www.nba.com/game/...-vs-...-0041800302/play-by-play?watchFullGame=true", "TOR vs MIL - Q4 06:10.00")</f>
        <v>TOR vs MIL - Q4 06:10.00</v>
      </c>
      <c r="M5103">
        <v>1</v>
      </c>
      <c r="N5103">
        <v>-7</v>
      </c>
      <c r="O5103">
        <v>6</v>
      </c>
      <c r="P5103">
        <v>-7</v>
      </c>
      <c r="Q5103">
        <v>6</v>
      </c>
      <c r="R5103" t="s">
        <v>21</v>
      </c>
      <c r="S5103" t="s">
        <v>21</v>
      </c>
    </row>
    <row r="5104" spans="1:19" hidden="1" x14ac:dyDescent="0.25">
      <c r="A5104">
        <v>21800876</v>
      </c>
      <c r="B5104" t="s">
        <v>18</v>
      </c>
      <c r="C5104" t="s">
        <v>24</v>
      </c>
      <c r="D5104">
        <v>73</v>
      </c>
      <c r="E5104">
        <v>67</v>
      </c>
      <c r="F5104">
        <v>6</v>
      </c>
      <c r="G5104">
        <v>3</v>
      </c>
      <c r="H5104" s="1">
        <v>4.2824074074074075E-3</v>
      </c>
      <c r="I5104">
        <v>2018</v>
      </c>
      <c r="J5104" t="s">
        <v>48</v>
      </c>
      <c r="K5104" s="2" t="str">
        <f>HYPERLINK("https://www.nba.com/stats/events?CFID=&amp;CFPARAMS=&amp;GameEventID=410&amp;GameID=0021800876&amp;Season=2018-19&amp;flag=1&amp;title=Leonard%201'%20Layup%20(12%20PTS)%20(Siakam%205%20AST)", "Leonard 1' Layup (12 PTS) (Siakam 5 AST)")</f>
        <v>Leonard 1' Layup (12 PTS) (Siakam 5 AST)</v>
      </c>
      <c r="L5104" s="2" t="str">
        <f>HYPERLINK("https://www.nba.com/game/...-vs-...-0021800876/play-by-play?watchFullGame=true", "TOR vs SAS - Q3 06:10.00")</f>
        <v>TOR vs SAS - Q3 06:10.00</v>
      </c>
      <c r="M5104">
        <v>1</v>
      </c>
      <c r="N5104">
        <v>3</v>
      </c>
      <c r="O5104">
        <v>10</v>
      </c>
      <c r="P5104">
        <v>3</v>
      </c>
      <c r="Q5104">
        <v>10</v>
      </c>
      <c r="R5104" t="s">
        <v>21</v>
      </c>
      <c r="S5104" t="s">
        <v>21</v>
      </c>
    </row>
    <row r="5105" spans="1:19" hidden="1" x14ac:dyDescent="0.25">
      <c r="A5105">
        <v>21301174</v>
      </c>
      <c r="B5105" t="s">
        <v>18</v>
      </c>
      <c r="C5105" t="s">
        <v>22</v>
      </c>
      <c r="D5105">
        <v>37</v>
      </c>
      <c r="E5105">
        <v>38</v>
      </c>
      <c r="F5105">
        <v>1</v>
      </c>
      <c r="G5105">
        <v>2</v>
      </c>
      <c r="H5105" s="1">
        <v>4.3055555555555555E-3</v>
      </c>
      <c r="I5105">
        <v>2013</v>
      </c>
      <c r="J5105" t="s">
        <v>20</v>
      </c>
      <c r="K5105" s="2" t="str">
        <f>HYPERLINK("https://www.nba.com/stats/events?CFID=&amp;CFPARAMS=&amp;GameEventID=192&amp;GameID=0021301174&amp;Season=2013-14&amp;flag=1&amp;title=Leonard%201'%20Driving%20Layup%20(10%20PTS)", "Leonard 1' Driving Layup (10 PTS)")</f>
        <v>Leonard 1' Driving Layup (10 PTS)</v>
      </c>
      <c r="L5105" s="2" t="str">
        <f>HYPERLINK("https://www.nba.com/game/...-vs-...-0021301174/play-by-play?watchFullGame=true", "SAS vs DAL - Q2 06:12.00")</f>
        <v>SAS vs DAL - Q2 06:12.00</v>
      </c>
      <c r="M5105">
        <v>1</v>
      </c>
      <c r="N5105">
        <v>12</v>
      </c>
      <c r="O5105">
        <v>-3</v>
      </c>
      <c r="P5105">
        <v>12</v>
      </c>
      <c r="Q5105">
        <v>-3</v>
      </c>
      <c r="R5105" t="s">
        <v>21</v>
      </c>
      <c r="S5105" t="s">
        <v>21</v>
      </c>
    </row>
    <row r="5106" spans="1:19" hidden="1" x14ac:dyDescent="0.25">
      <c r="A5106">
        <v>21600383</v>
      </c>
      <c r="B5106" t="s">
        <v>18</v>
      </c>
      <c r="C5106" t="s">
        <v>40</v>
      </c>
      <c r="D5106">
        <v>14</v>
      </c>
      <c r="E5106">
        <v>13</v>
      </c>
      <c r="F5106">
        <v>1</v>
      </c>
      <c r="G5106">
        <v>1</v>
      </c>
      <c r="H5106" s="1">
        <v>4.3287037037037035E-3</v>
      </c>
      <c r="I5106">
        <v>2016</v>
      </c>
      <c r="J5106" t="s">
        <v>20</v>
      </c>
      <c r="K5106" s="2" t="str">
        <f>HYPERLINK("https://www.nba.com/stats/events?CFID=&amp;CFPARAMS=&amp;GameEventID=52&amp;GameID=0021600383&amp;Season=2016-17&amp;flag=1&amp;title=Leonard%201'%20Driving%20Finger%20Roll%20Layup%20(5%20PTS)%20(Gasol%201%20AST)", "Leonard 1' Driving Finger Roll Layup (5 PTS) (Gasol 1 AST)")</f>
        <v>Leonard 1' Driving Finger Roll Layup (5 PTS) (Gasol 1 AST)</v>
      </c>
      <c r="L5106" s="2" t="str">
        <f>HYPERLINK("https://www.nba.com/game/...-vs-...-0021600383/play-by-play?watchFullGame=true", "SAS vs BOS - Q1 06:14.00")</f>
        <v>SAS vs BOS - Q1 06:14.00</v>
      </c>
      <c r="M5106">
        <v>1</v>
      </c>
      <c r="N5106">
        <v>6</v>
      </c>
      <c r="O5106">
        <v>3</v>
      </c>
      <c r="P5106">
        <v>6</v>
      </c>
      <c r="Q5106">
        <v>3</v>
      </c>
      <c r="R5106" t="s">
        <v>21</v>
      </c>
      <c r="S5106" t="s">
        <v>21</v>
      </c>
    </row>
    <row r="5107" spans="1:19" hidden="1" x14ac:dyDescent="0.25">
      <c r="A5107">
        <v>21500742</v>
      </c>
      <c r="B5107" t="s">
        <v>18</v>
      </c>
      <c r="C5107" t="s">
        <v>23</v>
      </c>
      <c r="D5107">
        <v>43</v>
      </c>
      <c r="E5107">
        <v>37</v>
      </c>
      <c r="F5107">
        <v>6</v>
      </c>
      <c r="G5107">
        <v>2</v>
      </c>
      <c r="H5107" s="1">
        <v>3.9351851851851848E-3</v>
      </c>
      <c r="I5107">
        <v>2015</v>
      </c>
      <c r="J5107" t="s">
        <v>20</v>
      </c>
      <c r="K5107" s="2" t="str">
        <f>HYPERLINK("https://www.nba.com/stats/events?CFID=&amp;CFPARAMS=&amp;GameEventID=170&amp;GameID=0021500742&amp;Season=2015-16&amp;flag=1&amp;title=Leonard%20%20Dunk%20(9%20PTS)%20(Green%201%20AST)", "Leonard  Dunk (9 PTS) (Green 1 AST)")</f>
        <v>Leonard  Dunk (9 PTS) (Green 1 AST)</v>
      </c>
      <c r="L5107" s="2" t="str">
        <f>HYPERLINK("https://www.nba.com/game/...-vs-...-0021500742/play-by-play?watchFullGame=true", "SAS vs NOP - Q2 05:40.00")</f>
        <v>SAS vs NOP - Q2 05:40.00</v>
      </c>
      <c r="M5107">
        <v>0</v>
      </c>
      <c r="N5107">
        <v>0</v>
      </c>
      <c r="O5107">
        <v>1</v>
      </c>
      <c r="P5107">
        <v>0</v>
      </c>
      <c r="Q5107">
        <v>1</v>
      </c>
      <c r="R5107" t="s">
        <v>21</v>
      </c>
      <c r="S5107" t="s">
        <v>21</v>
      </c>
    </row>
    <row r="5108" spans="1:19" hidden="1" x14ac:dyDescent="0.25">
      <c r="A5108">
        <v>41200231</v>
      </c>
      <c r="B5108" t="s">
        <v>18</v>
      </c>
      <c r="C5108" t="s">
        <v>24</v>
      </c>
      <c r="D5108">
        <v>87</v>
      </c>
      <c r="E5108">
        <v>98</v>
      </c>
      <c r="F5108">
        <v>11</v>
      </c>
      <c r="G5108">
        <v>4</v>
      </c>
      <c r="H5108" s="1">
        <v>4.386574074074074E-3</v>
      </c>
      <c r="I5108" t="s">
        <v>53</v>
      </c>
      <c r="J5108" t="s">
        <v>20</v>
      </c>
      <c r="K5108" s="2" t="str">
        <f>HYPERLINK("https://www.nba.com/stats/events?CFID=&amp;CFPARAMS=&amp;GameEventID=450&amp;GameID=0041200231&amp;Season=2012-13&amp;flag=1&amp;title=Leonard%201'%20Layup%20(10%20PTS)%20(Ginobili%207%20AST)", "Leonard 1' Layup (10 PTS) (Ginobili 7 AST)")</f>
        <v>Leonard 1' Layup (10 PTS) (Ginobili 7 AST)</v>
      </c>
      <c r="L5108" s="2" t="str">
        <f>HYPERLINK("https://www.nba.com/game/...-vs-...-0041200231/play-by-play?watchFullGame=true", "SAS vs GSW - Q4 06:19.00")</f>
        <v>SAS vs GSW - Q4 06:19.00</v>
      </c>
      <c r="M5108">
        <v>1</v>
      </c>
      <c r="N5108">
        <v>-11</v>
      </c>
      <c r="O5108">
        <v>-5</v>
      </c>
      <c r="P5108">
        <v>-11</v>
      </c>
      <c r="Q5108">
        <v>-5</v>
      </c>
      <c r="R5108" t="s">
        <v>21</v>
      </c>
      <c r="S5108" t="s">
        <v>21</v>
      </c>
    </row>
    <row r="5109" spans="1:19" hidden="1" x14ac:dyDescent="0.25">
      <c r="A5109">
        <v>21500172</v>
      </c>
      <c r="B5109" t="s">
        <v>18</v>
      </c>
      <c r="C5109" t="s">
        <v>24</v>
      </c>
      <c r="D5109">
        <v>101</v>
      </c>
      <c r="E5109">
        <v>87</v>
      </c>
      <c r="F5109">
        <v>14</v>
      </c>
      <c r="G5109">
        <v>4</v>
      </c>
      <c r="H5109" s="1">
        <v>4.386574074074074E-3</v>
      </c>
      <c r="I5109">
        <v>2015</v>
      </c>
      <c r="J5109" t="s">
        <v>20</v>
      </c>
      <c r="K5109" s="2" t="str">
        <f>HYPERLINK("https://www.nba.com/stats/events?CFID=&amp;CFPARAMS=&amp;GameEventID=447&amp;GameID=0021500172&amp;Season=2015-16&amp;flag=1&amp;title=Leonard%201'%20Layup%20(17%20PTS)%20(West%202%20AST)", "Leonard 1' Layup (17 PTS) (West 2 AST)")</f>
        <v>Leonard 1' Layup (17 PTS) (West 2 AST)</v>
      </c>
      <c r="L5109" s="2" t="str">
        <f>HYPERLINK("https://www.nba.com/game/...-vs-...-0021500172/play-by-play?watchFullGame=true", "SAS vs DEN - Q4 06:19.00")</f>
        <v>SAS vs DEN - Q4 06:19.00</v>
      </c>
      <c r="M5109">
        <v>1</v>
      </c>
      <c r="N5109">
        <v>1</v>
      </c>
      <c r="O5109">
        <v>-6</v>
      </c>
      <c r="P5109">
        <v>1</v>
      </c>
      <c r="Q5109">
        <v>-6</v>
      </c>
      <c r="R5109" t="s">
        <v>21</v>
      </c>
      <c r="S5109" t="s">
        <v>21</v>
      </c>
    </row>
    <row r="5110" spans="1:19" hidden="1" x14ac:dyDescent="0.25">
      <c r="A5110">
        <v>21400986</v>
      </c>
      <c r="B5110" t="s">
        <v>18</v>
      </c>
      <c r="C5110" t="s">
        <v>24</v>
      </c>
      <c r="D5110">
        <v>47</v>
      </c>
      <c r="E5110">
        <v>39</v>
      </c>
      <c r="F5110">
        <v>8</v>
      </c>
      <c r="G5110">
        <v>2</v>
      </c>
      <c r="H5110" s="1">
        <v>4.3981481481481484E-3</v>
      </c>
      <c r="I5110">
        <v>2014</v>
      </c>
      <c r="J5110" t="s">
        <v>20</v>
      </c>
      <c r="K5110" s="2" t="str">
        <f>HYPERLINK("https://www.nba.com/stats/events?CFID=&amp;CFPARAMS=&amp;GameEventID=168&amp;GameID=0021400986&amp;Season=2014-15&amp;flag=1&amp;title=Leonard%201'%20Layup%20(5%20PTS)%20(Duncan%204%20AST)", "Leonard 1' Layup (5 PTS) (Duncan 4 AST)")</f>
        <v>Leonard 1' Layup (5 PTS) (Duncan 4 AST)</v>
      </c>
      <c r="L5110" s="2" t="str">
        <f>HYPERLINK("https://www.nba.com/game/...-vs-...-0021400986/play-by-play?watchFullGame=true", "SAS vs MIN - Q2 06:20.00")</f>
        <v>SAS vs MIN - Q2 06:20.00</v>
      </c>
      <c r="M5110">
        <v>1</v>
      </c>
      <c r="N5110">
        <v>7</v>
      </c>
      <c r="O5110">
        <v>9</v>
      </c>
      <c r="P5110">
        <v>7</v>
      </c>
      <c r="Q5110">
        <v>9</v>
      </c>
      <c r="R5110" t="s">
        <v>21</v>
      </c>
      <c r="S5110" t="s">
        <v>21</v>
      </c>
    </row>
    <row r="5111" spans="1:19" hidden="1" x14ac:dyDescent="0.25">
      <c r="A5111">
        <v>21400131</v>
      </c>
      <c r="B5111" t="s">
        <v>18</v>
      </c>
      <c r="C5111" t="s">
        <v>70</v>
      </c>
      <c r="D5111">
        <v>12</v>
      </c>
      <c r="E5111">
        <v>11</v>
      </c>
      <c r="F5111">
        <v>1</v>
      </c>
      <c r="G5111">
        <v>1</v>
      </c>
      <c r="H5111" s="1">
        <v>3.9467592592592592E-3</v>
      </c>
      <c r="I5111">
        <v>2014</v>
      </c>
      <c r="J5111" t="s">
        <v>20</v>
      </c>
      <c r="K5111" s="2" t="str">
        <f>HYPERLINK("https://www.nba.com/stats/events?CFID=&amp;CFPARAMS=&amp;GameEventID=43&amp;GameID=0021400131&amp;Season=2014-15&amp;flag=1&amp;title=Leonard%20%20Slam%20Dunk%20(5%20PTS)%20(Parker%203%20AST)", "Leonard  Slam Dunk (5 PTS) (Parker 3 AST)")</f>
        <v>Leonard  Slam Dunk (5 PTS) (Parker 3 AST)</v>
      </c>
      <c r="L5111" s="2" t="str">
        <f>HYPERLINK("https://www.nba.com/game/...-vs-...-0021400131/play-by-play?watchFullGame=true", "SAS vs LAL - Q1 05:41.00")</f>
        <v>SAS vs LAL - Q1 05:41.00</v>
      </c>
      <c r="M5111">
        <v>0</v>
      </c>
      <c r="N5111">
        <v>0</v>
      </c>
      <c r="O5111">
        <v>1</v>
      </c>
      <c r="P5111">
        <v>0</v>
      </c>
      <c r="Q5111">
        <v>1</v>
      </c>
      <c r="R5111" t="s">
        <v>21</v>
      </c>
      <c r="S5111" t="s">
        <v>21</v>
      </c>
    </row>
    <row r="5112" spans="1:19" hidden="1" x14ac:dyDescent="0.25">
      <c r="A5112">
        <v>21700573</v>
      </c>
      <c r="B5112" t="s">
        <v>18</v>
      </c>
      <c r="C5112" t="s">
        <v>22</v>
      </c>
      <c r="D5112">
        <v>64</v>
      </c>
      <c r="E5112">
        <v>52</v>
      </c>
      <c r="F5112">
        <v>12</v>
      </c>
      <c r="G5112">
        <v>3</v>
      </c>
      <c r="H5112" s="1">
        <v>4.4444444444444444E-3</v>
      </c>
      <c r="I5112">
        <v>2017</v>
      </c>
      <c r="J5112" t="s">
        <v>20</v>
      </c>
      <c r="K5112" s="2" t="str">
        <f>HYPERLINK("https://www.nba.com/stats/events?CFID=&amp;CFPARAMS=&amp;GameEventID=403&amp;GameID=0021700573&amp;Season=2017-18&amp;flag=1&amp;title=Leonard%201'%20Driving%20Layup%20(20%20PTS)%20(Ginobili%203%20AST)", "Leonard 1' Driving Layup (20 PTS) (Ginobili 3 AST)")</f>
        <v>Leonard 1' Driving Layup (20 PTS) (Ginobili 3 AST)</v>
      </c>
      <c r="L5112" s="2" t="str">
        <f>HYPERLINK("https://www.nba.com/game/...-vs-...-0021700573/play-by-play?watchFullGame=true", "SAS vs PHX - Q3 06:24.00")</f>
        <v>SAS vs PHX - Q3 06:24.00</v>
      </c>
      <c r="M5112">
        <v>1</v>
      </c>
      <c r="N5112">
        <v>6</v>
      </c>
      <c r="O5112">
        <v>0</v>
      </c>
      <c r="P5112">
        <v>6</v>
      </c>
      <c r="Q5112">
        <v>0</v>
      </c>
      <c r="R5112" t="s">
        <v>21</v>
      </c>
      <c r="S5112" t="s">
        <v>21</v>
      </c>
    </row>
    <row r="5113" spans="1:19" hidden="1" x14ac:dyDescent="0.25">
      <c r="A5113">
        <v>21800930</v>
      </c>
      <c r="B5113" t="s">
        <v>18</v>
      </c>
      <c r="C5113" t="s">
        <v>44</v>
      </c>
      <c r="D5113">
        <v>97</v>
      </c>
      <c r="E5113">
        <v>94</v>
      </c>
      <c r="F5113">
        <v>3</v>
      </c>
      <c r="G5113">
        <v>4</v>
      </c>
      <c r="H5113" s="1">
        <v>4.4560185185185189E-3</v>
      </c>
      <c r="I5113">
        <v>2018</v>
      </c>
      <c r="J5113" t="s">
        <v>48</v>
      </c>
      <c r="K5113" s="2" t="str">
        <f>HYPERLINK("https://www.nba.com/stats/events?CFID=&amp;CFPARAMS=&amp;GameEventID=546&amp;GameID=0021800930&amp;Season=2018-19&amp;flag=1&amp;title=Leonard%201'%20Driving%20Reverse%20Layup%20(25%20PTS)", "Leonard 1' Driving Reverse Layup (25 PTS)")</f>
        <v>Leonard 1' Driving Reverse Layup (25 PTS)</v>
      </c>
      <c r="L5113" s="2" t="str">
        <f>HYPERLINK("https://www.nba.com/game/...-vs-...-0021800930/play-by-play?watchFullGame=true", "TOR vs POR - Q4 06:25.00")</f>
        <v>TOR vs POR - Q4 06:25.00</v>
      </c>
      <c r="M5113">
        <v>1</v>
      </c>
      <c r="N5113">
        <v>4</v>
      </c>
      <c r="O5113">
        <v>8</v>
      </c>
      <c r="P5113">
        <v>4</v>
      </c>
      <c r="Q5113">
        <v>8</v>
      </c>
      <c r="R5113" t="s">
        <v>21</v>
      </c>
      <c r="S5113" t="s">
        <v>21</v>
      </c>
    </row>
    <row r="5114" spans="1:19" hidden="1" x14ac:dyDescent="0.25">
      <c r="A5114">
        <v>21600168</v>
      </c>
      <c r="B5114" t="s">
        <v>18</v>
      </c>
      <c r="C5114" t="s">
        <v>23</v>
      </c>
      <c r="D5114">
        <v>72</v>
      </c>
      <c r="E5114">
        <v>60</v>
      </c>
      <c r="F5114">
        <v>12</v>
      </c>
      <c r="G5114">
        <v>3</v>
      </c>
      <c r="H5114" s="1">
        <v>3.9583333333333337E-3</v>
      </c>
      <c r="I5114">
        <v>2016</v>
      </c>
      <c r="J5114" t="s">
        <v>20</v>
      </c>
      <c r="K5114" s="2" t="str">
        <f>HYPERLINK("https://www.nba.com/stats/events?CFID=&amp;CFPARAMS=&amp;GameEventID=291&amp;GameID=0021600168&amp;Season=2016-17&amp;flag=1&amp;title=Leonard%20%20Dunk%20(12%20PTS)%20(Lee%203%20AST)", "Leonard  Dunk (12 PTS) (Lee 3 AST)")</f>
        <v>Leonard  Dunk (12 PTS) (Lee 3 AST)</v>
      </c>
      <c r="L5114" s="2" t="str">
        <f>HYPERLINK("https://www.nba.com/game/...-vs-...-0021600168/play-by-play?watchFullGame=true", "SAS vs SAC - Q3 05:42.00")</f>
        <v>SAS vs SAC - Q3 05:42.00</v>
      </c>
      <c r="M5114">
        <v>0</v>
      </c>
      <c r="N5114">
        <v>0</v>
      </c>
      <c r="O5114">
        <v>1</v>
      </c>
      <c r="P5114">
        <v>0</v>
      </c>
      <c r="Q5114">
        <v>1</v>
      </c>
      <c r="R5114" t="s">
        <v>21</v>
      </c>
      <c r="S5114" t="s">
        <v>21</v>
      </c>
    </row>
    <row r="5115" spans="1:19" hidden="1" x14ac:dyDescent="0.25">
      <c r="A5115">
        <v>21501036</v>
      </c>
      <c r="B5115" t="s">
        <v>18</v>
      </c>
      <c r="C5115" t="s">
        <v>41</v>
      </c>
      <c r="D5115">
        <v>10</v>
      </c>
      <c r="E5115">
        <v>7</v>
      </c>
      <c r="F5115">
        <v>3</v>
      </c>
      <c r="G5115">
        <v>1</v>
      </c>
      <c r="H5115" s="1">
        <v>4.5254629629629629E-3</v>
      </c>
      <c r="I5115">
        <v>2015</v>
      </c>
      <c r="J5115" t="s">
        <v>20</v>
      </c>
      <c r="K5115" s="2" t="str">
        <f>HYPERLINK("https://www.nba.com/stats/events?CFID=&amp;CFPARAMS=&amp;GameEventID=45&amp;GameID=0021501036&amp;Season=2015-16&amp;flag=1&amp;title=Leonard%201'%20Tip%20Layup%20Shot%20(2%20PTS)", "Leonard 1' Tip Layup Shot (2 PTS)")</f>
        <v>Leonard 1' Tip Layup Shot (2 PTS)</v>
      </c>
      <c r="L5115" s="2" t="str">
        <f>HYPERLINK("https://www.nba.com/game/...-vs-...-0021501036/play-by-play?watchFullGame=true", "SAS vs GSW - Q1 06:31.00")</f>
        <v>SAS vs GSW - Q1 06:31.00</v>
      </c>
      <c r="M5115">
        <v>1</v>
      </c>
      <c r="N5115">
        <v>-4</v>
      </c>
      <c r="O5115">
        <v>11</v>
      </c>
      <c r="P5115">
        <v>-4</v>
      </c>
      <c r="Q5115">
        <v>11</v>
      </c>
      <c r="R5115" t="s">
        <v>21</v>
      </c>
      <c r="S5115" t="s">
        <v>21</v>
      </c>
    </row>
    <row r="5116" spans="1:19" hidden="1" x14ac:dyDescent="0.25">
      <c r="A5116">
        <v>21800909</v>
      </c>
      <c r="B5116" t="s">
        <v>18</v>
      </c>
      <c r="C5116" t="s">
        <v>51</v>
      </c>
      <c r="D5116">
        <v>78</v>
      </c>
      <c r="E5116">
        <v>58</v>
      </c>
      <c r="F5116">
        <v>20</v>
      </c>
      <c r="G5116">
        <v>3</v>
      </c>
      <c r="H5116" s="1">
        <v>4.5254629629629629E-3</v>
      </c>
      <c r="I5116">
        <v>2018</v>
      </c>
      <c r="J5116" t="s">
        <v>48</v>
      </c>
      <c r="K5116" s="2" t="str">
        <f>HYPERLINK("https://www.nba.com/stats/events?CFID=&amp;CFPARAMS=&amp;GameEventID=416&amp;GameID=0021800909&amp;Season=2018-19&amp;flag=1&amp;title=Leonard%201'%20Running%20Layup%20(19%20PTS)%20(Lowry%209%20AST)", "Leonard 1' Running Layup (19 PTS) (Lowry 9 AST)")</f>
        <v>Leonard 1' Running Layup (19 PTS) (Lowry 9 AST)</v>
      </c>
      <c r="L5116" s="2" t="str">
        <f>HYPERLINK("https://www.nba.com/game/...-vs-...-0021800909/play-by-play?watchFullGame=true", "TOR vs BOS - Q3 06:31.00")</f>
        <v>TOR vs BOS - Q3 06:31.00</v>
      </c>
      <c r="M5116">
        <v>1</v>
      </c>
      <c r="N5116">
        <v>-1</v>
      </c>
      <c r="O5116">
        <v>8</v>
      </c>
      <c r="P5116">
        <v>-1</v>
      </c>
      <c r="Q5116">
        <v>8</v>
      </c>
      <c r="R5116" t="s">
        <v>21</v>
      </c>
      <c r="S5116" t="s">
        <v>21</v>
      </c>
    </row>
    <row r="5117" spans="1:19" hidden="1" x14ac:dyDescent="0.25">
      <c r="A5117">
        <v>41800211</v>
      </c>
      <c r="B5117" t="s">
        <v>18</v>
      </c>
      <c r="C5117" t="s">
        <v>22</v>
      </c>
      <c r="D5117">
        <v>49</v>
      </c>
      <c r="E5117">
        <v>41</v>
      </c>
      <c r="F5117">
        <v>8</v>
      </c>
      <c r="G5117">
        <v>2</v>
      </c>
      <c r="H5117" s="1">
        <v>4.5254629629629629E-3</v>
      </c>
      <c r="I5117" t="s">
        <v>60</v>
      </c>
      <c r="J5117" t="s">
        <v>48</v>
      </c>
      <c r="K5117" s="2" t="str">
        <f>HYPERLINK("https://www.nba.com/stats/events?CFID=&amp;CFPARAMS=&amp;GameEventID=243&amp;GameID=0041800211&amp;Season=2018-19&amp;flag=1&amp;title=Leonard%201'%20Driving%20Layup%20(21%20PTS)", "Leonard 1' Driving Layup (21 PTS)")</f>
        <v>Leonard 1' Driving Layup (21 PTS)</v>
      </c>
      <c r="L5117" s="2" t="str">
        <f>HYPERLINK("https://www.nba.com/game/...-vs-...-0041800211/play-by-play?watchFullGame=true", "TOR vs PHI - Q2 06:31.00")</f>
        <v>TOR vs PHI - Q2 06:31.00</v>
      </c>
      <c r="M5117">
        <v>1</v>
      </c>
      <c r="N5117">
        <v>9</v>
      </c>
      <c r="O5117">
        <v>3</v>
      </c>
      <c r="P5117">
        <v>9</v>
      </c>
      <c r="Q5117">
        <v>3</v>
      </c>
      <c r="R5117" t="s">
        <v>21</v>
      </c>
      <c r="S5117" t="s">
        <v>21</v>
      </c>
    </row>
    <row r="5118" spans="1:19" hidden="1" x14ac:dyDescent="0.25">
      <c r="A5118">
        <v>41600232</v>
      </c>
      <c r="B5118" t="s">
        <v>18</v>
      </c>
      <c r="C5118" t="s">
        <v>44</v>
      </c>
      <c r="D5118">
        <v>103</v>
      </c>
      <c r="E5118">
        <v>88</v>
      </c>
      <c r="F5118">
        <v>15</v>
      </c>
      <c r="G5118">
        <v>4</v>
      </c>
      <c r="H5118" s="1">
        <v>4.5486111111111109E-3</v>
      </c>
      <c r="I5118" t="s">
        <v>58</v>
      </c>
      <c r="J5118" t="s">
        <v>20</v>
      </c>
      <c r="K5118" s="2" t="str">
        <f>HYPERLINK("https://www.nba.com/stats/events?CFID=&amp;CFPARAMS=&amp;GameEventID=394&amp;GameID=0041600232&amp;Season=2016-17&amp;flag=1&amp;title=Leonard%201'%20Driving%20Reverse%20Layup%20(28%20PTS)", "Leonard 1' Driving Reverse Layup (28 PTS)")</f>
        <v>Leonard 1' Driving Reverse Layup (28 PTS)</v>
      </c>
      <c r="L5118" s="2" t="str">
        <f>HYPERLINK("https://www.nba.com/game/...-vs-...-0041600232/play-by-play?watchFullGame=true", "SAS vs HOU - Q4 06:33.00")</f>
        <v>SAS vs HOU - Q4 06:33.00</v>
      </c>
      <c r="M5118">
        <v>1</v>
      </c>
      <c r="N5118">
        <v>-1</v>
      </c>
      <c r="O5118">
        <v>13</v>
      </c>
      <c r="P5118">
        <v>-1</v>
      </c>
      <c r="Q5118">
        <v>13</v>
      </c>
      <c r="R5118" t="s">
        <v>21</v>
      </c>
      <c r="S5118" t="s">
        <v>21</v>
      </c>
    </row>
    <row r="5119" spans="1:19" hidden="1" x14ac:dyDescent="0.25">
      <c r="A5119">
        <v>41800115</v>
      </c>
      <c r="B5119" t="s">
        <v>18</v>
      </c>
      <c r="C5119" t="s">
        <v>44</v>
      </c>
      <c r="D5119">
        <v>80</v>
      </c>
      <c r="E5119">
        <v>58</v>
      </c>
      <c r="F5119">
        <v>22</v>
      </c>
      <c r="G5119">
        <v>3</v>
      </c>
      <c r="H5119" s="1">
        <v>4.5601851851851853E-3</v>
      </c>
      <c r="I5119" t="s">
        <v>60</v>
      </c>
      <c r="J5119" t="s">
        <v>48</v>
      </c>
      <c r="K5119" s="2" t="str">
        <f>HYPERLINK("https://www.nba.com/stats/events?CFID=&amp;CFPARAMS=&amp;GameEventID=391&amp;GameID=0041800115&amp;Season=2018-19&amp;flag=1&amp;title=Leonard%201'%20Driving%20Reverse%20Layup%20(25%20PTS)%20(Gasol%202%20AST)", "Leonard 1' Driving Reverse Layup (25 PTS) (Gasol 2 AST)")</f>
        <v>Leonard 1' Driving Reverse Layup (25 PTS) (Gasol 2 AST)</v>
      </c>
      <c r="L5119" s="2" t="str">
        <f>HYPERLINK("https://www.nba.com/game/...-vs-...-0041800115/play-by-play?watchFullGame=true", "TOR vs ORL - Q3 06:34.00")</f>
        <v>TOR vs ORL - Q3 06:34.00</v>
      </c>
      <c r="M5119">
        <v>1</v>
      </c>
      <c r="N5119">
        <v>-9</v>
      </c>
      <c r="O5119">
        <v>10</v>
      </c>
      <c r="P5119">
        <v>-9</v>
      </c>
      <c r="Q5119">
        <v>10</v>
      </c>
      <c r="R5119" t="s">
        <v>21</v>
      </c>
      <c r="S5119" t="s">
        <v>21</v>
      </c>
    </row>
    <row r="5120" spans="1:19" hidden="1" x14ac:dyDescent="0.25">
      <c r="A5120">
        <v>21800983</v>
      </c>
      <c r="B5120" t="s">
        <v>18</v>
      </c>
      <c r="C5120" t="s">
        <v>44</v>
      </c>
      <c r="D5120">
        <v>41</v>
      </c>
      <c r="E5120">
        <v>41</v>
      </c>
      <c r="F5120">
        <v>0</v>
      </c>
      <c r="G5120">
        <v>2</v>
      </c>
      <c r="H5120" s="1">
        <v>4.5717592592592589E-3</v>
      </c>
      <c r="I5120">
        <v>2018</v>
      </c>
      <c r="J5120" t="s">
        <v>48</v>
      </c>
      <c r="K5120" s="2" t="str">
        <f>HYPERLINK("https://www.nba.com/stats/events?CFID=&amp;CFPARAMS=&amp;GameEventID=235&amp;GameID=0021800983&amp;Season=2018-19&amp;flag=1&amp;title=Leonard%201'%20Driving%20Reverse%20Layup%20(16%20PTS)", "Leonard 1' Driving Reverse Layup (16 PTS)")</f>
        <v>Leonard 1' Driving Reverse Layup (16 PTS)</v>
      </c>
      <c r="L5120" s="2" t="str">
        <f>HYPERLINK("https://www.nba.com/game/...-vs-...-0021800983/play-by-play?watchFullGame=true", "TOR vs NOP - Q2 06:35.00")</f>
        <v>TOR vs NOP - Q2 06:35.00</v>
      </c>
      <c r="M5120">
        <v>1</v>
      </c>
      <c r="N5120">
        <v>7</v>
      </c>
      <c r="O5120">
        <v>8</v>
      </c>
      <c r="P5120">
        <v>7</v>
      </c>
      <c r="Q5120">
        <v>8</v>
      </c>
      <c r="R5120" t="s">
        <v>21</v>
      </c>
      <c r="S5120" t="s">
        <v>21</v>
      </c>
    </row>
    <row r="5121" spans="1:19" hidden="1" x14ac:dyDescent="0.25">
      <c r="A5121">
        <v>41600153</v>
      </c>
      <c r="B5121" t="s">
        <v>18</v>
      </c>
      <c r="C5121" t="s">
        <v>25</v>
      </c>
      <c r="D5121">
        <v>11</v>
      </c>
      <c r="E5121">
        <v>8</v>
      </c>
      <c r="F5121">
        <v>3</v>
      </c>
      <c r="G5121">
        <v>1</v>
      </c>
      <c r="H5121" s="1">
        <v>4.0162037037037041E-3</v>
      </c>
      <c r="I5121" t="s">
        <v>58</v>
      </c>
      <c r="J5121" t="s">
        <v>20</v>
      </c>
      <c r="K5121" s="2" t="str">
        <f>HYPERLINK("https://www.nba.com/stats/events?CFID=&amp;CFPARAMS=&amp;GameEventID=61&amp;GameID=0041600153&amp;Season=2016-17&amp;flag=1&amp;title=Leonard%20%20Driving%20Dunk%20(4%20PTS)", "Leonard  Driving Dunk (4 PTS)")</f>
        <v>Leonard  Driving Dunk (4 PTS)</v>
      </c>
      <c r="L5121" s="2" t="str">
        <f>HYPERLINK("https://www.nba.com/game/...-vs-...-0041600153/play-by-play?watchFullGame=true", "SAS vs MEM - Q1 05:47.00")</f>
        <v>SAS vs MEM - Q1 05:47.00</v>
      </c>
      <c r="M5121">
        <v>0</v>
      </c>
      <c r="N5121">
        <v>0</v>
      </c>
      <c r="O5121">
        <v>1</v>
      </c>
      <c r="P5121">
        <v>0</v>
      </c>
      <c r="Q5121">
        <v>1</v>
      </c>
      <c r="R5121" t="s">
        <v>21</v>
      </c>
      <c r="S5121" t="s">
        <v>21</v>
      </c>
    </row>
    <row r="5122" spans="1:19" hidden="1" x14ac:dyDescent="0.25">
      <c r="A5122">
        <v>21600336</v>
      </c>
      <c r="B5122" t="s">
        <v>18</v>
      </c>
      <c r="C5122" t="s">
        <v>25</v>
      </c>
      <c r="D5122">
        <v>49</v>
      </c>
      <c r="E5122">
        <v>65</v>
      </c>
      <c r="F5122">
        <v>16</v>
      </c>
      <c r="G5122">
        <v>3</v>
      </c>
      <c r="H5122" s="1">
        <v>4.0277777777777777E-3</v>
      </c>
      <c r="I5122">
        <v>2016</v>
      </c>
      <c r="J5122" t="s">
        <v>20</v>
      </c>
      <c r="K5122" s="2" t="str">
        <f>HYPERLINK("https://www.nba.com/stats/events?CFID=&amp;CFPARAMS=&amp;GameEventID=328&amp;GameID=0021600336&amp;Season=2016-17&amp;flag=1&amp;title=Leonard%20%20Driving%20Dunk%20(11%20PTS)%20(Ginobili%202%20AST)", "Leonard  Driving Dunk (11 PTS) (Ginobili 2 AST)")</f>
        <v>Leonard  Driving Dunk (11 PTS) (Ginobili 2 AST)</v>
      </c>
      <c r="L5122" s="2" t="str">
        <f>HYPERLINK("https://www.nba.com/game/...-vs-...-0021600336/play-by-play?watchFullGame=true", "SAS vs CHI - Q3 05:48.00")</f>
        <v>SAS vs CHI - Q3 05:48.00</v>
      </c>
      <c r="M5122">
        <v>0</v>
      </c>
      <c r="N5122">
        <v>0</v>
      </c>
      <c r="O5122">
        <v>1</v>
      </c>
      <c r="P5122">
        <v>0</v>
      </c>
      <c r="Q5122">
        <v>1</v>
      </c>
      <c r="R5122" t="s">
        <v>21</v>
      </c>
      <c r="S5122" t="s">
        <v>21</v>
      </c>
    </row>
    <row r="5123" spans="1:19" hidden="1" x14ac:dyDescent="0.25">
      <c r="A5123">
        <v>21400102</v>
      </c>
      <c r="B5123" t="s">
        <v>18</v>
      </c>
      <c r="C5123" t="s">
        <v>24</v>
      </c>
      <c r="D5123">
        <v>54</v>
      </c>
      <c r="E5123">
        <v>57</v>
      </c>
      <c r="F5123">
        <v>3</v>
      </c>
      <c r="G5123">
        <v>3</v>
      </c>
      <c r="H5123" s="1">
        <v>4.6874999999999998E-3</v>
      </c>
      <c r="I5123">
        <v>2014</v>
      </c>
      <c r="J5123" t="s">
        <v>20</v>
      </c>
      <c r="K5123" s="2" t="str">
        <f>HYPERLINK("https://www.nba.com/stats/events?CFID=&amp;CFPARAMS=&amp;GameEventID=290&amp;GameID=0021400102&amp;Season=2014-15&amp;flag=1&amp;title=Leonard%201'%20Layup%20(22%20PTS)", "Leonard 1' Layup (22 PTS)")</f>
        <v>Leonard 1' Layup (22 PTS)</v>
      </c>
      <c r="L5123" s="2" t="str">
        <f>HYPERLINK("https://www.nba.com/game/...-vs-...-0021400102/play-by-play?watchFullGame=true", "SAS vs LAC - Q3 06:45.00")</f>
        <v>SAS vs LAC - Q3 06:45.00</v>
      </c>
      <c r="M5123">
        <v>1</v>
      </c>
      <c r="N5123">
        <v>-7</v>
      </c>
      <c r="O5123">
        <v>4</v>
      </c>
      <c r="P5123">
        <v>-7</v>
      </c>
      <c r="Q5123">
        <v>4</v>
      </c>
      <c r="R5123" t="s">
        <v>21</v>
      </c>
      <c r="S5123" t="s">
        <v>21</v>
      </c>
    </row>
    <row r="5124" spans="1:19" hidden="1" x14ac:dyDescent="0.25">
      <c r="A5124">
        <v>21300932</v>
      </c>
      <c r="B5124" t="s">
        <v>18</v>
      </c>
      <c r="C5124" t="s">
        <v>24</v>
      </c>
      <c r="D5124">
        <v>12</v>
      </c>
      <c r="E5124">
        <v>11</v>
      </c>
      <c r="F5124">
        <v>1</v>
      </c>
      <c r="G5124">
        <v>1</v>
      </c>
      <c r="H5124" s="1">
        <v>4.6874999999999998E-3</v>
      </c>
      <c r="I5124">
        <v>2013</v>
      </c>
      <c r="J5124" t="s">
        <v>20</v>
      </c>
      <c r="K5124" s="2" t="str">
        <f>HYPERLINK("https://www.nba.com/stats/events?CFID=&amp;CFPARAMS=&amp;GameEventID=53&amp;GameID=0021300932&amp;Season=2013-14&amp;flag=1&amp;title=Leonard%201'%20Layup%20(2%20PTS)%20(Green%201%20AST)", "Leonard 1' Layup (2 PTS) (Green 1 AST)")</f>
        <v>Leonard 1' Layup (2 PTS) (Green 1 AST)</v>
      </c>
      <c r="L5124" s="2" t="str">
        <f>HYPERLINK("https://www.nba.com/game/...-vs-...-0021300932/play-by-play?watchFullGame=true", "SAS vs ORL - Q1 06:45.00")</f>
        <v>SAS vs ORL - Q1 06:45.00</v>
      </c>
      <c r="M5124">
        <v>1</v>
      </c>
      <c r="N5124">
        <v>1</v>
      </c>
      <c r="O5124">
        <v>-8</v>
      </c>
      <c r="P5124">
        <v>1</v>
      </c>
      <c r="Q5124">
        <v>-8</v>
      </c>
      <c r="R5124" t="s">
        <v>21</v>
      </c>
      <c r="S5124" t="s">
        <v>21</v>
      </c>
    </row>
    <row r="5125" spans="1:19" hidden="1" x14ac:dyDescent="0.25">
      <c r="A5125">
        <v>21400853</v>
      </c>
      <c r="B5125" t="s">
        <v>18</v>
      </c>
      <c r="C5125" t="s">
        <v>33</v>
      </c>
      <c r="D5125">
        <v>58</v>
      </c>
      <c r="E5125">
        <v>67</v>
      </c>
      <c r="F5125">
        <v>9</v>
      </c>
      <c r="G5125">
        <v>3</v>
      </c>
      <c r="H5125" s="1">
        <v>4.6990740740740743E-3</v>
      </c>
      <c r="I5125">
        <v>2014</v>
      </c>
      <c r="J5125" t="s">
        <v>20</v>
      </c>
      <c r="K5125" s="2" t="str">
        <f>HYPERLINK("https://www.nba.com/stats/events?CFID=&amp;CFPARAMS=&amp;GameEventID=248&amp;GameID=0021400853&amp;Season=2014-15&amp;flag=1&amp;title=Leonard%201'%20Putback%20Layup%20(7%20PTS)", "Leonard 1' Putback Layup (7 PTS)")</f>
        <v>Leonard 1' Putback Layup (7 PTS)</v>
      </c>
      <c r="L5125" s="2" t="str">
        <f>HYPERLINK("https://www.nba.com/game/...-vs-...-0021400853/play-by-play?watchFullGame=true", "SAS vs POR - Q3 06:46.00")</f>
        <v>SAS vs POR - Q3 06:46.00</v>
      </c>
      <c r="M5125">
        <v>1</v>
      </c>
      <c r="N5125">
        <v>9</v>
      </c>
      <c r="O5125">
        <v>-8</v>
      </c>
      <c r="P5125">
        <v>9</v>
      </c>
      <c r="Q5125">
        <v>-8</v>
      </c>
      <c r="R5125" t="s">
        <v>21</v>
      </c>
      <c r="S5125" t="s">
        <v>21</v>
      </c>
    </row>
    <row r="5126" spans="1:19" hidden="1" x14ac:dyDescent="0.25">
      <c r="A5126">
        <v>21801001</v>
      </c>
      <c r="B5126" t="s">
        <v>18</v>
      </c>
      <c r="C5126" t="s">
        <v>44</v>
      </c>
      <c r="D5126">
        <v>8</v>
      </c>
      <c r="E5126">
        <v>12</v>
      </c>
      <c r="F5126">
        <v>4</v>
      </c>
      <c r="G5126">
        <v>1</v>
      </c>
      <c r="H5126" s="1">
        <v>4.7337962962962967E-3</v>
      </c>
      <c r="I5126">
        <v>2018</v>
      </c>
      <c r="J5126" t="s">
        <v>48</v>
      </c>
      <c r="K5126" s="2" t="str">
        <f>HYPERLINK("https://www.nba.com/stats/events?CFID=&amp;CFPARAMS=&amp;GameEventID=57&amp;GameID=0021801001&amp;Season=2018-19&amp;flag=1&amp;title=Leonard%201'%20Driving%20Reverse%20Layup%20(6%20PTS)", "Leonard 1' Driving Reverse Layup (6 PTS)")</f>
        <v>Leonard 1' Driving Reverse Layup (6 PTS)</v>
      </c>
      <c r="L5126" s="2" t="str">
        <f>HYPERLINK("https://www.nba.com/game/...-vs-...-0021801001/play-by-play?watchFullGame=true", "TOR vs CLE - Q1 06:49.00")</f>
        <v>TOR vs CLE - Q1 06:49.00</v>
      </c>
      <c r="M5126">
        <v>1</v>
      </c>
      <c r="N5126">
        <v>14</v>
      </c>
      <c r="O5126">
        <v>4</v>
      </c>
      <c r="P5126">
        <v>14</v>
      </c>
      <c r="Q5126">
        <v>4</v>
      </c>
      <c r="R5126" t="s">
        <v>21</v>
      </c>
      <c r="S5126" t="s">
        <v>21</v>
      </c>
    </row>
    <row r="5127" spans="1:19" hidden="1" x14ac:dyDescent="0.25">
      <c r="A5127">
        <v>21500854</v>
      </c>
      <c r="B5127" t="s">
        <v>18</v>
      </c>
      <c r="C5127" t="s">
        <v>24</v>
      </c>
      <c r="D5127">
        <v>93</v>
      </c>
      <c r="E5127">
        <v>74</v>
      </c>
      <c r="F5127">
        <v>19</v>
      </c>
      <c r="G5127">
        <v>4</v>
      </c>
      <c r="H5127" s="1">
        <v>4.7453703703703703E-3</v>
      </c>
      <c r="I5127">
        <v>2015</v>
      </c>
      <c r="J5127" t="s">
        <v>20</v>
      </c>
      <c r="K5127" s="2" t="str">
        <f>HYPERLINK("https://www.nba.com/stats/events?CFID=&amp;CFPARAMS=&amp;GameEventID=424&amp;GameID=0021500854&amp;Season=2015-16&amp;flag=1&amp;title=Leonard%201'%20Layup%20(14%20PTS)%20(Parker%206%20AST)", "Leonard 1' Layup (14 PTS) (Parker 6 AST)")</f>
        <v>Leonard 1' Layup (14 PTS) (Parker 6 AST)</v>
      </c>
      <c r="L5127" s="2" t="str">
        <f>HYPERLINK("https://www.nba.com/game/...-vs-...-0021500854/play-by-play?watchFullGame=true", "SAS vs SAC - Q4 06:50.00")</f>
        <v>SAS vs SAC - Q4 06:50.00</v>
      </c>
      <c r="M5127">
        <v>1</v>
      </c>
      <c r="N5127">
        <v>6</v>
      </c>
      <c r="O5127">
        <v>11</v>
      </c>
      <c r="P5127">
        <v>6</v>
      </c>
      <c r="Q5127">
        <v>11</v>
      </c>
      <c r="R5127" t="s">
        <v>21</v>
      </c>
      <c r="S5127" t="s">
        <v>21</v>
      </c>
    </row>
    <row r="5128" spans="1:19" hidden="1" x14ac:dyDescent="0.25">
      <c r="A5128">
        <v>21500061</v>
      </c>
      <c r="B5128" t="s">
        <v>18</v>
      </c>
      <c r="C5128" t="s">
        <v>35</v>
      </c>
      <c r="D5128">
        <v>4</v>
      </c>
      <c r="E5128">
        <v>19</v>
      </c>
      <c r="F5128">
        <v>15</v>
      </c>
      <c r="G5128">
        <v>1</v>
      </c>
      <c r="H5128" s="1">
        <v>4.7569444444444447E-3</v>
      </c>
      <c r="I5128">
        <v>2015</v>
      </c>
      <c r="J5128" t="s">
        <v>20</v>
      </c>
      <c r="K5128" s="2" t="str">
        <f>HYPERLINK("https://www.nba.com/stats/events?CFID=&amp;CFPARAMS=&amp;GameEventID=49&amp;GameID=0021500061&amp;Season=2015-16&amp;flag=1&amp;title=Leonard%201'%20Reverse%20Layup%20(2%20PTS)%20(Duncan%201%20AST)", "Leonard 1' Reverse Layup (2 PTS) (Duncan 1 AST)")</f>
        <v>Leonard 1' Reverse Layup (2 PTS) (Duncan 1 AST)</v>
      </c>
      <c r="L5128" s="2" t="str">
        <f>HYPERLINK("https://www.nba.com/game/...-vs-...-0021500061/play-by-play?watchFullGame=true", "SAS vs WAS - Q1 06:51.00")</f>
        <v>SAS vs WAS - Q1 06:51.00</v>
      </c>
      <c r="M5128">
        <v>1</v>
      </c>
      <c r="N5128">
        <v>-11</v>
      </c>
      <c r="O5128">
        <v>7</v>
      </c>
      <c r="P5128">
        <v>-11</v>
      </c>
      <c r="Q5128">
        <v>7</v>
      </c>
      <c r="R5128" t="s">
        <v>21</v>
      </c>
      <c r="S5128" t="s">
        <v>21</v>
      </c>
    </row>
    <row r="5129" spans="1:19" hidden="1" x14ac:dyDescent="0.25">
      <c r="A5129">
        <v>21400159</v>
      </c>
      <c r="B5129" t="s">
        <v>18</v>
      </c>
      <c r="C5129" t="s">
        <v>78</v>
      </c>
      <c r="D5129">
        <v>13</v>
      </c>
      <c r="E5129">
        <v>10</v>
      </c>
      <c r="F5129">
        <v>3</v>
      </c>
      <c r="G5129">
        <v>1</v>
      </c>
      <c r="H5129" s="1">
        <v>4.0393518518518521E-3</v>
      </c>
      <c r="I5129">
        <v>2014</v>
      </c>
      <c r="J5129" t="s">
        <v>20</v>
      </c>
      <c r="K5129" s="2" t="str">
        <f>HYPERLINK("https://www.nba.com/stats/events?CFID=&amp;CFPARAMS=&amp;GameEventID=54&amp;GameID=0021400159&amp;Season=2014-15&amp;flag=1&amp;title=Leonard%20%20Driving%20Slam%20Dunk%20(2%20PTS)%20(Diaw%201%20AST)", "Leonard  Driving Slam Dunk (2 PTS) (Diaw 1 AST)")</f>
        <v>Leonard  Driving Slam Dunk (2 PTS) (Diaw 1 AST)</v>
      </c>
      <c r="L5129" s="2" t="str">
        <f>HYPERLINK("https://www.nba.com/game/...-vs-...-0021400159/play-by-play?watchFullGame=true", "SAS vs CLE - Q1 05:49.00")</f>
        <v>SAS vs CLE - Q1 05:49.00</v>
      </c>
      <c r="M5129">
        <v>0</v>
      </c>
      <c r="N5129">
        <v>0</v>
      </c>
      <c r="O5129">
        <v>1</v>
      </c>
      <c r="P5129">
        <v>0</v>
      </c>
      <c r="Q5129">
        <v>1</v>
      </c>
      <c r="R5129" t="s">
        <v>21</v>
      </c>
      <c r="S5129" t="s">
        <v>21</v>
      </c>
    </row>
    <row r="5130" spans="1:19" hidden="1" x14ac:dyDescent="0.25">
      <c r="A5130">
        <v>41300141</v>
      </c>
      <c r="B5130" t="s">
        <v>18</v>
      </c>
      <c r="C5130" t="s">
        <v>24</v>
      </c>
      <c r="D5130">
        <v>9</v>
      </c>
      <c r="E5130">
        <v>2</v>
      </c>
      <c r="F5130">
        <v>7</v>
      </c>
      <c r="G5130">
        <v>1</v>
      </c>
      <c r="H5130" s="1">
        <v>4.7916666666666663E-3</v>
      </c>
      <c r="I5130" t="s">
        <v>55</v>
      </c>
      <c r="J5130" t="s">
        <v>20</v>
      </c>
      <c r="K5130" s="2" t="str">
        <f>HYPERLINK("https://www.nba.com/stats/events?CFID=&amp;CFPARAMS=&amp;GameEventID=39&amp;GameID=0041300141&amp;Season=2013-14&amp;flag=1&amp;title=Leonard%201'%20Layup%20(2%20PTS)", "Leonard 1' Layup (2 PTS)")</f>
        <v>Leonard 1' Layup (2 PTS)</v>
      </c>
      <c r="L5130" s="2" t="str">
        <f>HYPERLINK("https://www.nba.com/game/...-vs-...-0041300141/play-by-play?watchFullGame=true", "SAS vs DAL - Q1 06:54.00")</f>
        <v>SAS vs DAL - Q1 06:54.00</v>
      </c>
      <c r="M5130">
        <v>1</v>
      </c>
      <c r="N5130">
        <v>-8</v>
      </c>
      <c r="O5130">
        <v>11</v>
      </c>
      <c r="P5130">
        <v>-8</v>
      </c>
      <c r="Q5130">
        <v>11</v>
      </c>
      <c r="R5130" t="s">
        <v>21</v>
      </c>
      <c r="S5130" t="s">
        <v>21</v>
      </c>
    </row>
    <row r="5131" spans="1:19" hidden="1" x14ac:dyDescent="0.25">
      <c r="A5131">
        <v>21401028</v>
      </c>
      <c r="B5131" t="s">
        <v>18</v>
      </c>
      <c r="C5131" t="s">
        <v>23</v>
      </c>
      <c r="D5131">
        <v>73</v>
      </c>
      <c r="E5131">
        <v>56</v>
      </c>
      <c r="F5131">
        <v>17</v>
      </c>
      <c r="G5131">
        <v>3</v>
      </c>
      <c r="H5131" s="1">
        <v>4.0393518518518521E-3</v>
      </c>
      <c r="I5131">
        <v>2014</v>
      </c>
      <c r="J5131" t="s">
        <v>20</v>
      </c>
      <c r="K5131" s="2" t="str">
        <f>HYPERLINK("https://www.nba.com/stats/events?CFID=&amp;CFPARAMS=&amp;GameEventID=310&amp;GameID=0021401028&amp;Season=2014-15&amp;flag=1&amp;title=Leonard%20%20Dunk%20(15%20PTS)", "Leonard  Dunk (15 PTS)")</f>
        <v>Leonard  Dunk (15 PTS)</v>
      </c>
      <c r="L5131" s="2" t="str">
        <f>HYPERLINK("https://www.nba.com/game/...-vs-...-0021401028/play-by-play?watchFullGame=true", "SAS vs BOS - Q3 05:49.00")</f>
        <v>SAS vs BOS - Q3 05:49.00</v>
      </c>
      <c r="M5131">
        <v>0</v>
      </c>
      <c r="N5131">
        <v>0</v>
      </c>
      <c r="O5131">
        <v>1</v>
      </c>
      <c r="P5131">
        <v>0</v>
      </c>
      <c r="Q5131">
        <v>1</v>
      </c>
      <c r="R5131" t="s">
        <v>21</v>
      </c>
      <c r="S5131" t="s">
        <v>21</v>
      </c>
    </row>
    <row r="5132" spans="1:19" hidden="1" x14ac:dyDescent="0.25">
      <c r="A5132">
        <v>21800538</v>
      </c>
      <c r="B5132" t="s">
        <v>18</v>
      </c>
      <c r="C5132" t="s">
        <v>42</v>
      </c>
      <c r="D5132">
        <v>52</v>
      </c>
      <c r="E5132">
        <v>52</v>
      </c>
      <c r="F5132">
        <v>0</v>
      </c>
      <c r="G5132">
        <v>3</v>
      </c>
      <c r="H5132" s="1">
        <v>4.8263888888888887E-3</v>
      </c>
      <c r="I5132">
        <v>2018</v>
      </c>
      <c r="J5132" t="s">
        <v>48</v>
      </c>
      <c r="K5132" s="2" t="str">
        <f>HYPERLINK("https://www.nba.com/stats/events?CFID=&amp;CFPARAMS=&amp;GameEventID=337&amp;GameID=0021800538&amp;Season=2018-19&amp;flag=1&amp;title=Leonard%201'%20Driving%20Floating%20Jump%20Shot%20(14%20PTS)%20(VanVleet%206%20AST)", "Leonard 1' Driving Floating Jump Shot (14 PTS) (VanVleet 6 AST)")</f>
        <v>Leonard 1' Driving Floating Jump Shot (14 PTS) (VanVleet 6 AST)</v>
      </c>
      <c r="L5132" s="2" t="str">
        <f>HYPERLINK("https://www.nba.com/game/...-vs-...-0021800538/play-by-play?watchFullGame=true", "TOR vs CHI - Q3 06:57.00")</f>
        <v>TOR vs CHI - Q3 06:57.00</v>
      </c>
      <c r="M5132">
        <v>1</v>
      </c>
      <c r="N5132">
        <v>10</v>
      </c>
      <c r="O5132">
        <v>2</v>
      </c>
      <c r="P5132">
        <v>10</v>
      </c>
      <c r="Q5132">
        <v>2</v>
      </c>
      <c r="R5132" t="s">
        <v>21</v>
      </c>
      <c r="S5132" t="s">
        <v>21</v>
      </c>
    </row>
    <row r="5133" spans="1:19" hidden="1" x14ac:dyDescent="0.25">
      <c r="A5133">
        <v>21601099</v>
      </c>
      <c r="B5133" t="s">
        <v>18</v>
      </c>
      <c r="C5133" t="s">
        <v>23</v>
      </c>
      <c r="D5133">
        <v>72</v>
      </c>
      <c r="E5133">
        <v>45</v>
      </c>
      <c r="F5133">
        <v>27</v>
      </c>
      <c r="G5133">
        <v>3</v>
      </c>
      <c r="H5133" s="1">
        <v>4.0740740740740737E-3</v>
      </c>
      <c r="I5133">
        <v>2016</v>
      </c>
      <c r="J5133" t="s">
        <v>20</v>
      </c>
      <c r="K5133" s="2" t="str">
        <f>HYPERLINK("https://www.nba.com/stats/events?CFID=&amp;CFPARAMS=&amp;GameEventID=321&amp;GameID=0021601099&amp;Season=2016-17&amp;flag=1&amp;title=Leonard%20Dunk%20(19%20PTS)%20(Parker%201%20AST)", "Leonard Dunk (19 PTS) (Parker 1 AST)")</f>
        <v>Leonard Dunk (19 PTS) (Parker 1 AST)</v>
      </c>
      <c r="L5133" s="2" t="str">
        <f>HYPERLINK("https://www.nba.com/game/...-vs-...-0021601099/play-by-play?watchFullGame=true", "SAS vs CLE - Q3 05:52.00")</f>
        <v>SAS vs CLE - Q3 05:52.00</v>
      </c>
      <c r="M5133">
        <v>0</v>
      </c>
      <c r="N5133">
        <v>0</v>
      </c>
      <c r="O5133">
        <v>1</v>
      </c>
      <c r="P5133">
        <v>0</v>
      </c>
      <c r="Q5133">
        <v>1</v>
      </c>
      <c r="R5133" t="s">
        <v>21</v>
      </c>
      <c r="S5133" t="s">
        <v>21</v>
      </c>
    </row>
    <row r="5134" spans="1:19" hidden="1" x14ac:dyDescent="0.25">
      <c r="A5134">
        <v>41600235</v>
      </c>
      <c r="B5134" t="s">
        <v>18</v>
      </c>
      <c r="C5134" t="s">
        <v>33</v>
      </c>
      <c r="D5134">
        <v>65</v>
      </c>
      <c r="E5134">
        <v>72</v>
      </c>
      <c r="F5134">
        <v>7</v>
      </c>
      <c r="G5134">
        <v>3</v>
      </c>
      <c r="H5134" s="1">
        <v>4.8726851851851848E-3</v>
      </c>
      <c r="I5134" t="s">
        <v>58</v>
      </c>
      <c r="J5134" t="s">
        <v>20</v>
      </c>
      <c r="K5134" s="2" t="str">
        <f>HYPERLINK("https://www.nba.com/stats/events?CFID=&amp;CFPARAMS=&amp;GameEventID=320&amp;GameID=0041600235&amp;Season=2016-17&amp;flag=1&amp;title=Leonard%201'%20Putback%20Layup%20(16%20PTS)", "Leonard 1' Putback Layup (16 PTS)")</f>
        <v>Leonard 1' Putback Layup (16 PTS)</v>
      </c>
      <c r="L5134" s="2" t="str">
        <f>HYPERLINK("https://www.nba.com/game/...-vs-...-0041600235/play-by-play?watchFullGame=true", "SAS vs HOU - Q3 07:01.00")</f>
        <v>SAS vs HOU - Q3 07:01.00</v>
      </c>
      <c r="M5134">
        <v>1</v>
      </c>
      <c r="N5134">
        <v>-9</v>
      </c>
      <c r="O5134">
        <v>11</v>
      </c>
      <c r="P5134">
        <v>-9</v>
      </c>
      <c r="Q5134">
        <v>11</v>
      </c>
      <c r="R5134" t="s">
        <v>21</v>
      </c>
      <c r="S5134" t="s">
        <v>21</v>
      </c>
    </row>
    <row r="5135" spans="1:19" hidden="1" x14ac:dyDescent="0.25">
      <c r="A5135">
        <v>21700550</v>
      </c>
      <c r="B5135" t="s">
        <v>18</v>
      </c>
      <c r="C5135" t="s">
        <v>22</v>
      </c>
      <c r="D5135">
        <v>33</v>
      </c>
      <c r="E5135">
        <v>39</v>
      </c>
      <c r="F5135">
        <v>6</v>
      </c>
      <c r="G5135">
        <v>2</v>
      </c>
      <c r="H5135" s="1">
        <v>4.8958333333333336E-3</v>
      </c>
      <c r="I5135">
        <v>2017</v>
      </c>
      <c r="J5135" t="s">
        <v>20</v>
      </c>
      <c r="K5135" s="2" t="str">
        <f>HYPERLINK("https://www.nba.com/stats/events?CFID=&amp;CFPARAMS=&amp;GameEventID=211&amp;GameID=0021700550&amp;Season=2017-18&amp;flag=1&amp;title=Leonard%201'%20Driving%20Layup%20(11%20PTS)", "Leonard 1' Driving Layup (11 PTS)")</f>
        <v>Leonard 1' Driving Layup (11 PTS)</v>
      </c>
      <c r="L5135" s="2" t="str">
        <f>HYPERLINK("https://www.nba.com/game/...-vs-...-0021700550/play-by-play?watchFullGame=true", "SAS vs NYK - Q2 07:03.00")</f>
        <v>SAS vs NYK - Q2 07:03.00</v>
      </c>
      <c r="M5135">
        <v>1</v>
      </c>
      <c r="N5135">
        <v>-14</v>
      </c>
      <c r="O5135">
        <v>1</v>
      </c>
      <c r="P5135">
        <v>-14</v>
      </c>
      <c r="Q5135">
        <v>1</v>
      </c>
      <c r="R5135" t="s">
        <v>21</v>
      </c>
      <c r="S5135" t="s">
        <v>21</v>
      </c>
    </row>
    <row r="5136" spans="1:19" hidden="1" x14ac:dyDescent="0.25">
      <c r="A5136">
        <v>21300338</v>
      </c>
      <c r="B5136" t="s">
        <v>18</v>
      </c>
      <c r="C5136" t="s">
        <v>24</v>
      </c>
      <c r="D5136">
        <v>71</v>
      </c>
      <c r="E5136">
        <v>69</v>
      </c>
      <c r="F5136">
        <v>2</v>
      </c>
      <c r="G5136">
        <v>3</v>
      </c>
      <c r="H5136" s="1">
        <v>4.9421296296296297E-3</v>
      </c>
      <c r="I5136">
        <v>2013</v>
      </c>
      <c r="J5136" t="s">
        <v>20</v>
      </c>
      <c r="K5136" s="2" t="str">
        <f>HYPERLINK("https://www.nba.com/stats/events?CFID=&amp;CFPARAMS=&amp;GameEventID=282&amp;GameID=0021300338&amp;Season=2013-14&amp;flag=1&amp;title=Leonard%201'%20Layup%20(17%20PTS)%20(Duncan%206%20AST)", "Leonard 1' Layup (17 PTS) (Duncan 6 AST)")</f>
        <v>Leonard 1' Layup (17 PTS) (Duncan 6 AST)</v>
      </c>
      <c r="L5136" s="2" t="str">
        <f>HYPERLINK("https://www.nba.com/game/...-vs-...-0021300338/play-by-play?watchFullGame=true", "SAS vs MIN - Q3 07:07.00")</f>
        <v>SAS vs MIN - Q3 07:07.00</v>
      </c>
      <c r="M5136">
        <v>1</v>
      </c>
      <c r="N5136">
        <v>-4</v>
      </c>
      <c r="O5136">
        <v>12</v>
      </c>
      <c r="P5136">
        <v>-4</v>
      </c>
      <c r="Q5136">
        <v>12</v>
      </c>
      <c r="R5136" t="s">
        <v>21</v>
      </c>
      <c r="S5136" t="s">
        <v>21</v>
      </c>
    </row>
    <row r="5137" spans="1:19" hidden="1" x14ac:dyDescent="0.25">
      <c r="A5137">
        <v>41500236</v>
      </c>
      <c r="B5137" t="s">
        <v>18</v>
      </c>
      <c r="C5137" t="s">
        <v>25</v>
      </c>
      <c r="D5137">
        <v>49</v>
      </c>
      <c r="E5137">
        <v>74</v>
      </c>
      <c r="F5137">
        <v>25</v>
      </c>
      <c r="G5137">
        <v>3</v>
      </c>
      <c r="H5137" s="1">
        <v>4.0740740740740737E-3</v>
      </c>
      <c r="I5137" t="s">
        <v>57</v>
      </c>
      <c r="J5137" t="s">
        <v>20</v>
      </c>
      <c r="K5137" s="2" t="str">
        <f>HYPERLINK("https://www.nba.com/stats/events?CFID=&amp;CFPARAMS=&amp;GameEventID=315&amp;GameID=0041500236&amp;Season=2015-16&amp;flag=1&amp;title=Leonard%20%20Driving%20Dunk%20(12%20PTS)", "Leonard  Driving Dunk (12 PTS)")</f>
        <v>Leonard  Driving Dunk (12 PTS)</v>
      </c>
      <c r="L5137" s="2" t="str">
        <f>HYPERLINK("https://www.nba.com/game/...-vs-...-0041500236/play-by-play?watchFullGame=true", "SAS vs OKC - Q3 05:52.00")</f>
        <v>SAS vs OKC - Q3 05:52.00</v>
      </c>
      <c r="M5137">
        <v>0</v>
      </c>
      <c r="N5137">
        <v>0</v>
      </c>
      <c r="O5137">
        <v>1</v>
      </c>
      <c r="P5137">
        <v>0</v>
      </c>
      <c r="Q5137">
        <v>1</v>
      </c>
      <c r="R5137" t="s">
        <v>21</v>
      </c>
      <c r="S5137" t="s">
        <v>21</v>
      </c>
    </row>
    <row r="5138" spans="1:19" hidden="1" x14ac:dyDescent="0.25">
      <c r="A5138">
        <v>41500231</v>
      </c>
      <c r="B5138" t="s">
        <v>18</v>
      </c>
      <c r="C5138" t="s">
        <v>51</v>
      </c>
      <c r="D5138">
        <v>19</v>
      </c>
      <c r="E5138">
        <v>6</v>
      </c>
      <c r="F5138">
        <v>13</v>
      </c>
      <c r="G5138">
        <v>1</v>
      </c>
      <c r="H5138" s="1">
        <v>4.9768518518518521E-3</v>
      </c>
      <c r="I5138" t="s">
        <v>57</v>
      </c>
      <c r="J5138" t="s">
        <v>20</v>
      </c>
      <c r="K5138" s="2" t="str">
        <f>HYPERLINK("https://www.nba.com/stats/events?CFID=&amp;CFPARAMS=&amp;GameEventID=38&amp;GameID=0041500231&amp;Season=2015-16&amp;flag=1&amp;title=Leonard%201'%20Running%20Layup%20(8%20PTS)", "Leonard 1' Running Layup (8 PTS)")</f>
        <v>Leonard 1' Running Layup (8 PTS)</v>
      </c>
      <c r="L5138" s="2" t="str">
        <f>HYPERLINK("https://www.nba.com/game/...-vs-...-0041500231/play-by-play?watchFullGame=true", "SAS vs OKC - Q1 07:10.00")</f>
        <v>SAS vs OKC - Q1 07:10.00</v>
      </c>
      <c r="M5138">
        <v>1</v>
      </c>
      <c r="N5138">
        <v>1</v>
      </c>
      <c r="O5138">
        <v>7</v>
      </c>
      <c r="P5138">
        <v>1</v>
      </c>
      <c r="Q5138">
        <v>7</v>
      </c>
      <c r="R5138" t="s">
        <v>21</v>
      </c>
      <c r="S5138" t="s">
        <v>21</v>
      </c>
    </row>
    <row r="5139" spans="1:19" hidden="1" x14ac:dyDescent="0.25">
      <c r="A5139">
        <v>21500566</v>
      </c>
      <c r="B5139" t="s">
        <v>18</v>
      </c>
      <c r="C5139" t="s">
        <v>68</v>
      </c>
      <c r="D5139">
        <v>35</v>
      </c>
      <c r="E5139">
        <v>28</v>
      </c>
      <c r="F5139">
        <v>7</v>
      </c>
      <c r="G5139">
        <v>2</v>
      </c>
      <c r="H5139" s="1">
        <v>4.0856481481481481E-3</v>
      </c>
      <c r="I5139">
        <v>2015</v>
      </c>
      <c r="J5139" t="s">
        <v>20</v>
      </c>
      <c r="K5139" s="2" t="str">
        <f>HYPERLINK("https://www.nba.com/stats/events?CFID=&amp;CFPARAMS=&amp;GameEventID=150&amp;GameID=0021500566&amp;Season=2015-16&amp;flag=1&amp;title=Leonard%20%20Alley%20Oop%20Dunk%20(6%20PTS)%20(Duncan%201%20AST)", "Leonard  Alley Oop Dunk (6 PTS) (Duncan 1 AST)")</f>
        <v>Leonard  Alley Oop Dunk (6 PTS) (Duncan 1 AST)</v>
      </c>
      <c r="L5139" s="2" t="str">
        <f>HYPERLINK("https://www.nba.com/game/...-vs-...-0021500566/play-by-play?watchFullGame=true", "SAS vs BKN - Q2 05:53.00")</f>
        <v>SAS vs BKN - Q2 05:53.00</v>
      </c>
      <c r="M5139">
        <v>0</v>
      </c>
      <c r="N5139">
        <v>0</v>
      </c>
      <c r="O5139">
        <v>1</v>
      </c>
      <c r="P5139">
        <v>0</v>
      </c>
      <c r="Q5139">
        <v>1</v>
      </c>
      <c r="R5139" t="s">
        <v>21</v>
      </c>
      <c r="S5139" t="s">
        <v>21</v>
      </c>
    </row>
    <row r="5140" spans="1:19" hidden="1" x14ac:dyDescent="0.25">
      <c r="A5140">
        <v>41200236</v>
      </c>
      <c r="B5140" t="s">
        <v>18</v>
      </c>
      <c r="C5140" t="s">
        <v>24</v>
      </c>
      <c r="D5140">
        <v>55</v>
      </c>
      <c r="E5140">
        <v>45</v>
      </c>
      <c r="F5140">
        <v>10</v>
      </c>
      <c r="G5140">
        <v>3</v>
      </c>
      <c r="H5140" s="1">
        <v>5.0000000000000001E-3</v>
      </c>
      <c r="I5140" t="s">
        <v>53</v>
      </c>
      <c r="J5140" t="s">
        <v>20</v>
      </c>
      <c r="K5140" s="2" t="str">
        <f>HYPERLINK("https://www.nba.com/stats/events?CFID=&amp;CFPARAMS=&amp;GameEventID=271&amp;GameID=0041200236&amp;Season=2012-13&amp;flag=1&amp;title=Leonard%201'%20Layup%20(6%20PTS)", "Leonard 1' Layup (6 PTS)")</f>
        <v>Leonard 1' Layup (6 PTS)</v>
      </c>
      <c r="L5140" s="2" t="str">
        <f>HYPERLINK("https://www.nba.com/game/...-vs-...-0041200236/play-by-play?watchFullGame=true", "SAS vs GSW - Q3 07:12.00")</f>
        <v>SAS vs GSW - Q3 07:12.00</v>
      </c>
      <c r="M5140">
        <v>1</v>
      </c>
      <c r="N5140">
        <v>6</v>
      </c>
      <c r="O5140">
        <v>7</v>
      </c>
      <c r="P5140">
        <v>6</v>
      </c>
      <c r="Q5140">
        <v>7</v>
      </c>
      <c r="R5140" t="s">
        <v>21</v>
      </c>
      <c r="S5140" t="s">
        <v>21</v>
      </c>
    </row>
    <row r="5141" spans="1:19" hidden="1" x14ac:dyDescent="0.25">
      <c r="A5141">
        <v>21800019</v>
      </c>
      <c r="B5141" t="s">
        <v>18</v>
      </c>
      <c r="C5141" t="s">
        <v>51</v>
      </c>
      <c r="D5141">
        <v>63</v>
      </c>
      <c r="E5141">
        <v>65</v>
      </c>
      <c r="F5141">
        <v>2</v>
      </c>
      <c r="G5141">
        <v>3</v>
      </c>
      <c r="H5141" s="1">
        <v>5.0115740740740737E-3</v>
      </c>
      <c r="I5141">
        <v>2018</v>
      </c>
      <c r="J5141" t="s">
        <v>48</v>
      </c>
      <c r="K5141" s="2" t="str">
        <f>HYPERLINK("https://www.nba.com/stats/events?CFID=&amp;CFPARAMS=&amp;GameEventID=389&amp;GameID=0021800019&amp;Season=2018-19&amp;flag=1&amp;title=Leonard%201'%20Running%20Layup%20(19%20PTS)", "Leonard 1' Running Layup (19 PTS)")</f>
        <v>Leonard 1' Running Layup (19 PTS)</v>
      </c>
      <c r="L5141" s="2" t="str">
        <f>HYPERLINK("https://www.nba.com/game/...-vs-...-0021800019/play-by-play?watchFullGame=true", "TOR vs BOS - Q3 07:13.00")</f>
        <v>TOR vs BOS - Q3 07:13.00</v>
      </c>
      <c r="M5141">
        <v>1</v>
      </c>
      <c r="N5141">
        <v>5</v>
      </c>
      <c r="O5141">
        <v>7</v>
      </c>
      <c r="P5141">
        <v>5</v>
      </c>
      <c r="Q5141">
        <v>7</v>
      </c>
      <c r="R5141" t="s">
        <v>21</v>
      </c>
      <c r="S5141" t="s">
        <v>21</v>
      </c>
    </row>
    <row r="5142" spans="1:19" hidden="1" x14ac:dyDescent="0.25">
      <c r="A5142">
        <v>21500546</v>
      </c>
      <c r="B5142" t="s">
        <v>18</v>
      </c>
      <c r="C5142" t="s">
        <v>41</v>
      </c>
      <c r="D5142">
        <v>8</v>
      </c>
      <c r="E5142">
        <v>9</v>
      </c>
      <c r="F5142">
        <v>1</v>
      </c>
      <c r="G5142">
        <v>1</v>
      </c>
      <c r="H5142" s="1">
        <v>5.0231481481481481E-3</v>
      </c>
      <c r="I5142">
        <v>2015</v>
      </c>
      <c r="J5142" t="s">
        <v>20</v>
      </c>
      <c r="K5142" s="2" t="str">
        <f>HYPERLINK("https://www.nba.com/stats/events?CFID=&amp;CFPARAMS=&amp;GameEventID=51&amp;GameID=0021500546&amp;Season=2015-16&amp;flag=1&amp;title=Leonard%201'%20Tip%20Layup%20Shot%20(4%20PTS)", "Leonard 1' Tip Layup Shot (4 PTS)")</f>
        <v>Leonard 1' Tip Layup Shot (4 PTS)</v>
      </c>
      <c r="L5142" s="2" t="str">
        <f>HYPERLINK("https://www.nba.com/game/...-vs-...-0021500546/play-by-play?watchFullGame=true", "SAS vs NYK - Q1 07:14.00")</f>
        <v>SAS vs NYK - Q1 07:14.00</v>
      </c>
      <c r="M5142">
        <v>1</v>
      </c>
      <c r="N5142">
        <v>1</v>
      </c>
      <c r="O5142">
        <v>7</v>
      </c>
      <c r="P5142">
        <v>1</v>
      </c>
      <c r="Q5142">
        <v>7</v>
      </c>
      <c r="R5142" t="s">
        <v>21</v>
      </c>
      <c r="S5142" t="s">
        <v>21</v>
      </c>
    </row>
    <row r="5143" spans="1:19" hidden="1" x14ac:dyDescent="0.25">
      <c r="A5143">
        <v>21600454</v>
      </c>
      <c r="B5143" t="s">
        <v>18</v>
      </c>
      <c r="C5143" t="s">
        <v>51</v>
      </c>
      <c r="D5143">
        <v>96</v>
      </c>
      <c r="E5143">
        <v>78</v>
      </c>
      <c r="F5143">
        <v>18</v>
      </c>
      <c r="G5143">
        <v>4</v>
      </c>
      <c r="H5143" s="1">
        <v>5.0347222222222225E-3</v>
      </c>
      <c r="I5143">
        <v>2016</v>
      </c>
      <c r="J5143" t="s">
        <v>20</v>
      </c>
      <c r="K5143" s="2" t="str">
        <f>HYPERLINK("https://www.nba.com/stats/events?CFID=&amp;CFPARAMS=&amp;GameEventID=439&amp;GameID=0021600454&amp;Season=2016-17&amp;flag=1&amp;title=Leonard%201'%20Running%20Layup%20(26%20PTS)", "Leonard 1' Running Layup (26 PTS)")</f>
        <v>Leonard 1' Running Layup (26 PTS)</v>
      </c>
      <c r="L5143" s="2" t="str">
        <f>HYPERLINK("https://www.nba.com/game/...-vs-...-0021600454/play-by-play?watchFullGame=true", "SAS vs POR - Q4 07:15.00")</f>
        <v>SAS vs POR - Q4 07:15.00</v>
      </c>
      <c r="M5143">
        <v>1</v>
      </c>
      <c r="N5143">
        <v>14</v>
      </c>
      <c r="O5143">
        <v>-1</v>
      </c>
      <c r="P5143">
        <v>14</v>
      </c>
      <c r="Q5143">
        <v>-1</v>
      </c>
      <c r="R5143" t="s">
        <v>21</v>
      </c>
      <c r="S5143" t="s">
        <v>21</v>
      </c>
    </row>
    <row r="5144" spans="1:19" hidden="1" x14ac:dyDescent="0.25">
      <c r="A5144">
        <v>21800624</v>
      </c>
      <c r="B5144" t="s">
        <v>18</v>
      </c>
      <c r="C5144" t="s">
        <v>40</v>
      </c>
      <c r="D5144">
        <v>11</v>
      </c>
      <c r="E5144">
        <v>12</v>
      </c>
      <c r="F5144">
        <v>1</v>
      </c>
      <c r="G5144">
        <v>1</v>
      </c>
      <c r="H5144" s="1">
        <v>5.0462962962962961E-3</v>
      </c>
      <c r="I5144">
        <v>2018</v>
      </c>
      <c r="J5144" t="s">
        <v>48</v>
      </c>
      <c r="K5144" s="2" t="str">
        <f>HYPERLINK("https://www.nba.com/stats/events?CFID=&amp;CFPARAMS=&amp;GameEventID=55&amp;GameID=0021800624&amp;Season=2018-19&amp;flag=1&amp;title=Leonard%201'%20Driving%20Finger%20Roll%20Layup%20(4%20PTS)%20(Lowry%203%20AST)", "Leonard 1' Driving Finger Roll Layup (4 PTS) (Lowry 3 AST)")</f>
        <v>Leonard 1' Driving Finger Roll Layup (4 PTS) (Lowry 3 AST)</v>
      </c>
      <c r="L5144" s="2" t="str">
        <f>HYPERLINK("https://www.nba.com/game/...-vs-...-0021800624/play-by-play?watchFullGame=true", "TOR vs BKN - Q1 07:16.00")</f>
        <v>TOR vs BKN - Q1 07:16.00</v>
      </c>
      <c r="M5144">
        <v>1</v>
      </c>
      <c r="N5144">
        <v>-2</v>
      </c>
      <c r="O5144">
        <v>9</v>
      </c>
      <c r="P5144">
        <v>-2</v>
      </c>
      <c r="Q5144">
        <v>9</v>
      </c>
      <c r="R5144" t="s">
        <v>21</v>
      </c>
      <c r="S5144" t="s">
        <v>21</v>
      </c>
    </row>
    <row r="5145" spans="1:19" hidden="1" x14ac:dyDescent="0.25">
      <c r="A5145">
        <v>21400241</v>
      </c>
      <c r="B5145" t="s">
        <v>18</v>
      </c>
      <c r="C5145" t="s">
        <v>63</v>
      </c>
      <c r="D5145">
        <v>60</v>
      </c>
      <c r="E5145">
        <v>61</v>
      </c>
      <c r="F5145">
        <v>1</v>
      </c>
      <c r="G5145">
        <v>3</v>
      </c>
      <c r="H5145" s="1">
        <v>5.0694444444444441E-3</v>
      </c>
      <c r="I5145">
        <v>2014</v>
      </c>
      <c r="J5145" t="s">
        <v>20</v>
      </c>
      <c r="K5145" s="2" t="str">
        <f>HYPERLINK("https://www.nba.com/stats/events?CFID=&amp;CFPARAMS=&amp;GameEventID=271&amp;GameID=0021400241&amp;Season=2014-15&amp;flag=1&amp;title=Leonard%201'%20Running%20Reverse%20Layup%20(7%20PTS)%20(Duncan%202%20AST)", "Leonard 1' Running Reverse Layup (7 PTS) (Duncan 2 AST)")</f>
        <v>Leonard 1' Running Reverse Layup (7 PTS) (Duncan 2 AST)</v>
      </c>
      <c r="L5145" s="2" t="str">
        <f>HYPERLINK("https://www.nba.com/game/...-vs-...-0021400241/play-by-play?watchFullGame=true", "SAS vs BOS - Q3 07:18.00")</f>
        <v>SAS vs BOS - Q3 07:18.00</v>
      </c>
      <c r="M5145">
        <v>1</v>
      </c>
      <c r="N5145">
        <v>-5</v>
      </c>
      <c r="O5145">
        <v>0</v>
      </c>
      <c r="P5145">
        <v>-5</v>
      </c>
      <c r="Q5145">
        <v>0</v>
      </c>
      <c r="R5145" t="s">
        <v>21</v>
      </c>
      <c r="S5145" t="s">
        <v>21</v>
      </c>
    </row>
    <row r="5146" spans="1:19" hidden="1" x14ac:dyDescent="0.25">
      <c r="A5146">
        <v>21500364</v>
      </c>
      <c r="B5146" t="s">
        <v>18</v>
      </c>
      <c r="C5146" t="s">
        <v>50</v>
      </c>
      <c r="D5146">
        <v>45</v>
      </c>
      <c r="E5146">
        <v>22</v>
      </c>
      <c r="F5146">
        <v>23</v>
      </c>
      <c r="G5146">
        <v>2</v>
      </c>
      <c r="H5146" s="1">
        <v>4.1319444444444442E-3</v>
      </c>
      <c r="I5146">
        <v>2015</v>
      </c>
      <c r="J5146" t="s">
        <v>20</v>
      </c>
      <c r="K5146" s="2" t="str">
        <f>HYPERLINK("https://www.nba.com/stats/events?CFID=&amp;CFPARAMS=&amp;GameEventID=186&amp;GameID=0021500364&amp;Season=2015-16&amp;flag=1&amp;title=Leonard%20%20Running%20Dunk%20(4%20PTS)%20(Green%202%20AST)", "Leonard  Running Dunk (4 PTS) (Green 2 AST)")</f>
        <v>Leonard  Running Dunk (4 PTS) (Green 2 AST)</v>
      </c>
      <c r="L5146" s="2" t="str">
        <f>HYPERLINK("https://www.nba.com/game/...-vs-...-0021500364/play-by-play?watchFullGame=true", "SAS vs UTA - Q2 05:57.00")</f>
        <v>SAS vs UTA - Q2 05:57.00</v>
      </c>
      <c r="M5146">
        <v>0</v>
      </c>
      <c r="N5146">
        <v>0</v>
      </c>
      <c r="O5146">
        <v>1</v>
      </c>
      <c r="P5146">
        <v>0</v>
      </c>
      <c r="Q5146">
        <v>1</v>
      </c>
      <c r="R5146" t="s">
        <v>21</v>
      </c>
      <c r="S5146" t="s">
        <v>21</v>
      </c>
    </row>
    <row r="5147" spans="1:19" hidden="1" x14ac:dyDescent="0.25">
      <c r="A5147">
        <v>21301084</v>
      </c>
      <c r="B5147" t="s">
        <v>18</v>
      </c>
      <c r="C5147" t="s">
        <v>24</v>
      </c>
      <c r="D5147">
        <v>75</v>
      </c>
      <c r="E5147">
        <v>54</v>
      </c>
      <c r="F5147">
        <v>21</v>
      </c>
      <c r="G5147">
        <v>3</v>
      </c>
      <c r="H5147" s="1">
        <v>5.115740740740741E-3</v>
      </c>
      <c r="I5147">
        <v>2013</v>
      </c>
      <c r="J5147" t="s">
        <v>20</v>
      </c>
      <c r="K5147" s="2" t="str">
        <f>HYPERLINK("https://www.nba.com/stats/events?CFID=&amp;CFPARAMS=&amp;GameEventID=308&amp;GameID=0021301084&amp;Season=2013-14&amp;flag=1&amp;title=Leonard%201'%20Layup%20(14%20PTS)%20(Mills%203%20AST)", "Leonard 1' Layup (14 PTS) (Mills 3 AST)")</f>
        <v>Leonard 1' Layup (14 PTS) (Mills 3 AST)</v>
      </c>
      <c r="L5147" s="2" t="str">
        <f>HYPERLINK("https://www.nba.com/game/...-vs-...-0021301084/play-by-play?watchFullGame=true", "SAS vs DEN - Q3 07:22.00")</f>
        <v>SAS vs DEN - Q3 07:22.00</v>
      </c>
      <c r="M5147">
        <v>1</v>
      </c>
      <c r="N5147">
        <v>9</v>
      </c>
      <c r="O5147">
        <v>11</v>
      </c>
      <c r="P5147">
        <v>9</v>
      </c>
      <c r="Q5147">
        <v>11</v>
      </c>
      <c r="R5147" t="s">
        <v>21</v>
      </c>
      <c r="S5147" t="s">
        <v>21</v>
      </c>
    </row>
    <row r="5148" spans="1:19" hidden="1" x14ac:dyDescent="0.25">
      <c r="A5148">
        <v>21500123</v>
      </c>
      <c r="B5148" t="s">
        <v>18</v>
      </c>
      <c r="C5148" t="s">
        <v>22</v>
      </c>
      <c r="D5148">
        <v>95</v>
      </c>
      <c r="E5148">
        <v>87</v>
      </c>
      <c r="F5148">
        <v>8</v>
      </c>
      <c r="G5148">
        <v>4</v>
      </c>
      <c r="H5148" s="1">
        <v>5.1273148148148146E-3</v>
      </c>
      <c r="I5148">
        <v>2015</v>
      </c>
      <c r="J5148" t="s">
        <v>20</v>
      </c>
      <c r="K5148" s="2" t="str">
        <f>HYPERLINK("https://www.nba.com/stats/events?CFID=&amp;CFPARAMS=&amp;GameEventID=408&amp;GameID=0021500123&amp;Season=2015-16&amp;flag=1&amp;title=Leonard%201'%20Driving%20Layup%20(20%20PTS)", "Leonard 1' Driving Layup (20 PTS)")</f>
        <v>Leonard 1' Driving Layup (20 PTS)</v>
      </c>
      <c r="L5148" s="2" t="str">
        <f>HYPERLINK("https://www.nba.com/game/...-vs-...-0021500123/play-by-play?watchFullGame=true", "SAS vs POR - Q4 07:23.00")</f>
        <v>SAS vs POR - Q4 07:23.00</v>
      </c>
      <c r="M5148">
        <v>1</v>
      </c>
      <c r="N5148">
        <v>-9</v>
      </c>
      <c r="O5148">
        <v>7</v>
      </c>
      <c r="P5148">
        <v>-9</v>
      </c>
      <c r="Q5148">
        <v>7</v>
      </c>
      <c r="R5148" t="s">
        <v>21</v>
      </c>
      <c r="S5148" t="s">
        <v>21</v>
      </c>
    </row>
    <row r="5149" spans="1:19" hidden="1" x14ac:dyDescent="0.25">
      <c r="A5149">
        <v>21300898</v>
      </c>
      <c r="B5149" t="s">
        <v>18</v>
      </c>
      <c r="C5149" t="s">
        <v>24</v>
      </c>
      <c r="D5149">
        <v>30</v>
      </c>
      <c r="E5149">
        <v>29</v>
      </c>
      <c r="F5149">
        <v>1</v>
      </c>
      <c r="G5149">
        <v>2</v>
      </c>
      <c r="H5149" s="1">
        <v>5.1504629629629626E-3</v>
      </c>
      <c r="I5149">
        <v>2013</v>
      </c>
      <c r="J5149" t="s">
        <v>20</v>
      </c>
      <c r="K5149" s="2" t="str">
        <f>HYPERLINK("https://www.nba.com/stats/events?CFID=&amp;CFPARAMS=&amp;GameEventID=200&amp;GameID=0021300898&amp;Season=2013-14&amp;flag=1&amp;title=Leonard%201'%20Layup%20(5%20PTS)%20(Mills%202%20AST)", "Leonard 1' Layup (5 PTS) (Mills 2 AST)")</f>
        <v>Leonard 1' Layup (5 PTS) (Mills 2 AST)</v>
      </c>
      <c r="L5149" s="2" t="str">
        <f>HYPERLINK("https://www.nba.com/game/...-vs-...-0021300898/play-by-play?watchFullGame=true", "SAS vs CLE - Q2 07:25.00")</f>
        <v>SAS vs CLE - Q2 07:25.00</v>
      </c>
      <c r="M5149">
        <v>1</v>
      </c>
      <c r="N5149">
        <v>1</v>
      </c>
      <c r="O5149">
        <v>-5</v>
      </c>
      <c r="P5149">
        <v>1</v>
      </c>
      <c r="Q5149">
        <v>-5</v>
      </c>
      <c r="R5149" t="s">
        <v>21</v>
      </c>
      <c r="S5149" t="s">
        <v>21</v>
      </c>
    </row>
    <row r="5150" spans="1:19" hidden="1" x14ac:dyDescent="0.25">
      <c r="A5150">
        <v>21400064</v>
      </c>
      <c r="B5150" t="s">
        <v>18</v>
      </c>
      <c r="C5150" t="s">
        <v>24</v>
      </c>
      <c r="D5150">
        <v>81</v>
      </c>
      <c r="E5150">
        <v>76</v>
      </c>
      <c r="F5150">
        <v>5</v>
      </c>
      <c r="G5150">
        <v>4</v>
      </c>
      <c r="H5150" s="1">
        <v>5.1736111111111115E-3</v>
      </c>
      <c r="I5150">
        <v>2014</v>
      </c>
      <c r="J5150" t="s">
        <v>20</v>
      </c>
      <c r="K5150" s="2" t="str">
        <f>HYPERLINK("https://www.nba.com/stats/events?CFID=&amp;CFPARAMS=&amp;GameEventID=422&amp;GameID=0021400064&amp;Season=2014-15&amp;flag=1&amp;title=Leonard%201'%20Layup%20(11%20PTS)%20(Duncan%204%20AST)", "Leonard 1' Layup (11 PTS) (Duncan 4 AST)")</f>
        <v>Leonard 1' Layup (11 PTS) (Duncan 4 AST)</v>
      </c>
      <c r="L5150" s="2" t="str">
        <f>HYPERLINK("https://www.nba.com/game/...-vs-...-0021400064/play-by-play?watchFullGame=true", "SAS vs ATL - Q4 07:27.00")</f>
        <v>SAS vs ATL - Q4 07:27.00</v>
      </c>
      <c r="M5150">
        <v>1</v>
      </c>
      <c r="N5150">
        <v>-5</v>
      </c>
      <c r="O5150">
        <v>3</v>
      </c>
      <c r="P5150">
        <v>-5</v>
      </c>
      <c r="Q5150">
        <v>3</v>
      </c>
      <c r="R5150" t="s">
        <v>21</v>
      </c>
      <c r="S5150" t="s">
        <v>21</v>
      </c>
    </row>
    <row r="5151" spans="1:19" hidden="1" x14ac:dyDescent="0.25">
      <c r="A5151">
        <v>21600016</v>
      </c>
      <c r="B5151" t="s">
        <v>18</v>
      </c>
      <c r="C5151" t="s">
        <v>25</v>
      </c>
      <c r="D5151">
        <v>62</v>
      </c>
      <c r="E5151">
        <v>66</v>
      </c>
      <c r="F5151">
        <v>4</v>
      </c>
      <c r="G5151">
        <v>3</v>
      </c>
      <c r="H5151" s="1">
        <v>4.1666666666666666E-3</v>
      </c>
      <c r="I5151">
        <v>2016</v>
      </c>
      <c r="J5151" t="s">
        <v>20</v>
      </c>
      <c r="K5151" s="2" t="str">
        <f>HYPERLINK("https://www.nba.com/stats/events?CFID=&amp;CFPARAMS=&amp;GameEventID=332&amp;GameID=0021600016&amp;Season=2016-17&amp;flag=1&amp;title=Leonard%20%20Driving%20Dunk%20(16%20PTS)", "Leonard  Driving Dunk (16 PTS)")</f>
        <v>Leonard  Driving Dunk (16 PTS)</v>
      </c>
      <c r="L5151" s="2" t="str">
        <f>HYPERLINK("https://www.nba.com/game/...-vs-...-0021600016/play-by-play?watchFullGame=true", "SAS vs SAC - Q3 06:00.00")</f>
        <v>SAS vs SAC - Q3 06:00.00</v>
      </c>
      <c r="M5151">
        <v>0</v>
      </c>
      <c r="N5151">
        <v>0</v>
      </c>
      <c r="O5151">
        <v>1</v>
      </c>
      <c r="P5151">
        <v>0</v>
      </c>
      <c r="Q5151">
        <v>1</v>
      </c>
      <c r="R5151" t="s">
        <v>21</v>
      </c>
      <c r="S5151" t="s">
        <v>21</v>
      </c>
    </row>
    <row r="5152" spans="1:19" hidden="1" x14ac:dyDescent="0.25">
      <c r="A5152">
        <v>21401039</v>
      </c>
      <c r="B5152" t="s">
        <v>18</v>
      </c>
      <c r="C5152" t="s">
        <v>32</v>
      </c>
      <c r="D5152">
        <v>11</v>
      </c>
      <c r="E5152">
        <v>4</v>
      </c>
      <c r="F5152">
        <v>7</v>
      </c>
      <c r="G5152">
        <v>1</v>
      </c>
      <c r="H5152" s="1">
        <v>5.185185185185185E-3</v>
      </c>
      <c r="I5152">
        <v>2014</v>
      </c>
      <c r="J5152" t="s">
        <v>20</v>
      </c>
      <c r="K5152" s="2" t="str">
        <f>HYPERLINK("https://www.nba.com/stats/events?CFID=&amp;CFPARAMS=&amp;GameEventID=31&amp;GameID=0021401039&amp;Season=2014-15&amp;flag=1&amp;title=Leonard%201'%20Alley%20Oop%20Layup%20(4%20PTS)%20(Duncan%202%20AST)", "Leonard 1' Alley Oop Layup (4 PTS) (Duncan 2 AST)")</f>
        <v>Leonard 1' Alley Oop Layup (4 PTS) (Duncan 2 AST)</v>
      </c>
      <c r="L5152" s="2" t="str">
        <f>HYPERLINK("https://www.nba.com/game/...-vs-...-0021401039/play-by-play?watchFullGame=true", "SAS vs ATL - Q1 07:28.00")</f>
        <v>SAS vs ATL - Q1 07:28.00</v>
      </c>
      <c r="M5152">
        <v>1</v>
      </c>
      <c r="N5152">
        <v>-10</v>
      </c>
      <c r="O5152">
        <v>0</v>
      </c>
      <c r="P5152">
        <v>-10</v>
      </c>
      <c r="Q5152">
        <v>0</v>
      </c>
      <c r="R5152" t="s">
        <v>21</v>
      </c>
      <c r="S5152" t="s">
        <v>21</v>
      </c>
    </row>
    <row r="5153" spans="1:19" hidden="1" x14ac:dyDescent="0.25">
      <c r="A5153">
        <v>21300229</v>
      </c>
      <c r="B5153" t="s">
        <v>18</v>
      </c>
      <c r="C5153" t="s">
        <v>24</v>
      </c>
      <c r="D5153">
        <v>12</v>
      </c>
      <c r="E5153">
        <v>13</v>
      </c>
      <c r="F5153">
        <v>1</v>
      </c>
      <c r="G5153">
        <v>1</v>
      </c>
      <c r="H5153" s="1">
        <v>5.208333333333333E-3</v>
      </c>
      <c r="I5153">
        <v>2013</v>
      </c>
      <c r="J5153" t="s">
        <v>20</v>
      </c>
      <c r="K5153" s="2" t="str">
        <f>HYPERLINK("https://www.nba.com/stats/events?CFID=&amp;CFPARAMS=&amp;GameEventID=31&amp;GameID=0021300229&amp;Season=2013-14&amp;flag=1&amp;title=Leonard%201'%20Layup%20(4%20PTS)%20(Green%201%20AST)", "Leonard 1' Layup (4 PTS) (Green 1 AST)")</f>
        <v>Leonard 1' Layup (4 PTS) (Green 1 AST)</v>
      </c>
      <c r="L5153" s="2" t="str">
        <f>HYPERLINK("https://www.nba.com/game/...-vs-...-0021300229/play-by-play?watchFullGame=true", "SAS vs ORL - Q1 07:30.00")</f>
        <v>SAS vs ORL - Q1 07:30.00</v>
      </c>
      <c r="M5153">
        <v>1</v>
      </c>
      <c r="N5153">
        <v>1</v>
      </c>
      <c r="O5153">
        <v>7</v>
      </c>
      <c r="P5153">
        <v>1</v>
      </c>
      <c r="Q5153">
        <v>7</v>
      </c>
      <c r="R5153" t="s">
        <v>21</v>
      </c>
      <c r="S5153" t="s">
        <v>21</v>
      </c>
    </row>
    <row r="5154" spans="1:19" hidden="1" x14ac:dyDescent="0.25">
      <c r="A5154">
        <v>21600037</v>
      </c>
      <c r="B5154" t="s">
        <v>18</v>
      </c>
      <c r="C5154" t="s">
        <v>25</v>
      </c>
      <c r="D5154">
        <v>91</v>
      </c>
      <c r="E5154">
        <v>87</v>
      </c>
      <c r="F5154">
        <v>4</v>
      </c>
      <c r="G5154">
        <v>4</v>
      </c>
      <c r="H5154" s="1">
        <v>4.2129629629629626E-3</v>
      </c>
      <c r="I5154">
        <v>2016</v>
      </c>
      <c r="J5154" t="s">
        <v>20</v>
      </c>
      <c r="K5154" s="2" t="str">
        <f>HYPERLINK("https://www.nba.com/stats/events?CFID=&amp;CFPARAMS=&amp;GameEventID=477&amp;GameID=0021600037&amp;Season=2016-17&amp;flag=1&amp;title=Leonard%20Driving%20Dunk%20(15%20PTS)", "Leonard Driving Dunk (15 PTS)")</f>
        <v>Leonard Driving Dunk (15 PTS)</v>
      </c>
      <c r="L5154" s="2" t="str">
        <f>HYPERLINK("https://www.nba.com/game/...-vs-...-0021600037/play-by-play?watchFullGame=true", "SAS vs MIA - Q4 06:04.00")</f>
        <v>SAS vs MIA - Q4 06:04.00</v>
      </c>
      <c r="M5154">
        <v>0</v>
      </c>
      <c r="N5154">
        <v>0</v>
      </c>
      <c r="O5154">
        <v>1</v>
      </c>
      <c r="P5154">
        <v>0</v>
      </c>
      <c r="Q5154">
        <v>1</v>
      </c>
      <c r="R5154" t="s">
        <v>21</v>
      </c>
      <c r="S5154" t="s">
        <v>21</v>
      </c>
    </row>
    <row r="5155" spans="1:19" hidden="1" x14ac:dyDescent="0.25">
      <c r="A5155">
        <v>21800332</v>
      </c>
      <c r="B5155" t="s">
        <v>18</v>
      </c>
      <c r="C5155" t="s">
        <v>27</v>
      </c>
      <c r="D5155">
        <v>58</v>
      </c>
      <c r="E5155">
        <v>50</v>
      </c>
      <c r="F5155">
        <v>8</v>
      </c>
      <c r="G5155">
        <v>3</v>
      </c>
      <c r="H5155" s="1">
        <v>5.2430555555555555E-3</v>
      </c>
      <c r="I5155">
        <v>2018</v>
      </c>
      <c r="J5155" t="s">
        <v>48</v>
      </c>
      <c r="K5155" s="2" t="str">
        <f>HYPERLINK("https://www.nba.com/stats/events?CFID=&amp;CFPARAMS=&amp;GameEventID=363&amp;GameID=0021800332&amp;Season=2018-19&amp;flag=1&amp;title=Leonard%201'%20Finger%20Roll%20Layup%20(19%20PTS)", "Leonard 1' Finger Roll Layup (19 PTS)")</f>
        <v>Leonard 1' Finger Roll Layup (19 PTS)</v>
      </c>
      <c r="L5155" s="2" t="str">
        <f>HYPERLINK("https://www.nba.com/game/...-vs-...-0021800332/play-by-play?watchFullGame=true", "TOR vs CLE - Q3 07:33.00")</f>
        <v>TOR vs CLE - Q3 07:33.00</v>
      </c>
      <c r="M5155">
        <v>1</v>
      </c>
      <c r="N5155">
        <v>11</v>
      </c>
      <c r="O5155">
        <v>-1</v>
      </c>
      <c r="P5155">
        <v>11</v>
      </c>
      <c r="Q5155">
        <v>-1</v>
      </c>
      <c r="R5155" t="s">
        <v>21</v>
      </c>
      <c r="S5155" t="s">
        <v>21</v>
      </c>
    </row>
    <row r="5156" spans="1:19" hidden="1" x14ac:dyDescent="0.25">
      <c r="A5156">
        <v>21500767</v>
      </c>
      <c r="B5156" t="s">
        <v>18</v>
      </c>
      <c r="C5156" t="s">
        <v>33</v>
      </c>
      <c r="D5156">
        <v>66</v>
      </c>
      <c r="E5156">
        <v>59</v>
      </c>
      <c r="F5156">
        <v>7</v>
      </c>
      <c r="G5156">
        <v>3</v>
      </c>
      <c r="H5156" s="1">
        <v>5.2662037037037035E-3</v>
      </c>
      <c r="I5156">
        <v>2015</v>
      </c>
      <c r="J5156" t="s">
        <v>20</v>
      </c>
      <c r="K5156" s="2" t="str">
        <f>HYPERLINK("https://www.nba.com/stats/events?CFID=&amp;CFPARAMS=&amp;GameEventID=319&amp;GameID=0021500767&amp;Season=2015-16&amp;flag=1&amp;title=Leonard%201'%20Putback%20Layup%20(17%20PTS)", "Leonard 1' Putback Layup (17 PTS)")</f>
        <v>Leonard 1' Putback Layup (17 PTS)</v>
      </c>
      <c r="L5156" s="2" t="str">
        <f>HYPERLINK("https://www.nba.com/game/...-vs-...-0021500767/play-by-play?watchFullGame=true", "SAS vs LAL - Q3 07:35.00")</f>
        <v>SAS vs LAL - Q3 07:35.00</v>
      </c>
      <c r="M5156">
        <v>1</v>
      </c>
      <c r="N5156">
        <v>-4</v>
      </c>
      <c r="O5156">
        <v>13</v>
      </c>
      <c r="P5156">
        <v>-4</v>
      </c>
      <c r="Q5156">
        <v>13</v>
      </c>
      <c r="R5156" t="s">
        <v>21</v>
      </c>
      <c r="S5156" t="s">
        <v>21</v>
      </c>
    </row>
    <row r="5157" spans="1:19" hidden="1" x14ac:dyDescent="0.25">
      <c r="A5157">
        <v>21501161</v>
      </c>
      <c r="B5157" t="s">
        <v>18</v>
      </c>
      <c r="C5157" t="s">
        <v>46</v>
      </c>
      <c r="D5157">
        <v>12</v>
      </c>
      <c r="E5157">
        <v>12</v>
      </c>
      <c r="F5157">
        <v>0</v>
      </c>
      <c r="G5157">
        <v>1</v>
      </c>
      <c r="H5157" s="1">
        <v>4.2245370370370371E-3</v>
      </c>
      <c r="I5157">
        <v>2015</v>
      </c>
      <c r="J5157" t="s">
        <v>20</v>
      </c>
      <c r="K5157" s="2" t="str">
        <f>HYPERLINK("https://www.nba.com/stats/events?CFID=&amp;CFPARAMS=&amp;GameEventID=39&amp;GameID=0021501161&amp;Season=2015-16&amp;flag=1&amp;title=Leonard%20%20Cutting%20Dunk%20Shot%20(2%20PTS)%20(Duncan%201%20AST)", "Leonard  Cutting Dunk Shot (2 PTS) (Duncan 1 AST)")</f>
        <v>Leonard  Cutting Dunk Shot (2 PTS) (Duncan 1 AST)</v>
      </c>
      <c r="L5157" s="2" t="str">
        <f>HYPERLINK("https://www.nba.com/game/...-vs-...-0021501161/play-by-play?watchFullGame=true", "SAS vs UTA - Q1 06:05.00")</f>
        <v>SAS vs UTA - Q1 06:05.00</v>
      </c>
      <c r="M5157">
        <v>0</v>
      </c>
      <c r="N5157">
        <v>0</v>
      </c>
      <c r="O5157">
        <v>1</v>
      </c>
      <c r="P5157">
        <v>0</v>
      </c>
      <c r="Q5157">
        <v>1</v>
      </c>
      <c r="R5157" t="s">
        <v>21</v>
      </c>
      <c r="S5157" t="s">
        <v>21</v>
      </c>
    </row>
    <row r="5158" spans="1:19" hidden="1" x14ac:dyDescent="0.25">
      <c r="A5158">
        <v>21500207</v>
      </c>
      <c r="B5158" t="s">
        <v>18</v>
      </c>
      <c r="C5158" t="s">
        <v>23</v>
      </c>
      <c r="D5158">
        <v>82</v>
      </c>
      <c r="E5158">
        <v>70</v>
      </c>
      <c r="F5158">
        <v>12</v>
      </c>
      <c r="G5158">
        <v>4</v>
      </c>
      <c r="H5158" s="1">
        <v>4.2361111111111115E-3</v>
      </c>
      <c r="I5158">
        <v>2015</v>
      </c>
      <c r="J5158" t="s">
        <v>20</v>
      </c>
      <c r="K5158" s="2" t="str">
        <f>HYPERLINK("https://www.nba.com/stats/events?CFID=&amp;CFPARAMS=&amp;GameEventID=418&amp;GameID=0021500207&amp;Season=2015-16&amp;flag=1&amp;title=Leonard%20%20Dunk%20(22%20PTS)%20(Parker%204%20AST)", "Leonard  Dunk (22 PTS) (Parker 4 AST)")</f>
        <v>Leonard  Dunk (22 PTS) (Parker 4 AST)</v>
      </c>
      <c r="L5158" s="2" t="str">
        <f>HYPERLINK("https://www.nba.com/game/...-vs-...-0021500207/play-by-play?watchFullGame=true", "SAS vs PHX - Q4 06:06.00")</f>
        <v>SAS vs PHX - Q4 06:06.00</v>
      </c>
      <c r="M5158">
        <v>0</v>
      </c>
      <c r="N5158">
        <v>0</v>
      </c>
      <c r="O5158">
        <v>1</v>
      </c>
      <c r="P5158">
        <v>0</v>
      </c>
      <c r="Q5158">
        <v>1</v>
      </c>
      <c r="R5158" t="s">
        <v>21</v>
      </c>
      <c r="S5158" t="s">
        <v>21</v>
      </c>
    </row>
    <row r="5159" spans="1:19" hidden="1" x14ac:dyDescent="0.25">
      <c r="A5159">
        <v>21500028</v>
      </c>
      <c r="B5159" t="s">
        <v>18</v>
      </c>
      <c r="C5159" t="s">
        <v>68</v>
      </c>
      <c r="D5159">
        <v>61</v>
      </c>
      <c r="E5159">
        <v>58</v>
      </c>
      <c r="F5159">
        <v>3</v>
      </c>
      <c r="G5159">
        <v>3</v>
      </c>
      <c r="H5159" s="1">
        <v>4.2361111111111115E-3</v>
      </c>
      <c r="I5159">
        <v>2015</v>
      </c>
      <c r="J5159" t="s">
        <v>20</v>
      </c>
      <c r="K5159" s="2" t="str">
        <f>HYPERLINK("https://www.nba.com/stats/events?CFID=&amp;CFPARAMS=&amp;GameEventID=277&amp;GameID=0021500028&amp;Season=2015-16&amp;flag=1&amp;title=Leonard%20%20Alley%20Oop%20Dunk%20(10%20PTS)%20(Duncan%201%20AST)", "Leonard  Alley Oop Dunk (10 PTS) (Duncan 1 AST)")</f>
        <v>Leonard  Alley Oop Dunk (10 PTS) (Duncan 1 AST)</v>
      </c>
      <c r="L5159" s="2" t="str">
        <f>HYPERLINK("https://www.nba.com/game/...-vs-...-0021500028/play-by-play?watchFullGame=true", "SAS vs BKN - Q3 06:06.00")</f>
        <v>SAS vs BKN - Q3 06:06.00</v>
      </c>
      <c r="M5159">
        <v>0</v>
      </c>
      <c r="N5159">
        <v>0</v>
      </c>
      <c r="O5159">
        <v>1</v>
      </c>
      <c r="P5159">
        <v>0</v>
      </c>
      <c r="Q5159">
        <v>1</v>
      </c>
      <c r="R5159" t="s">
        <v>21</v>
      </c>
      <c r="S5159" t="s">
        <v>21</v>
      </c>
    </row>
    <row r="5160" spans="1:19" hidden="1" x14ac:dyDescent="0.25">
      <c r="A5160">
        <v>41200407</v>
      </c>
      <c r="B5160" t="s">
        <v>18</v>
      </c>
      <c r="C5160" t="s">
        <v>22</v>
      </c>
      <c r="D5160">
        <v>11</v>
      </c>
      <c r="E5160">
        <v>4</v>
      </c>
      <c r="F5160">
        <v>7</v>
      </c>
      <c r="G5160">
        <v>1</v>
      </c>
      <c r="H5160" s="1">
        <v>5.347222222222222E-3</v>
      </c>
      <c r="I5160" t="s">
        <v>53</v>
      </c>
      <c r="J5160" t="s">
        <v>20</v>
      </c>
      <c r="K5160" s="2" t="str">
        <f>HYPERLINK("https://www.nba.com/stats/events?CFID=&amp;CFPARAMS=&amp;GameEventID=31&amp;GameID=0041200407&amp;Season=2012-13&amp;flag=1&amp;title=Leonard%201'%20Driving%20Layup%20(2%20PTS)", "Leonard 1' Driving Layup (2 PTS)")</f>
        <v>Leonard 1' Driving Layup (2 PTS)</v>
      </c>
      <c r="L5160" s="2" t="str">
        <f>HYPERLINK("https://www.nba.com/game/...-vs-...-0041200407/play-by-play?watchFullGame=true", "SAS vs MIA - Q1 07:42.00")</f>
        <v>SAS vs MIA - Q1 07:42.00</v>
      </c>
      <c r="M5160">
        <v>1</v>
      </c>
      <c r="N5160">
        <v>7</v>
      </c>
      <c r="O5160">
        <v>7</v>
      </c>
      <c r="P5160">
        <v>7</v>
      </c>
      <c r="Q5160">
        <v>7</v>
      </c>
      <c r="R5160" t="s">
        <v>21</v>
      </c>
      <c r="S5160" t="s">
        <v>21</v>
      </c>
    </row>
    <row r="5161" spans="1:19" hidden="1" x14ac:dyDescent="0.25">
      <c r="A5161">
        <v>41500232</v>
      </c>
      <c r="B5161" t="s">
        <v>18</v>
      </c>
      <c r="C5161" t="s">
        <v>22</v>
      </c>
      <c r="D5161">
        <v>60</v>
      </c>
      <c r="E5161">
        <v>66</v>
      </c>
      <c r="F5161">
        <v>6</v>
      </c>
      <c r="G5161">
        <v>3</v>
      </c>
      <c r="H5161" s="1">
        <v>5.37037037037037E-3</v>
      </c>
      <c r="I5161" t="s">
        <v>57</v>
      </c>
      <c r="J5161" t="s">
        <v>20</v>
      </c>
      <c r="K5161" s="2" t="str">
        <f>HYPERLINK("https://www.nba.com/stats/events?CFID=&amp;CFPARAMS=&amp;GameEventID=296&amp;GameID=0041500232&amp;Season=2015-16&amp;flag=1&amp;title=Leonard%201'%20Driving%20Layup%20(10%20PTS)%20(Green%201%20AST)", "Leonard 1' Driving Layup (10 PTS) (Green 1 AST)")</f>
        <v>Leonard 1' Driving Layup (10 PTS) (Green 1 AST)</v>
      </c>
      <c r="L5161" s="2" t="str">
        <f>HYPERLINK("https://www.nba.com/game/...-vs-...-0041500232/play-by-play?watchFullGame=true", "SAS vs OKC - Q3 07:44.00")</f>
        <v>SAS vs OKC - Q3 07:44.00</v>
      </c>
      <c r="M5161">
        <v>1</v>
      </c>
      <c r="N5161">
        <v>-7</v>
      </c>
      <c r="O5161">
        <v>-10</v>
      </c>
      <c r="P5161">
        <v>-7</v>
      </c>
      <c r="Q5161">
        <v>-10</v>
      </c>
      <c r="R5161" t="s">
        <v>21</v>
      </c>
      <c r="S5161" t="s">
        <v>21</v>
      </c>
    </row>
    <row r="5162" spans="1:19" hidden="1" x14ac:dyDescent="0.25">
      <c r="A5162">
        <v>21400906</v>
      </c>
      <c r="B5162" t="s">
        <v>18</v>
      </c>
      <c r="C5162" t="s">
        <v>23</v>
      </c>
      <c r="D5162">
        <v>39</v>
      </c>
      <c r="E5162">
        <v>33</v>
      </c>
      <c r="F5162">
        <v>6</v>
      </c>
      <c r="G5162">
        <v>2</v>
      </c>
      <c r="H5162" s="1">
        <v>4.2708333333333331E-3</v>
      </c>
      <c r="I5162">
        <v>2014</v>
      </c>
      <c r="J5162" t="s">
        <v>20</v>
      </c>
      <c r="K5162" s="2" t="str">
        <f>HYPERLINK("https://www.nba.com/stats/events?CFID=&amp;CFPARAMS=&amp;GameEventID=193&amp;GameID=0021400906&amp;Season=2014-15&amp;flag=1&amp;title=Leonard%20%20Dunk%20(14%20PTS)", "Leonard  Dunk (14 PTS)")</f>
        <v>Leonard  Dunk (14 PTS)</v>
      </c>
      <c r="L5162" s="2" t="str">
        <f>HYPERLINK("https://www.nba.com/game/...-vs-...-0021400906/play-by-play?watchFullGame=true", "SAS vs SAC - Q2 06:09.00")</f>
        <v>SAS vs SAC - Q2 06:09.00</v>
      </c>
      <c r="M5162">
        <v>0</v>
      </c>
      <c r="N5162">
        <v>0</v>
      </c>
      <c r="O5162">
        <v>1</v>
      </c>
      <c r="P5162">
        <v>0</v>
      </c>
      <c r="Q5162">
        <v>1</v>
      </c>
      <c r="R5162" t="s">
        <v>21</v>
      </c>
      <c r="S5162" t="s">
        <v>21</v>
      </c>
    </row>
    <row r="5163" spans="1:19" hidden="1" x14ac:dyDescent="0.25">
      <c r="A5163">
        <v>21600336</v>
      </c>
      <c r="B5163" t="s">
        <v>18</v>
      </c>
      <c r="C5163" t="s">
        <v>25</v>
      </c>
      <c r="D5163">
        <v>23</v>
      </c>
      <c r="E5163">
        <v>32</v>
      </c>
      <c r="F5163">
        <v>9</v>
      </c>
      <c r="G5163">
        <v>2</v>
      </c>
      <c r="H5163" s="1">
        <v>4.3055555555555555E-3</v>
      </c>
      <c r="I5163">
        <v>2016</v>
      </c>
      <c r="J5163" t="s">
        <v>20</v>
      </c>
      <c r="K5163" s="2" t="str">
        <f>HYPERLINK("https://www.nba.com/stats/events?CFID=&amp;CFPARAMS=&amp;GameEventID=184&amp;GameID=0021600336&amp;Season=2016-17&amp;flag=1&amp;title=Leonard%20%20Driving%20Dunk%20(4%20PTS)%20(Green%201%20AST)", "Leonard  Driving Dunk (4 PTS) (Green 1 AST)")</f>
        <v>Leonard  Driving Dunk (4 PTS) (Green 1 AST)</v>
      </c>
      <c r="L5163" s="2" t="str">
        <f>HYPERLINK("https://www.nba.com/game/...-vs-...-0021600336/play-by-play?watchFullGame=true", "SAS vs CHI - Q2 06:12.00")</f>
        <v>SAS vs CHI - Q2 06:12.00</v>
      </c>
      <c r="M5163">
        <v>0</v>
      </c>
      <c r="N5163">
        <v>0</v>
      </c>
      <c r="O5163">
        <v>1</v>
      </c>
      <c r="P5163">
        <v>0</v>
      </c>
      <c r="Q5163">
        <v>1</v>
      </c>
      <c r="R5163" t="s">
        <v>21</v>
      </c>
      <c r="S5163" t="s">
        <v>21</v>
      </c>
    </row>
    <row r="5164" spans="1:19" hidden="1" x14ac:dyDescent="0.25">
      <c r="A5164">
        <v>21500156</v>
      </c>
      <c r="B5164" t="s">
        <v>18</v>
      </c>
      <c r="C5164" t="s">
        <v>50</v>
      </c>
      <c r="D5164">
        <v>51</v>
      </c>
      <c r="E5164">
        <v>38</v>
      </c>
      <c r="F5164">
        <v>13</v>
      </c>
      <c r="G5164">
        <v>3</v>
      </c>
      <c r="H5164" s="1">
        <v>4.3287037037037035E-3</v>
      </c>
      <c r="I5164">
        <v>2015</v>
      </c>
      <c r="J5164" t="s">
        <v>20</v>
      </c>
      <c r="K5164" s="2" t="str">
        <f>HYPERLINK("https://www.nba.com/stats/events?CFID=&amp;CFPARAMS=&amp;GameEventID=292&amp;GameID=0021500156&amp;Season=2015-16&amp;flag=1&amp;title=Leonard%20%20Running%20Dunk%20(11%20PTS)%20(Green%202%20AST)", "Leonard  Running Dunk (11 PTS) (Green 2 AST)")</f>
        <v>Leonard  Running Dunk (11 PTS) (Green 2 AST)</v>
      </c>
      <c r="L5164" s="2" t="str">
        <f>HYPERLINK("https://www.nba.com/game/...-vs-...-0021500156/play-by-play?watchFullGame=true", "SAS vs POR - Q3 06:14.00")</f>
        <v>SAS vs POR - Q3 06:14.00</v>
      </c>
      <c r="M5164">
        <v>0</v>
      </c>
      <c r="N5164">
        <v>0</v>
      </c>
      <c r="O5164">
        <v>1</v>
      </c>
      <c r="P5164">
        <v>0</v>
      </c>
      <c r="Q5164">
        <v>1</v>
      </c>
      <c r="R5164" t="s">
        <v>21</v>
      </c>
      <c r="S5164" t="s">
        <v>21</v>
      </c>
    </row>
    <row r="5165" spans="1:19" hidden="1" x14ac:dyDescent="0.25">
      <c r="A5165">
        <v>21401150</v>
      </c>
      <c r="B5165" t="s">
        <v>18</v>
      </c>
      <c r="C5165" t="s">
        <v>23</v>
      </c>
      <c r="D5165">
        <v>17</v>
      </c>
      <c r="E5165">
        <v>7</v>
      </c>
      <c r="F5165">
        <v>10</v>
      </c>
      <c r="G5165">
        <v>1</v>
      </c>
      <c r="H5165" s="1">
        <v>4.3287037037037035E-3</v>
      </c>
      <c r="I5165">
        <v>2014</v>
      </c>
      <c r="J5165" t="s">
        <v>20</v>
      </c>
      <c r="K5165" s="2" t="str">
        <f>HYPERLINK("https://www.nba.com/stats/events?CFID=&amp;CFPARAMS=&amp;GameEventID=60&amp;GameID=0021401150&amp;Season=2014-15&amp;flag=1&amp;title=Leonard%20%20Dunk%20(11%20PTS)", "Leonard  Dunk (11 PTS)")</f>
        <v>Leonard  Dunk (11 PTS)</v>
      </c>
      <c r="L5165" s="2" t="str">
        <f>HYPERLINK("https://www.nba.com/game/...-vs-...-0021401150/play-by-play?watchFullGame=true", "SAS vs GSW - Q1 06:14.00")</f>
        <v>SAS vs GSW - Q1 06:14.00</v>
      </c>
      <c r="M5165">
        <v>0</v>
      </c>
      <c r="N5165">
        <v>0</v>
      </c>
      <c r="O5165">
        <v>1</v>
      </c>
      <c r="P5165">
        <v>0</v>
      </c>
      <c r="Q5165">
        <v>1</v>
      </c>
      <c r="R5165" t="s">
        <v>21</v>
      </c>
      <c r="S5165" t="s">
        <v>21</v>
      </c>
    </row>
    <row r="5166" spans="1:19" hidden="1" x14ac:dyDescent="0.25">
      <c r="A5166">
        <v>21500653</v>
      </c>
      <c r="B5166" t="s">
        <v>18</v>
      </c>
      <c r="C5166" t="s">
        <v>46</v>
      </c>
      <c r="D5166">
        <v>10</v>
      </c>
      <c r="E5166">
        <v>12</v>
      </c>
      <c r="F5166">
        <v>2</v>
      </c>
      <c r="G5166">
        <v>1</v>
      </c>
      <c r="H5166" s="1">
        <v>4.4675925925925924E-3</v>
      </c>
      <c r="I5166">
        <v>2015</v>
      </c>
      <c r="J5166" t="s">
        <v>20</v>
      </c>
      <c r="K5166" s="2" t="str">
        <f>HYPERLINK("https://www.nba.com/stats/events?CFID=&amp;CFPARAMS=&amp;GameEventID=46&amp;GameID=0021500653&amp;Season=2015-16&amp;flag=1&amp;title=Leonard%20%20Cutting%20Dunk%20Shot%20(2%20PTS)%20(Duncan%201%20AST)", "Leonard  Cutting Dunk Shot (2 PTS) (Duncan 1 AST)")</f>
        <v>Leonard  Cutting Dunk Shot (2 PTS) (Duncan 1 AST)</v>
      </c>
      <c r="L5166" s="2" t="str">
        <f>HYPERLINK("https://www.nba.com/game/...-vs-...-0021500653/play-by-play?watchFullGame=true", "SAS vs LAL - Q1 06:26.00")</f>
        <v>SAS vs LAL - Q1 06:26.00</v>
      </c>
      <c r="M5166">
        <v>0</v>
      </c>
      <c r="N5166">
        <v>0</v>
      </c>
      <c r="O5166">
        <v>1</v>
      </c>
      <c r="P5166">
        <v>0</v>
      </c>
      <c r="Q5166">
        <v>1</v>
      </c>
      <c r="R5166" t="s">
        <v>21</v>
      </c>
      <c r="S5166" t="s">
        <v>21</v>
      </c>
    </row>
    <row r="5167" spans="1:19" hidden="1" x14ac:dyDescent="0.25">
      <c r="A5167">
        <v>41200153</v>
      </c>
      <c r="B5167" t="s">
        <v>18</v>
      </c>
      <c r="C5167" t="s">
        <v>24</v>
      </c>
      <c r="D5167">
        <v>69</v>
      </c>
      <c r="E5167">
        <v>53</v>
      </c>
      <c r="F5167">
        <v>16</v>
      </c>
      <c r="G5167">
        <v>3</v>
      </c>
      <c r="H5167" s="1">
        <v>5.4745370370370373E-3</v>
      </c>
      <c r="I5167" t="s">
        <v>53</v>
      </c>
      <c r="J5167" t="s">
        <v>20</v>
      </c>
      <c r="K5167" s="2" t="str">
        <f>HYPERLINK("https://www.nba.com/stats/events?CFID=&amp;CFPARAMS=&amp;GameEventID=291&amp;GameID=0041200153&amp;Season=2012-13&amp;flag=1&amp;title=Leonard%201'%20Layup%20(8%20PTS)%20(Splitter%202%20AST)", "Leonard 1' Layup (8 PTS) (Splitter 2 AST)")</f>
        <v>Leonard 1' Layup (8 PTS) (Splitter 2 AST)</v>
      </c>
      <c r="L5167" s="2" t="str">
        <f>HYPERLINK("https://www.nba.com/game/...-vs-...-0041200153/play-by-play?watchFullGame=true", "SAS vs LAL - Q3 07:53.00")</f>
        <v>SAS vs LAL - Q3 07:53.00</v>
      </c>
      <c r="M5167">
        <v>1</v>
      </c>
      <c r="N5167">
        <v>0</v>
      </c>
      <c r="O5167">
        <v>14</v>
      </c>
      <c r="P5167">
        <v>0</v>
      </c>
      <c r="Q5167">
        <v>14</v>
      </c>
      <c r="R5167" t="s">
        <v>21</v>
      </c>
      <c r="S5167" t="s">
        <v>21</v>
      </c>
    </row>
    <row r="5168" spans="1:19" hidden="1" x14ac:dyDescent="0.25">
      <c r="A5168">
        <v>21500172</v>
      </c>
      <c r="B5168" t="s">
        <v>18</v>
      </c>
      <c r="C5168" t="s">
        <v>32</v>
      </c>
      <c r="D5168">
        <v>8</v>
      </c>
      <c r="E5168">
        <v>4</v>
      </c>
      <c r="F5168">
        <v>4</v>
      </c>
      <c r="G5168">
        <v>1</v>
      </c>
      <c r="H5168" s="1">
        <v>5.4976851851851853E-3</v>
      </c>
      <c r="I5168">
        <v>2015</v>
      </c>
      <c r="J5168" t="s">
        <v>20</v>
      </c>
      <c r="K5168" s="2" t="str">
        <f>HYPERLINK("https://www.nba.com/stats/events?CFID=&amp;CFPARAMS=&amp;GameEventID=33&amp;GameID=0021500172&amp;Season=2015-16&amp;flag=1&amp;title=Leonard%201'%20Alley%20Oop%20Layup%20(2%20PTS)%20(Duncan%201%20AST)", "Leonard 1' Alley Oop Layup (2 PTS) (Duncan 1 AST)")</f>
        <v>Leonard 1' Alley Oop Layup (2 PTS) (Duncan 1 AST)</v>
      </c>
      <c r="L5168" s="2" t="str">
        <f>HYPERLINK("https://www.nba.com/game/...-vs-...-0021500172/play-by-play?watchFullGame=true", "SAS vs DEN - Q1 07:55.00")</f>
        <v>SAS vs DEN - Q1 07:55.00</v>
      </c>
      <c r="M5168">
        <v>1</v>
      </c>
      <c r="N5168">
        <v>-12</v>
      </c>
      <c r="O5168">
        <v>8</v>
      </c>
      <c r="P5168">
        <v>-12</v>
      </c>
      <c r="Q5168">
        <v>8</v>
      </c>
      <c r="R5168" t="s">
        <v>21</v>
      </c>
      <c r="S5168" t="s">
        <v>21</v>
      </c>
    </row>
    <row r="5169" spans="1:19" hidden="1" x14ac:dyDescent="0.25">
      <c r="A5169">
        <v>21400949</v>
      </c>
      <c r="B5169" t="s">
        <v>18</v>
      </c>
      <c r="C5169" t="s">
        <v>23</v>
      </c>
      <c r="D5169">
        <v>45</v>
      </c>
      <c r="E5169">
        <v>27</v>
      </c>
      <c r="F5169">
        <v>18</v>
      </c>
      <c r="G5169">
        <v>2</v>
      </c>
      <c r="H5169" s="1">
        <v>4.4791666666666669E-3</v>
      </c>
      <c r="I5169">
        <v>2014</v>
      </c>
      <c r="J5169" t="s">
        <v>20</v>
      </c>
      <c r="K5169" s="2" t="str">
        <f>HYPERLINK("https://www.nba.com/stats/events?CFID=&amp;CFPARAMS=&amp;GameEventID=177&amp;GameID=0021400949&amp;Season=2014-15&amp;flag=1&amp;title=Leonard%20Dunk%20(8%20PTS)%20(Parker%203%20AST)", "Leonard Dunk (8 PTS) (Parker 3 AST)")</f>
        <v>Leonard Dunk (8 PTS) (Parker 3 AST)</v>
      </c>
      <c r="L5169" s="2" t="str">
        <f>HYPERLINK("https://www.nba.com/game/...-vs-...-0021400949/play-by-play?watchFullGame=true", "SAS vs TOR - Q2 06:27.00")</f>
        <v>SAS vs TOR - Q2 06:27.00</v>
      </c>
      <c r="M5169">
        <v>0</v>
      </c>
      <c r="N5169">
        <v>0</v>
      </c>
      <c r="O5169">
        <v>1</v>
      </c>
      <c r="P5169">
        <v>0</v>
      </c>
      <c r="Q5169">
        <v>1</v>
      </c>
      <c r="R5169" t="s">
        <v>21</v>
      </c>
      <c r="S5169" t="s">
        <v>21</v>
      </c>
    </row>
    <row r="5170" spans="1:19" hidden="1" x14ac:dyDescent="0.25">
      <c r="A5170">
        <v>21700502</v>
      </c>
      <c r="B5170" t="s">
        <v>18</v>
      </c>
      <c r="C5170" t="s">
        <v>44</v>
      </c>
      <c r="D5170">
        <v>10</v>
      </c>
      <c r="E5170">
        <v>4</v>
      </c>
      <c r="F5170">
        <v>6</v>
      </c>
      <c r="G5170">
        <v>1</v>
      </c>
      <c r="H5170" s="1">
        <v>5.4976851851851853E-3</v>
      </c>
      <c r="I5170">
        <v>2017</v>
      </c>
      <c r="J5170" t="s">
        <v>20</v>
      </c>
      <c r="K5170" s="2" t="str">
        <f>HYPERLINK("https://www.nba.com/stats/events?CFID=&amp;CFPARAMS=&amp;GameEventID=40&amp;GameID=0021700502&amp;Season=2017-18&amp;flag=1&amp;title=Leonard%201'%20Driving%20Reverse%20Layup%20(4%20PTS)", "Leonard 1' Driving Reverse Layup (4 PTS)")</f>
        <v>Leonard 1' Driving Reverse Layup (4 PTS)</v>
      </c>
      <c r="L5170" s="2" t="str">
        <f>HYPERLINK("https://www.nba.com/game/...-vs-...-0021700502/play-by-play?watchFullGame=true", "SAS vs BKN - Q1 07:55.00")</f>
        <v>SAS vs BKN - Q1 07:55.00</v>
      </c>
      <c r="M5170">
        <v>1</v>
      </c>
      <c r="N5170">
        <v>6</v>
      </c>
      <c r="O5170">
        <v>-2</v>
      </c>
      <c r="P5170">
        <v>6</v>
      </c>
      <c r="Q5170">
        <v>-2</v>
      </c>
      <c r="R5170" t="s">
        <v>21</v>
      </c>
      <c r="S5170" t="s">
        <v>21</v>
      </c>
    </row>
    <row r="5171" spans="1:19" hidden="1" x14ac:dyDescent="0.25">
      <c r="A5171">
        <v>21600353</v>
      </c>
      <c r="B5171" t="s">
        <v>18</v>
      </c>
      <c r="C5171" t="s">
        <v>50</v>
      </c>
      <c r="D5171">
        <v>58</v>
      </c>
      <c r="E5171">
        <v>38</v>
      </c>
      <c r="F5171">
        <v>20</v>
      </c>
      <c r="G5171">
        <v>2</v>
      </c>
      <c r="H5171" s="1">
        <v>4.5138888888888885E-3</v>
      </c>
      <c r="I5171">
        <v>2016</v>
      </c>
      <c r="J5171" t="s">
        <v>20</v>
      </c>
      <c r="K5171" s="2" t="str">
        <f>HYPERLINK("https://www.nba.com/stats/events?CFID=&amp;CFPARAMS=&amp;GameEventID=161&amp;GameID=0021600353&amp;Season=2016-17&amp;flag=1&amp;title=Leonard%20%20Running%20Dunk%20(14%20PTS)%20(Green%201%20AST)", "Leonard  Running Dunk (14 PTS) (Green 1 AST)")</f>
        <v>Leonard  Running Dunk (14 PTS) (Green 1 AST)</v>
      </c>
      <c r="L5171" s="2" t="str">
        <f>HYPERLINK("https://www.nba.com/game/...-vs-...-0021600353/play-by-play?watchFullGame=true", "SAS vs BKN - Q2 06:30.00")</f>
        <v>SAS vs BKN - Q2 06:30.00</v>
      </c>
      <c r="M5171">
        <v>0</v>
      </c>
      <c r="N5171">
        <v>0</v>
      </c>
      <c r="O5171">
        <v>1</v>
      </c>
      <c r="P5171">
        <v>0</v>
      </c>
      <c r="Q5171">
        <v>1</v>
      </c>
      <c r="R5171" t="s">
        <v>21</v>
      </c>
      <c r="S5171" t="s">
        <v>21</v>
      </c>
    </row>
    <row r="5172" spans="1:19" hidden="1" x14ac:dyDescent="0.25">
      <c r="A5172">
        <v>21300338</v>
      </c>
      <c r="B5172" t="s">
        <v>18</v>
      </c>
      <c r="C5172" t="s">
        <v>24</v>
      </c>
      <c r="D5172">
        <v>66</v>
      </c>
      <c r="E5172">
        <v>66</v>
      </c>
      <c r="F5172">
        <v>0</v>
      </c>
      <c r="G5172">
        <v>3</v>
      </c>
      <c r="H5172" s="1">
        <v>5.5324074074074078E-3</v>
      </c>
      <c r="I5172">
        <v>2013</v>
      </c>
      <c r="J5172" t="s">
        <v>20</v>
      </c>
      <c r="K5172" s="2" t="str">
        <f>HYPERLINK("https://www.nba.com/stats/events?CFID=&amp;CFPARAMS=&amp;GameEventID=277&amp;GameID=0021300338&amp;Season=2013-14&amp;flag=1&amp;title=Leonard%201'%20Layup%20(12%20PTS)", "Leonard 1' Layup (12 PTS)")</f>
        <v>Leonard 1' Layup (12 PTS)</v>
      </c>
      <c r="L5172" s="2" t="str">
        <f>HYPERLINK("https://www.nba.com/game/...-vs-...-0021300338/play-by-play?watchFullGame=true", "SAS vs MIN - Q3 07:58.00")</f>
        <v>SAS vs MIN - Q3 07:58.00</v>
      </c>
      <c r="M5172">
        <v>1</v>
      </c>
      <c r="N5172">
        <v>9</v>
      </c>
      <c r="O5172">
        <v>-5</v>
      </c>
      <c r="P5172">
        <v>9</v>
      </c>
      <c r="Q5172">
        <v>-5</v>
      </c>
      <c r="R5172" t="s">
        <v>21</v>
      </c>
      <c r="S5172" t="s">
        <v>21</v>
      </c>
    </row>
    <row r="5173" spans="1:19" hidden="1" x14ac:dyDescent="0.25">
      <c r="A5173">
        <v>21500103</v>
      </c>
      <c r="B5173" t="s">
        <v>18</v>
      </c>
      <c r="C5173" t="s">
        <v>25</v>
      </c>
      <c r="D5173">
        <v>90</v>
      </c>
      <c r="E5173">
        <v>78</v>
      </c>
      <c r="F5173">
        <v>12</v>
      </c>
      <c r="G5173">
        <v>4</v>
      </c>
      <c r="H5173" s="1">
        <v>4.5370370370370373E-3</v>
      </c>
      <c r="I5173">
        <v>2015</v>
      </c>
      <c r="J5173" t="s">
        <v>20</v>
      </c>
      <c r="K5173" s="2" t="str">
        <f>HYPERLINK("https://www.nba.com/stats/events?CFID=&amp;CFPARAMS=&amp;GameEventID=433&amp;GameID=0021500103&amp;Season=2015-16&amp;flag=1&amp;title=Leonard%20%20Driving%20Dunk%20(22%20PTS)%20(Mills%205%20AST)", "Leonard  Driving Dunk (22 PTS) (Mills 5 AST)")</f>
        <v>Leonard  Driving Dunk (22 PTS) (Mills 5 AST)</v>
      </c>
      <c r="L5173" s="2" t="str">
        <f>HYPERLINK("https://www.nba.com/game/...-vs-...-0021500103/play-by-play?watchFullGame=true", "SAS vs SAC - Q4 06:32.00")</f>
        <v>SAS vs SAC - Q4 06:32.00</v>
      </c>
      <c r="M5173">
        <v>0</v>
      </c>
      <c r="N5173">
        <v>0</v>
      </c>
      <c r="O5173">
        <v>1</v>
      </c>
      <c r="P5173">
        <v>0</v>
      </c>
      <c r="Q5173">
        <v>1</v>
      </c>
      <c r="R5173" t="s">
        <v>21</v>
      </c>
      <c r="S5173" t="s">
        <v>21</v>
      </c>
    </row>
    <row r="5174" spans="1:19" hidden="1" x14ac:dyDescent="0.25">
      <c r="A5174">
        <v>41200151</v>
      </c>
      <c r="B5174" t="s">
        <v>18</v>
      </c>
      <c r="C5174" t="s">
        <v>24</v>
      </c>
      <c r="D5174">
        <v>76</v>
      </c>
      <c r="E5174">
        <v>63</v>
      </c>
      <c r="F5174">
        <v>13</v>
      </c>
      <c r="G5174">
        <v>4</v>
      </c>
      <c r="H5174" s="1">
        <v>5.5671296296296293E-3</v>
      </c>
      <c r="I5174" t="s">
        <v>53</v>
      </c>
      <c r="J5174" t="s">
        <v>20</v>
      </c>
      <c r="K5174" s="2" t="str">
        <f>HYPERLINK("https://www.nba.com/stats/events?CFID=&amp;CFPARAMS=&amp;GameEventID=406&amp;GameID=0041200151&amp;Season=2012-13&amp;flag=1&amp;title=Leonard%201'%20Layup%20(5%20PTS)%20(Parker%207%20AST)", "Leonard 1' Layup (5 PTS) (Parker 7 AST)")</f>
        <v>Leonard 1' Layup (5 PTS) (Parker 7 AST)</v>
      </c>
      <c r="L5174" s="2" t="str">
        <f>HYPERLINK("https://www.nba.com/game/...-vs-...-0041200151/play-by-play?watchFullGame=true", "SAS vs LAL - Q4 08:01.00")</f>
        <v>SAS vs LAL - Q4 08:01.00</v>
      </c>
      <c r="M5174">
        <v>1</v>
      </c>
      <c r="N5174">
        <v>0</v>
      </c>
      <c r="O5174">
        <v>11</v>
      </c>
      <c r="P5174">
        <v>0</v>
      </c>
      <c r="Q5174">
        <v>11</v>
      </c>
      <c r="R5174" t="s">
        <v>21</v>
      </c>
      <c r="S5174" t="s">
        <v>21</v>
      </c>
    </row>
    <row r="5175" spans="1:19" hidden="1" x14ac:dyDescent="0.25">
      <c r="A5175">
        <v>21500450</v>
      </c>
      <c r="B5175" t="s">
        <v>18</v>
      </c>
      <c r="C5175" t="s">
        <v>33</v>
      </c>
      <c r="D5175">
        <v>10</v>
      </c>
      <c r="E5175">
        <v>6</v>
      </c>
      <c r="F5175">
        <v>4</v>
      </c>
      <c r="G5175">
        <v>1</v>
      </c>
      <c r="H5175" s="1">
        <v>5.5671296296296293E-3</v>
      </c>
      <c r="I5175">
        <v>2015</v>
      </c>
      <c r="J5175" t="s">
        <v>20</v>
      </c>
      <c r="K5175" s="2" t="str">
        <f>HYPERLINK("https://www.nba.com/stats/events?CFID=&amp;CFPARAMS=&amp;GameEventID=36&amp;GameID=0021500450&amp;Season=2015-16&amp;flag=1&amp;title=Leonard%201'%20Putback%20Layup%20(4%20PTS)", "Leonard 1' Putback Layup (4 PTS)")</f>
        <v>Leonard 1' Putback Layup (4 PTS)</v>
      </c>
      <c r="L5175" s="2" t="str">
        <f>HYPERLINK("https://www.nba.com/game/...-vs-...-0021500450/play-by-play?watchFullGame=true", "SAS vs DEN - Q1 08:01.00")</f>
        <v>SAS vs DEN - Q1 08:01.00</v>
      </c>
      <c r="M5175">
        <v>1</v>
      </c>
      <c r="N5175">
        <v>10</v>
      </c>
      <c r="O5175">
        <v>2</v>
      </c>
      <c r="P5175">
        <v>10</v>
      </c>
      <c r="Q5175">
        <v>2</v>
      </c>
      <c r="R5175" t="s">
        <v>21</v>
      </c>
      <c r="S5175" t="s">
        <v>21</v>
      </c>
    </row>
    <row r="5176" spans="1:19" hidden="1" x14ac:dyDescent="0.25">
      <c r="A5176">
        <v>41400161</v>
      </c>
      <c r="B5176" t="s">
        <v>18</v>
      </c>
      <c r="C5176" t="s">
        <v>68</v>
      </c>
      <c r="D5176">
        <v>10</v>
      </c>
      <c r="E5176">
        <v>18</v>
      </c>
      <c r="F5176">
        <v>8</v>
      </c>
      <c r="G5176">
        <v>1</v>
      </c>
      <c r="H5176" s="1">
        <v>4.5601851851851853E-3</v>
      </c>
      <c r="I5176" t="s">
        <v>56</v>
      </c>
      <c r="J5176" t="s">
        <v>20</v>
      </c>
      <c r="K5176" s="2" t="str">
        <f>HYPERLINK("https://www.nba.com/stats/events?CFID=&amp;CFPARAMS=&amp;GameEventID=58&amp;GameID=0041400161&amp;Season=2014-15&amp;flag=1&amp;title=Leonard%20%20Alley%20Oop%20Dunk%20(2%20PTS)%20(Duncan%202%20AST)", "Leonard  Alley Oop Dunk (2 PTS) (Duncan 2 AST)")</f>
        <v>Leonard  Alley Oop Dunk (2 PTS) (Duncan 2 AST)</v>
      </c>
      <c r="L5176" s="2" t="str">
        <f>HYPERLINK("https://www.nba.com/game/...-vs-...-0041400161/play-by-play?watchFullGame=true", "SAS vs LAC - Q1 06:34.00")</f>
        <v>SAS vs LAC - Q1 06:34.00</v>
      </c>
      <c r="M5176">
        <v>0</v>
      </c>
      <c r="N5176">
        <v>0</v>
      </c>
      <c r="O5176">
        <v>1</v>
      </c>
      <c r="P5176">
        <v>0</v>
      </c>
      <c r="Q5176">
        <v>1</v>
      </c>
      <c r="R5176" t="s">
        <v>21</v>
      </c>
      <c r="S5176" t="s">
        <v>21</v>
      </c>
    </row>
    <row r="5177" spans="1:19" hidden="1" x14ac:dyDescent="0.25">
      <c r="A5177">
        <v>21300965</v>
      </c>
      <c r="B5177" t="s">
        <v>18</v>
      </c>
      <c r="C5177" t="s">
        <v>24</v>
      </c>
      <c r="D5177">
        <v>9</v>
      </c>
      <c r="E5177">
        <v>2</v>
      </c>
      <c r="F5177">
        <v>7</v>
      </c>
      <c r="G5177">
        <v>1</v>
      </c>
      <c r="H5177" s="1">
        <v>5.5902777777777773E-3</v>
      </c>
      <c r="I5177">
        <v>2013</v>
      </c>
      <c r="J5177" t="s">
        <v>20</v>
      </c>
      <c r="K5177" s="2" t="str">
        <f>HYPERLINK("https://www.nba.com/stats/events?CFID=&amp;CFPARAMS=&amp;GameEventID=32&amp;GameID=0021300965&amp;Season=2013-14&amp;flag=1&amp;title=Leonard%201'%20Layup%20(6%20PTS)%20(Duncan%202%20AST)", "Leonard 1' Layup (6 PTS) (Duncan 2 AST)")</f>
        <v>Leonard 1' Layup (6 PTS) (Duncan 2 AST)</v>
      </c>
      <c r="L5177" s="2" t="str">
        <f>HYPERLINK("https://www.nba.com/game/...-vs-...-0021300965/play-by-play?watchFullGame=true", "SAS vs POR - Q1 08:03.00")</f>
        <v>SAS vs POR - Q1 08:03.00</v>
      </c>
      <c r="M5177">
        <v>1</v>
      </c>
      <c r="N5177">
        <v>-8</v>
      </c>
      <c r="O5177">
        <v>9</v>
      </c>
      <c r="P5177">
        <v>-8</v>
      </c>
      <c r="Q5177">
        <v>9</v>
      </c>
      <c r="R5177" t="s">
        <v>21</v>
      </c>
      <c r="S5177" t="s">
        <v>21</v>
      </c>
    </row>
    <row r="5178" spans="1:19" hidden="1" x14ac:dyDescent="0.25">
      <c r="A5178">
        <v>21800008</v>
      </c>
      <c r="B5178" t="s">
        <v>18</v>
      </c>
      <c r="C5178" t="s">
        <v>51</v>
      </c>
      <c r="D5178">
        <v>7</v>
      </c>
      <c r="E5178">
        <v>6</v>
      </c>
      <c r="F5178">
        <v>1</v>
      </c>
      <c r="G5178">
        <v>1</v>
      </c>
      <c r="H5178" s="1">
        <v>5.5902777777777773E-3</v>
      </c>
      <c r="I5178">
        <v>2018</v>
      </c>
      <c r="J5178" t="s">
        <v>48</v>
      </c>
      <c r="K5178" s="2" t="str">
        <f>HYPERLINK("https://www.nba.com/stats/events?CFID=&amp;CFPARAMS=&amp;GameEventID=53&amp;GameID=0021800008&amp;Season=2018-19&amp;flag=1&amp;title=Leonard%201'%20Running%20Layup%20(2%20PTS)%20(Lowry%202%20AST)", "Leonard 1' Running Layup (2 PTS) (Lowry 2 AST)")</f>
        <v>Leonard 1' Running Layup (2 PTS) (Lowry 2 AST)</v>
      </c>
      <c r="L5178" s="2" t="str">
        <f>HYPERLINK("https://www.nba.com/game/...-vs-...-0021800008/play-by-play?watchFullGame=true", "TOR vs CLE - Q1 08:03.00")</f>
        <v>TOR vs CLE - Q1 08:03.00</v>
      </c>
      <c r="M5178">
        <v>1</v>
      </c>
      <c r="N5178">
        <v>2</v>
      </c>
      <c r="O5178">
        <v>12</v>
      </c>
      <c r="P5178">
        <v>2</v>
      </c>
      <c r="Q5178">
        <v>12</v>
      </c>
      <c r="R5178" t="s">
        <v>21</v>
      </c>
      <c r="S5178" t="s">
        <v>21</v>
      </c>
    </row>
    <row r="5179" spans="1:19" hidden="1" x14ac:dyDescent="0.25">
      <c r="A5179">
        <v>21600717</v>
      </c>
      <c r="B5179" t="s">
        <v>18</v>
      </c>
      <c r="C5179" t="s">
        <v>50</v>
      </c>
      <c r="D5179">
        <v>68</v>
      </c>
      <c r="E5179">
        <v>65</v>
      </c>
      <c r="F5179">
        <v>3</v>
      </c>
      <c r="G5179">
        <v>3</v>
      </c>
      <c r="H5179" s="1">
        <v>4.5717592592592589E-3</v>
      </c>
      <c r="I5179">
        <v>2016</v>
      </c>
      <c r="J5179" t="s">
        <v>20</v>
      </c>
      <c r="K5179" s="2" t="str">
        <f>HYPERLINK("https://www.nba.com/stats/events?CFID=&amp;CFPARAMS=&amp;GameEventID=310&amp;GameID=0021600717&amp;Season=2016-17&amp;flag=1&amp;title=Leonard%20%20Running%20Dunk%20(16%20PTS)%20(Bertans%201%20AST)", "Leonard  Running Dunk (16 PTS) (Bertans 1 AST)")</f>
        <v>Leonard  Running Dunk (16 PTS) (Bertans 1 AST)</v>
      </c>
      <c r="L5179" s="2" t="str">
        <f>HYPERLINK("https://www.nba.com/game/...-vs-...-0021600717/play-by-play?watchFullGame=true", "SAS vs DAL - Q3 06:35.00")</f>
        <v>SAS vs DAL - Q3 06:35.00</v>
      </c>
      <c r="M5179">
        <v>0</v>
      </c>
      <c r="N5179">
        <v>0</v>
      </c>
      <c r="O5179">
        <v>1</v>
      </c>
      <c r="P5179">
        <v>0</v>
      </c>
      <c r="Q5179">
        <v>1</v>
      </c>
      <c r="R5179" t="s">
        <v>21</v>
      </c>
      <c r="S5179" t="s">
        <v>21</v>
      </c>
    </row>
    <row r="5180" spans="1:19" hidden="1" x14ac:dyDescent="0.25">
      <c r="A5180">
        <v>21600458</v>
      </c>
      <c r="B5180" t="s">
        <v>18</v>
      </c>
      <c r="C5180" t="s">
        <v>64</v>
      </c>
      <c r="D5180">
        <v>65</v>
      </c>
      <c r="E5180">
        <v>63</v>
      </c>
      <c r="F5180">
        <v>2</v>
      </c>
      <c r="G5180">
        <v>3</v>
      </c>
      <c r="H5180" s="1">
        <v>4.5949074074074078E-3</v>
      </c>
      <c r="I5180">
        <v>2016</v>
      </c>
      <c r="J5180" t="s">
        <v>20</v>
      </c>
      <c r="K5180" s="2" t="str">
        <f>HYPERLINK("https://www.nba.com/stats/events?CFID=&amp;CFPARAMS=&amp;GameEventID=280&amp;GameID=0021600458&amp;Season=2016-17&amp;flag=1&amp;title=Leonard%20%20Tip%20Dunk%20Shot%20(18%20PTS)", "Leonard  Tip Dunk Shot (18 PTS)")</f>
        <v>Leonard  Tip Dunk Shot (18 PTS)</v>
      </c>
      <c r="L5180" s="2" t="str">
        <f>HYPERLINK("https://www.nba.com/game/...-vs-...-0021600458/play-by-play?watchFullGame=true", "SAS vs CHI - Q3 06:37.00")</f>
        <v>SAS vs CHI - Q3 06:37.00</v>
      </c>
      <c r="M5180">
        <v>0</v>
      </c>
      <c r="N5180">
        <v>0</v>
      </c>
      <c r="O5180">
        <v>1</v>
      </c>
      <c r="P5180">
        <v>0</v>
      </c>
      <c r="Q5180">
        <v>1</v>
      </c>
      <c r="R5180" t="s">
        <v>21</v>
      </c>
      <c r="S5180" t="s">
        <v>21</v>
      </c>
    </row>
    <row r="5181" spans="1:19" hidden="1" x14ac:dyDescent="0.25">
      <c r="A5181">
        <v>21500726</v>
      </c>
      <c r="B5181" t="s">
        <v>18</v>
      </c>
      <c r="C5181" t="s">
        <v>24</v>
      </c>
      <c r="D5181">
        <v>60</v>
      </c>
      <c r="E5181">
        <v>58</v>
      </c>
      <c r="F5181">
        <v>2</v>
      </c>
      <c r="G5181">
        <v>3</v>
      </c>
      <c r="H5181" s="1">
        <v>5.6018518518518518E-3</v>
      </c>
      <c r="I5181">
        <v>2015</v>
      </c>
      <c r="J5181" t="s">
        <v>20</v>
      </c>
      <c r="K5181" s="2" t="str">
        <f>HYPERLINK("https://www.nba.com/stats/events?CFID=&amp;CFPARAMS=&amp;GameEventID=281&amp;GameID=0021500726&amp;Season=2015-16&amp;flag=1&amp;title=Leonard%201'%20Layup%20(10%20PTS)%20(Diaw%202%20AST)", "Leonard 1' Layup (10 PTS) (Diaw 2 AST)")</f>
        <v>Leonard 1' Layup (10 PTS) (Diaw 2 AST)</v>
      </c>
      <c r="L5181" s="2" t="str">
        <f>HYPERLINK("https://www.nba.com/game/...-vs-...-0021500726/play-by-play?watchFullGame=true", "SAS vs ORL - Q3 08:04.00")</f>
        <v>SAS vs ORL - Q3 08:04.00</v>
      </c>
      <c r="M5181">
        <v>1</v>
      </c>
      <c r="N5181">
        <v>2</v>
      </c>
      <c r="O5181">
        <v>7</v>
      </c>
      <c r="P5181">
        <v>2</v>
      </c>
      <c r="Q5181">
        <v>7</v>
      </c>
      <c r="R5181" t="s">
        <v>21</v>
      </c>
      <c r="S5181" t="s">
        <v>21</v>
      </c>
    </row>
    <row r="5182" spans="1:19" hidden="1" x14ac:dyDescent="0.25">
      <c r="A5182">
        <v>21700402</v>
      </c>
      <c r="B5182" t="s">
        <v>18</v>
      </c>
      <c r="C5182" t="s">
        <v>44</v>
      </c>
      <c r="D5182">
        <v>53</v>
      </c>
      <c r="E5182">
        <v>48</v>
      </c>
      <c r="F5182">
        <v>5</v>
      </c>
      <c r="G5182">
        <v>3</v>
      </c>
      <c r="H5182" s="1">
        <v>5.6018518518518518E-3</v>
      </c>
      <c r="I5182">
        <v>2017</v>
      </c>
      <c r="J5182" t="s">
        <v>20</v>
      </c>
      <c r="K5182" s="2" t="str">
        <f>HYPERLINK("https://www.nba.com/stats/events?CFID=&amp;CFPARAMS=&amp;GameEventID=351&amp;GameID=0021700402&amp;Season=2017-18&amp;flag=1&amp;title=Leonard%201'%20Driving%20Reverse%20Layup%20(11%20PTS)", "Leonard 1' Driving Reverse Layup (11 PTS)")</f>
        <v>Leonard 1' Driving Reverse Layup (11 PTS)</v>
      </c>
      <c r="L5182" s="2" t="str">
        <f>HYPERLINK("https://www.nba.com/game/...-vs-...-0021700402/play-by-play?watchFullGame=true", "SAS vs DAL - Q3 08:04.00")</f>
        <v>SAS vs DAL - Q3 08:04.00</v>
      </c>
      <c r="M5182">
        <v>1</v>
      </c>
      <c r="N5182">
        <v>3</v>
      </c>
      <c r="O5182">
        <v>4</v>
      </c>
      <c r="P5182">
        <v>3</v>
      </c>
      <c r="Q5182">
        <v>4</v>
      </c>
      <c r="R5182" t="s">
        <v>21</v>
      </c>
      <c r="S5182" t="s">
        <v>21</v>
      </c>
    </row>
    <row r="5183" spans="1:19" hidden="1" x14ac:dyDescent="0.25">
      <c r="A5183">
        <v>21600309</v>
      </c>
      <c r="B5183" t="s">
        <v>18</v>
      </c>
      <c r="C5183" t="s">
        <v>25</v>
      </c>
      <c r="D5183">
        <v>84</v>
      </c>
      <c r="E5183">
        <v>80</v>
      </c>
      <c r="F5183">
        <v>4</v>
      </c>
      <c r="G5183">
        <v>4</v>
      </c>
      <c r="H5183" s="1">
        <v>4.6412037037037038E-3</v>
      </c>
      <c r="I5183">
        <v>2016</v>
      </c>
      <c r="J5183" t="s">
        <v>20</v>
      </c>
      <c r="K5183" s="2" t="str">
        <f>HYPERLINK("https://www.nba.com/stats/events?CFID=&amp;CFPARAMS=&amp;GameEventID=498&amp;GameID=0021600309&amp;Season=2016-17&amp;flag=1&amp;title=Leonard%20%20Driving%20Dunk%20(13%20PTS)", "Leonard  Driving Dunk (13 PTS)")</f>
        <v>Leonard  Driving Dunk (13 PTS)</v>
      </c>
      <c r="L5183" s="2" t="str">
        <f>HYPERLINK("https://www.nba.com/game/...-vs-...-0021600309/play-by-play?watchFullGame=true", "SAS vs MIL - Q4 06:41.00")</f>
        <v>SAS vs MIL - Q4 06:41.00</v>
      </c>
      <c r="M5183">
        <v>0</v>
      </c>
      <c r="N5183">
        <v>0</v>
      </c>
      <c r="O5183">
        <v>1</v>
      </c>
      <c r="P5183">
        <v>0</v>
      </c>
      <c r="Q5183">
        <v>1</v>
      </c>
      <c r="R5183" t="s">
        <v>21</v>
      </c>
      <c r="S5183" t="s">
        <v>21</v>
      </c>
    </row>
    <row r="5184" spans="1:19" hidden="1" x14ac:dyDescent="0.25">
      <c r="A5184">
        <v>21500566</v>
      </c>
      <c r="B5184" t="s">
        <v>18</v>
      </c>
      <c r="C5184" t="s">
        <v>25</v>
      </c>
      <c r="D5184">
        <v>33</v>
      </c>
      <c r="E5184">
        <v>26</v>
      </c>
      <c r="F5184">
        <v>7</v>
      </c>
      <c r="G5184">
        <v>2</v>
      </c>
      <c r="H5184" s="1">
        <v>4.6412037037037038E-3</v>
      </c>
      <c r="I5184">
        <v>2015</v>
      </c>
      <c r="J5184" t="s">
        <v>20</v>
      </c>
      <c r="K5184" s="2" t="str">
        <f>HYPERLINK("https://www.nba.com/stats/events?CFID=&amp;CFPARAMS=&amp;GameEventID=137&amp;GameID=0021500566&amp;Season=2015-16&amp;flag=1&amp;title=Leonard%20%20Driving%20Dunk%20(4%20PTS)", "Leonard  Driving Dunk (4 PTS)")</f>
        <v>Leonard  Driving Dunk (4 PTS)</v>
      </c>
      <c r="L5184" s="2" t="str">
        <f>HYPERLINK("https://www.nba.com/game/...-vs-...-0021500566/play-by-play?watchFullGame=true", "SAS vs BKN - Q2 06:41.00")</f>
        <v>SAS vs BKN - Q2 06:41.00</v>
      </c>
      <c r="M5184">
        <v>0</v>
      </c>
      <c r="N5184">
        <v>0</v>
      </c>
      <c r="O5184">
        <v>1</v>
      </c>
      <c r="P5184">
        <v>0</v>
      </c>
      <c r="Q5184">
        <v>1</v>
      </c>
      <c r="R5184" t="s">
        <v>21</v>
      </c>
      <c r="S5184" t="s">
        <v>21</v>
      </c>
    </row>
    <row r="5185" spans="1:19" hidden="1" x14ac:dyDescent="0.25">
      <c r="A5185">
        <v>41200232</v>
      </c>
      <c r="B5185" t="s">
        <v>18</v>
      </c>
      <c r="C5185" t="s">
        <v>28</v>
      </c>
      <c r="D5185">
        <v>51</v>
      </c>
      <c r="E5185">
        <v>69</v>
      </c>
      <c r="F5185">
        <v>18</v>
      </c>
      <c r="G5185">
        <v>3</v>
      </c>
      <c r="H5185" s="1">
        <v>5.6249999999999998E-3</v>
      </c>
      <c r="I5185" t="s">
        <v>53</v>
      </c>
      <c r="J5185" t="s">
        <v>20</v>
      </c>
      <c r="K5185" s="2" t="str">
        <f>HYPERLINK("https://www.nba.com/stats/events?CFID=&amp;CFPARAMS=&amp;GameEventID=299&amp;GameID=0041200232&amp;Season=2012-13&amp;flag=1&amp;title=Leonard%201'%20Tip%20Shot%20(9%20PTS)", "Leonard 1' Tip Shot (9 PTS)")</f>
        <v>Leonard 1' Tip Shot (9 PTS)</v>
      </c>
      <c r="L5185" s="2" t="str">
        <f>HYPERLINK("https://www.nba.com/game/...-vs-...-0041200232/play-by-play?watchFullGame=true", "SAS vs GSW - Q3 08:06.00")</f>
        <v>SAS vs GSW - Q3 08:06.00</v>
      </c>
      <c r="M5185">
        <v>1</v>
      </c>
      <c r="N5185">
        <v>2</v>
      </c>
      <c r="O5185">
        <v>9</v>
      </c>
      <c r="P5185">
        <v>2</v>
      </c>
      <c r="Q5185">
        <v>9</v>
      </c>
      <c r="R5185" t="s">
        <v>21</v>
      </c>
      <c r="S5185" t="s">
        <v>21</v>
      </c>
    </row>
    <row r="5186" spans="1:19" hidden="1" x14ac:dyDescent="0.25">
      <c r="A5186">
        <v>21300170</v>
      </c>
      <c r="B5186" t="s">
        <v>18</v>
      </c>
      <c r="C5186" t="s">
        <v>24</v>
      </c>
      <c r="D5186">
        <v>58</v>
      </c>
      <c r="E5186">
        <v>52</v>
      </c>
      <c r="F5186">
        <v>6</v>
      </c>
      <c r="G5186">
        <v>3</v>
      </c>
      <c r="H5186" s="1">
        <v>5.6712962962962967E-3</v>
      </c>
      <c r="I5186">
        <v>2013</v>
      </c>
      <c r="J5186" t="s">
        <v>20</v>
      </c>
      <c r="K5186" s="2" t="str">
        <f>HYPERLINK("https://www.nba.com/stats/events?CFID=&amp;CFPARAMS=&amp;GameEventID=277&amp;GameID=0021300170&amp;Season=2013-14&amp;flag=1&amp;title=Leonard%201'%20Layup%20(11%20PTS)", "Leonard 1' Layup (11 PTS)")</f>
        <v>Leonard 1' Layup (11 PTS)</v>
      </c>
      <c r="L5186" s="2" t="str">
        <f>HYPERLINK("https://www.nba.com/game/...-vs-...-0021300170/play-by-play?watchFullGame=true", "SAS vs BOS - Q3 08:10.00")</f>
        <v>SAS vs BOS - Q3 08:10.00</v>
      </c>
      <c r="M5186">
        <v>1</v>
      </c>
      <c r="N5186">
        <v>0</v>
      </c>
      <c r="O5186">
        <v>6</v>
      </c>
      <c r="P5186">
        <v>0</v>
      </c>
      <c r="Q5186">
        <v>6</v>
      </c>
      <c r="R5186" t="s">
        <v>21</v>
      </c>
      <c r="S5186" t="s">
        <v>21</v>
      </c>
    </row>
    <row r="5187" spans="1:19" hidden="1" x14ac:dyDescent="0.25">
      <c r="A5187">
        <v>21301154</v>
      </c>
      <c r="B5187" t="s">
        <v>18</v>
      </c>
      <c r="C5187" t="s">
        <v>27</v>
      </c>
      <c r="D5187">
        <v>35</v>
      </c>
      <c r="E5187">
        <v>22</v>
      </c>
      <c r="F5187">
        <v>13</v>
      </c>
      <c r="G5187">
        <v>2</v>
      </c>
      <c r="H5187" s="1">
        <v>5.6828703703703702E-3</v>
      </c>
      <c r="I5187">
        <v>2013</v>
      </c>
      <c r="J5187" t="s">
        <v>20</v>
      </c>
      <c r="K5187" s="2" t="str">
        <f>HYPERLINK("https://www.nba.com/stats/events?CFID=&amp;CFPARAMS=&amp;GameEventID=160&amp;GameID=0021301154&amp;Season=2013-14&amp;flag=1&amp;title=Leonard%201'%20Finger%20Roll%20Layup%20(8%20PTS)%20(Mills%201%20AST)", "Leonard 1' Finger Roll Layup (8 PTS) (Mills 1 AST)")</f>
        <v>Leonard 1' Finger Roll Layup (8 PTS) (Mills 1 AST)</v>
      </c>
      <c r="L5187" s="2" t="str">
        <f>HYPERLINK("https://www.nba.com/game/...-vs-...-0021301154/play-by-play?watchFullGame=true", "SAS vs MEM - Q2 08:11.00")</f>
        <v>SAS vs MEM - Q2 08:11.00</v>
      </c>
      <c r="M5187">
        <v>1</v>
      </c>
      <c r="N5187">
        <v>12</v>
      </c>
      <c r="O5187">
        <v>0</v>
      </c>
      <c r="P5187">
        <v>12</v>
      </c>
      <c r="Q5187">
        <v>0</v>
      </c>
      <c r="R5187" t="s">
        <v>21</v>
      </c>
      <c r="S5187" t="s">
        <v>21</v>
      </c>
    </row>
    <row r="5188" spans="1:19" hidden="1" x14ac:dyDescent="0.25">
      <c r="A5188">
        <v>21801083</v>
      </c>
      <c r="B5188" t="s">
        <v>18</v>
      </c>
      <c r="C5188" t="s">
        <v>24</v>
      </c>
      <c r="D5188">
        <v>8</v>
      </c>
      <c r="E5188">
        <v>5</v>
      </c>
      <c r="F5188">
        <v>3</v>
      </c>
      <c r="G5188">
        <v>1</v>
      </c>
      <c r="H5188" s="1">
        <v>5.6944444444444447E-3</v>
      </c>
      <c r="I5188">
        <v>2018</v>
      </c>
      <c r="J5188" t="s">
        <v>48</v>
      </c>
      <c r="K5188" s="2" t="str">
        <f>HYPERLINK("https://www.nba.com/stats/events?CFID=&amp;CFPARAMS=&amp;GameEventID=37&amp;GameID=0021801083&amp;Season=2018-19&amp;flag=1&amp;title=Leonard%201'%20Layup%20(5%20PTS)%20(Siakam%201%20AST)", "Leonard 1' Layup (5 PTS) (Siakam 1 AST)")</f>
        <v>Leonard 1' Layup (5 PTS) (Siakam 1 AST)</v>
      </c>
      <c r="L5188" s="2" t="str">
        <f>HYPERLINK("https://www.nba.com/game/...-vs-...-0021801083/play-by-play?watchFullGame=true", "TOR vs OKC - Q1 08:12.00")</f>
        <v>TOR vs OKC - Q1 08:12.00</v>
      </c>
      <c r="M5188">
        <v>1</v>
      </c>
      <c r="N5188">
        <v>3</v>
      </c>
      <c r="O5188">
        <v>6</v>
      </c>
      <c r="P5188">
        <v>3</v>
      </c>
      <c r="Q5188">
        <v>6</v>
      </c>
      <c r="R5188" t="s">
        <v>21</v>
      </c>
      <c r="S5188" t="s">
        <v>21</v>
      </c>
    </row>
    <row r="5189" spans="1:19" hidden="1" x14ac:dyDescent="0.25">
      <c r="A5189">
        <v>21601056</v>
      </c>
      <c r="B5189" t="s">
        <v>18</v>
      </c>
      <c r="C5189" t="s">
        <v>40</v>
      </c>
      <c r="D5189">
        <v>84</v>
      </c>
      <c r="E5189">
        <v>78</v>
      </c>
      <c r="F5189">
        <v>6</v>
      </c>
      <c r="G5189">
        <v>4</v>
      </c>
      <c r="H5189" s="1">
        <v>5.7060185185185183E-3</v>
      </c>
      <c r="I5189">
        <v>2016</v>
      </c>
      <c r="J5189" t="s">
        <v>20</v>
      </c>
      <c r="K5189" s="2" t="str">
        <f>HYPERLINK("https://www.nba.com/stats/events?CFID=&amp;CFPARAMS=&amp;GameEventID=405&amp;GameID=0021601056&amp;Season=2016-17&amp;flag=1&amp;title=Leonard%201'%20Driving%20Finger%20Roll%20Layup%20(16%20PTS)", "Leonard 1' Driving Finger Roll Layup (16 PTS)")</f>
        <v>Leonard 1' Driving Finger Roll Layup (16 PTS)</v>
      </c>
      <c r="L5189" s="2" t="str">
        <f>HYPERLINK("https://www.nba.com/game/...-vs-...-0021601056/play-by-play?watchFullGame=true", "SAS vs MIN - Q4 08:13.00")</f>
        <v>SAS vs MIN - Q4 08:13.00</v>
      </c>
      <c r="M5189">
        <v>1</v>
      </c>
      <c r="N5189">
        <v>6</v>
      </c>
      <c r="O5189">
        <v>2</v>
      </c>
      <c r="P5189">
        <v>6</v>
      </c>
      <c r="Q5189">
        <v>2</v>
      </c>
      <c r="R5189" t="s">
        <v>21</v>
      </c>
      <c r="S5189" t="s">
        <v>21</v>
      </c>
    </row>
    <row r="5190" spans="1:19" hidden="1" x14ac:dyDescent="0.25">
      <c r="A5190">
        <v>41600151</v>
      </c>
      <c r="B5190" t="s">
        <v>18</v>
      </c>
      <c r="C5190" t="s">
        <v>40</v>
      </c>
      <c r="D5190">
        <v>7</v>
      </c>
      <c r="E5190">
        <v>12</v>
      </c>
      <c r="F5190">
        <v>5</v>
      </c>
      <c r="G5190">
        <v>1</v>
      </c>
      <c r="H5190" s="1">
        <v>5.7060185185185183E-3</v>
      </c>
      <c r="I5190" t="s">
        <v>58</v>
      </c>
      <c r="J5190" t="s">
        <v>20</v>
      </c>
      <c r="K5190" s="2" t="str">
        <f>HYPERLINK("https://www.nba.com/stats/events?CFID=&amp;CFPARAMS=&amp;GameEventID=22&amp;GameID=0041600151&amp;Season=2016-17&amp;flag=1&amp;title=Leonard%201'%20Driving%20Finger%20Roll%20Layup%20(5%20PTS)", "Leonard 1' Driving Finger Roll Layup (5 PTS)")</f>
        <v>Leonard 1' Driving Finger Roll Layup (5 PTS)</v>
      </c>
      <c r="L5190" s="2" t="str">
        <f>HYPERLINK("https://www.nba.com/game/...-vs-...-0041600151/play-by-play?watchFullGame=true", "SAS vs MEM - Q1 08:13.00")</f>
        <v>SAS vs MEM - Q1 08:13.00</v>
      </c>
      <c r="M5190">
        <v>1</v>
      </c>
      <c r="N5190">
        <v>12</v>
      </c>
      <c r="O5190">
        <v>3</v>
      </c>
      <c r="P5190">
        <v>12</v>
      </c>
      <c r="Q5190">
        <v>3</v>
      </c>
      <c r="R5190" t="s">
        <v>21</v>
      </c>
      <c r="S5190" t="s">
        <v>21</v>
      </c>
    </row>
    <row r="5191" spans="1:19" hidden="1" x14ac:dyDescent="0.25">
      <c r="A5191">
        <v>21500502</v>
      </c>
      <c r="B5191" t="s">
        <v>18</v>
      </c>
      <c r="C5191" t="s">
        <v>50</v>
      </c>
      <c r="D5191">
        <v>8</v>
      </c>
      <c r="E5191">
        <v>12</v>
      </c>
      <c r="F5191">
        <v>4</v>
      </c>
      <c r="G5191">
        <v>1</v>
      </c>
      <c r="H5191" s="1">
        <v>4.6527777777777774E-3</v>
      </c>
      <c r="I5191">
        <v>2015</v>
      </c>
      <c r="J5191" t="s">
        <v>20</v>
      </c>
      <c r="K5191" s="2" t="str">
        <f>HYPERLINK("https://www.nba.com/stats/events?CFID=&amp;CFPARAMS=&amp;GameEventID=49&amp;GameID=0021500502&amp;Season=2015-16&amp;flag=1&amp;title=Leonard%20%20Running%20Dunk%20(2%20PTS)%20(Green%201%20AST)", "Leonard  Running Dunk (2 PTS) (Green 1 AST)")</f>
        <v>Leonard  Running Dunk (2 PTS) (Green 1 AST)</v>
      </c>
      <c r="L5191" s="2" t="str">
        <f>HYPERLINK("https://www.nba.com/game/...-vs-...-0021500502/play-by-play?watchFullGame=true", "SAS vs HOU - Q1 06:42.00")</f>
        <v>SAS vs HOU - Q1 06:42.00</v>
      </c>
      <c r="M5191">
        <v>0</v>
      </c>
      <c r="N5191">
        <v>0</v>
      </c>
      <c r="O5191">
        <v>1</v>
      </c>
      <c r="P5191">
        <v>0</v>
      </c>
      <c r="Q5191">
        <v>1</v>
      </c>
      <c r="R5191" t="s">
        <v>21</v>
      </c>
      <c r="S5191" t="s">
        <v>21</v>
      </c>
    </row>
    <row r="5192" spans="1:19" hidden="1" x14ac:dyDescent="0.25">
      <c r="A5192">
        <v>21300520</v>
      </c>
      <c r="B5192" t="s">
        <v>18</v>
      </c>
      <c r="C5192" t="s">
        <v>24</v>
      </c>
      <c r="D5192">
        <v>10</v>
      </c>
      <c r="E5192">
        <v>4</v>
      </c>
      <c r="F5192">
        <v>6</v>
      </c>
      <c r="G5192">
        <v>1</v>
      </c>
      <c r="H5192" s="1">
        <v>5.7175925925925927E-3</v>
      </c>
      <c r="I5192">
        <v>2013</v>
      </c>
      <c r="J5192" t="s">
        <v>20</v>
      </c>
      <c r="K5192" s="2" t="str">
        <f>HYPERLINK("https://www.nba.com/stats/events?CFID=&amp;CFPARAMS=&amp;GameEventID=34&amp;GameID=0021300520&amp;Season=2013-14&amp;flag=1&amp;title=Leonard%201'%20Layup%20(2%20PTS)%20(Diaw%201%20AST)", "Leonard 1' Layup (2 PTS) (Diaw 1 AST)")</f>
        <v>Leonard 1' Layup (2 PTS) (Diaw 1 AST)</v>
      </c>
      <c r="L5192" s="2" t="str">
        <f>HYPERLINK("https://www.nba.com/game/...-vs-...-0021300520/play-by-play?watchFullGame=true", "SAS vs DAL - Q1 08:14.00")</f>
        <v>SAS vs DAL - Q1 08:14.00</v>
      </c>
      <c r="M5192">
        <v>1</v>
      </c>
      <c r="N5192">
        <v>4</v>
      </c>
      <c r="O5192">
        <v>-6</v>
      </c>
      <c r="P5192">
        <v>4</v>
      </c>
      <c r="Q5192">
        <v>-6</v>
      </c>
      <c r="R5192" t="s">
        <v>21</v>
      </c>
      <c r="S5192" t="s">
        <v>21</v>
      </c>
    </row>
    <row r="5193" spans="1:19" hidden="1" x14ac:dyDescent="0.25">
      <c r="A5193">
        <v>21300039</v>
      </c>
      <c r="B5193" t="s">
        <v>18</v>
      </c>
      <c r="C5193" t="s">
        <v>22</v>
      </c>
      <c r="D5193">
        <v>49</v>
      </c>
      <c r="E5193">
        <v>58</v>
      </c>
      <c r="F5193">
        <v>9</v>
      </c>
      <c r="G5193">
        <v>3</v>
      </c>
      <c r="H5193" s="1">
        <v>5.7175925925925927E-3</v>
      </c>
      <c r="I5193">
        <v>2013</v>
      </c>
      <c r="J5193" t="s">
        <v>20</v>
      </c>
      <c r="K5193" s="2" t="str">
        <f>HYPERLINK("https://www.nba.com/stats/events?CFID=&amp;CFPARAMS=&amp;GameEventID=265&amp;GameID=0021300039&amp;Season=2013-14&amp;flag=1&amp;title=Leonard%201'%20Driving%20Layup%20(6%20PTS)", "Leonard 1' Driving Layup (6 PTS)")</f>
        <v>Leonard 1' Driving Layup (6 PTS)</v>
      </c>
      <c r="L5193" s="2" t="str">
        <f>HYPERLINK("https://www.nba.com/game/...-vs-...-0021300039/play-by-play?watchFullGame=true", "SAS vs POR - Q3 08:14.00")</f>
        <v>SAS vs POR - Q3 08:14.00</v>
      </c>
      <c r="M5193">
        <v>1</v>
      </c>
      <c r="N5193">
        <v>12</v>
      </c>
      <c r="O5193">
        <v>1</v>
      </c>
      <c r="P5193">
        <v>12</v>
      </c>
      <c r="Q5193">
        <v>1</v>
      </c>
      <c r="R5193" t="s">
        <v>21</v>
      </c>
      <c r="S5193" t="s">
        <v>21</v>
      </c>
    </row>
    <row r="5194" spans="1:19" hidden="1" x14ac:dyDescent="0.25">
      <c r="A5194">
        <v>21400231</v>
      </c>
      <c r="B5194" t="s">
        <v>18</v>
      </c>
      <c r="C5194" t="s">
        <v>35</v>
      </c>
      <c r="D5194">
        <v>98</v>
      </c>
      <c r="E5194">
        <v>86</v>
      </c>
      <c r="F5194">
        <v>12</v>
      </c>
      <c r="G5194">
        <v>4</v>
      </c>
      <c r="H5194" s="1">
        <v>5.7291666666666663E-3</v>
      </c>
      <c r="I5194">
        <v>2014</v>
      </c>
      <c r="J5194" t="s">
        <v>20</v>
      </c>
      <c r="K5194" s="2" t="str">
        <f>HYPERLINK("https://www.nba.com/stats/events?CFID=&amp;CFPARAMS=&amp;GameEventID=409&amp;GameID=0021400231&amp;Season=2014-15&amp;flag=1&amp;title=Leonard%201'%20Reverse%20Layup%20(13%20PTS)%20(Diaw%204%20AST)", "Leonard 1' Reverse Layup (13 PTS) (Diaw 4 AST)")</f>
        <v>Leonard 1' Reverse Layup (13 PTS) (Diaw 4 AST)</v>
      </c>
      <c r="L5194" s="2" t="str">
        <f>HYPERLINK("https://www.nba.com/game/...-vs-...-0021400231/play-by-play?watchFullGame=true", "SAS vs SAC - Q4 08:15.00")</f>
        <v>SAS vs SAC - Q4 08:15.00</v>
      </c>
      <c r="M5194">
        <v>1</v>
      </c>
      <c r="N5194">
        <v>0</v>
      </c>
      <c r="O5194">
        <v>12</v>
      </c>
      <c r="P5194">
        <v>0</v>
      </c>
      <c r="Q5194">
        <v>12</v>
      </c>
      <c r="R5194" t="s">
        <v>21</v>
      </c>
      <c r="S5194" t="s">
        <v>21</v>
      </c>
    </row>
    <row r="5195" spans="1:19" hidden="1" x14ac:dyDescent="0.25">
      <c r="A5195">
        <v>21600925</v>
      </c>
      <c r="B5195" t="s">
        <v>18</v>
      </c>
      <c r="C5195" t="s">
        <v>71</v>
      </c>
      <c r="D5195">
        <v>7</v>
      </c>
      <c r="E5195">
        <v>7</v>
      </c>
      <c r="F5195">
        <v>0</v>
      </c>
      <c r="G5195">
        <v>1</v>
      </c>
      <c r="H5195" s="1">
        <v>5.7291666666666663E-3</v>
      </c>
      <c r="I5195">
        <v>2016</v>
      </c>
      <c r="J5195" t="s">
        <v>20</v>
      </c>
      <c r="K5195" s="2" t="str">
        <f>HYPERLINK("https://www.nba.com/stats/events?CFID=&amp;CFPARAMS=&amp;GameEventID=32&amp;GameID=0021600925&amp;Season=2016-17&amp;flag=1&amp;title=Leonard%201'%20Running%20Finger%20Roll%20Layup%20(4%20PTS)", "Leonard 1' Running Finger Roll Layup (4 PTS)")</f>
        <v>Leonard 1' Running Finger Roll Layup (4 PTS)</v>
      </c>
      <c r="L5195" s="2" t="str">
        <f>HYPERLINK("https://www.nba.com/game/...-vs-...-0021600925/play-by-play?watchFullGame=true", "SAS vs MIN - Q1 08:15.00")</f>
        <v>SAS vs MIN - Q1 08:15.00</v>
      </c>
      <c r="M5195">
        <v>1</v>
      </c>
      <c r="N5195">
        <v>12</v>
      </c>
      <c r="O5195">
        <v>-5</v>
      </c>
      <c r="P5195">
        <v>12</v>
      </c>
      <c r="Q5195">
        <v>-5</v>
      </c>
      <c r="R5195" t="s">
        <v>21</v>
      </c>
      <c r="S5195" t="s">
        <v>21</v>
      </c>
    </row>
    <row r="5196" spans="1:19" hidden="1" x14ac:dyDescent="0.25">
      <c r="A5196">
        <v>21600037</v>
      </c>
      <c r="B5196" t="s">
        <v>18</v>
      </c>
      <c r="C5196" t="s">
        <v>52</v>
      </c>
      <c r="D5196">
        <v>64</v>
      </c>
      <c r="E5196">
        <v>52</v>
      </c>
      <c r="F5196">
        <v>12</v>
      </c>
      <c r="G5196">
        <v>3</v>
      </c>
      <c r="H5196" s="1">
        <v>5.7407407407407407E-3</v>
      </c>
      <c r="I5196">
        <v>2016</v>
      </c>
      <c r="J5196" t="s">
        <v>20</v>
      </c>
      <c r="K5196" s="2" t="str">
        <f>HYPERLINK("https://www.nba.com/stats/events?CFID=&amp;CFPARAMS=&amp;GameEventID=301&amp;GameID=0021600037&amp;Season=2016-17&amp;flag=1&amp;title=Leonard%201'%20Cutting%20Layup%20Shot%20(11%20PTS)%20(Gasol%203%20AST)", "Leonard 1' Cutting Layup Shot (11 PTS) (Gasol 3 AST)")</f>
        <v>Leonard 1' Cutting Layup Shot (11 PTS) (Gasol 3 AST)</v>
      </c>
      <c r="L5196" s="2" t="str">
        <f>HYPERLINK("https://www.nba.com/game/...-vs-...-0021600037/play-by-play?watchFullGame=true", "SAS vs MIA - Q3 08:16.00")</f>
        <v>SAS vs MIA - Q3 08:16.00</v>
      </c>
      <c r="M5196">
        <v>1</v>
      </c>
      <c r="N5196">
        <v>4</v>
      </c>
      <c r="O5196">
        <v>11</v>
      </c>
      <c r="P5196">
        <v>4</v>
      </c>
      <c r="Q5196">
        <v>11</v>
      </c>
      <c r="R5196" t="s">
        <v>21</v>
      </c>
      <c r="S5196" t="s">
        <v>21</v>
      </c>
    </row>
    <row r="5197" spans="1:19" hidden="1" x14ac:dyDescent="0.25">
      <c r="A5197">
        <v>21601056</v>
      </c>
      <c r="B5197" t="s">
        <v>18</v>
      </c>
      <c r="C5197" t="s">
        <v>23</v>
      </c>
      <c r="D5197">
        <v>54</v>
      </c>
      <c r="E5197">
        <v>58</v>
      </c>
      <c r="F5197">
        <v>4</v>
      </c>
      <c r="G5197">
        <v>3</v>
      </c>
      <c r="H5197" s="1">
        <v>4.6527777777777774E-3</v>
      </c>
      <c r="I5197">
        <v>2016</v>
      </c>
      <c r="J5197" t="s">
        <v>20</v>
      </c>
      <c r="K5197" s="2" t="str">
        <f>HYPERLINK("https://www.nba.com/stats/events?CFID=&amp;CFPARAMS=&amp;GameEventID=272&amp;GameID=0021601056&amp;Season=2016-17&amp;flag=1&amp;title=Leonard%20%20Dunk%20(6%20PTS)%20(Parker%205%20AST)", "Leonard  Dunk (6 PTS) (Parker 5 AST)")</f>
        <v>Leonard  Dunk (6 PTS) (Parker 5 AST)</v>
      </c>
      <c r="L5197" s="2" t="str">
        <f>HYPERLINK("https://www.nba.com/game/...-vs-...-0021601056/play-by-play?watchFullGame=true", "SAS vs MIN - Q3 06:42.00")</f>
        <v>SAS vs MIN - Q3 06:42.00</v>
      </c>
      <c r="M5197">
        <v>0</v>
      </c>
      <c r="N5197">
        <v>0</v>
      </c>
      <c r="O5197">
        <v>1</v>
      </c>
      <c r="P5197">
        <v>0</v>
      </c>
      <c r="Q5197">
        <v>1</v>
      </c>
      <c r="R5197" t="s">
        <v>21</v>
      </c>
      <c r="S5197" t="s">
        <v>21</v>
      </c>
    </row>
    <row r="5198" spans="1:19" hidden="1" x14ac:dyDescent="0.25">
      <c r="A5198">
        <v>21600657</v>
      </c>
      <c r="B5198" t="s">
        <v>18</v>
      </c>
      <c r="C5198" t="s">
        <v>23</v>
      </c>
      <c r="D5198">
        <v>10</v>
      </c>
      <c r="E5198">
        <v>14</v>
      </c>
      <c r="F5198">
        <v>4</v>
      </c>
      <c r="G5198">
        <v>1</v>
      </c>
      <c r="H5198" s="1">
        <v>4.7453703703703703E-3</v>
      </c>
      <c r="I5198">
        <v>2016</v>
      </c>
      <c r="J5198" t="s">
        <v>20</v>
      </c>
      <c r="K5198" s="2" t="str">
        <f>HYPERLINK("https://www.nba.com/stats/events?CFID=&amp;CFPARAMS=&amp;GameEventID=44&amp;GameID=0021600657&amp;Season=2016-17&amp;flag=1&amp;title=Leonard%20%20Dunk%20(6%20PTS)%20(Lee%201%20AST)", "Leonard  Dunk (6 PTS) (Lee 1 AST)")</f>
        <v>Leonard  Dunk (6 PTS) (Lee 1 AST)</v>
      </c>
      <c r="L5198" s="2" t="str">
        <f>HYPERLINK("https://www.nba.com/game/...-vs-...-0021600657/play-by-play?watchFullGame=true", "SAS vs CLE - Q1 06:50.00")</f>
        <v>SAS vs CLE - Q1 06:50.00</v>
      </c>
      <c r="M5198">
        <v>0</v>
      </c>
      <c r="N5198">
        <v>0</v>
      </c>
      <c r="O5198">
        <v>1</v>
      </c>
      <c r="P5198">
        <v>0</v>
      </c>
      <c r="Q5198">
        <v>1</v>
      </c>
      <c r="R5198" t="s">
        <v>21</v>
      </c>
      <c r="S5198" t="s">
        <v>21</v>
      </c>
    </row>
    <row r="5199" spans="1:19" hidden="1" x14ac:dyDescent="0.25">
      <c r="A5199">
        <v>21800828</v>
      </c>
      <c r="B5199" t="s">
        <v>18</v>
      </c>
      <c r="C5199" t="s">
        <v>24</v>
      </c>
      <c r="D5199">
        <v>59</v>
      </c>
      <c r="E5199">
        <v>46</v>
      </c>
      <c r="F5199">
        <v>13</v>
      </c>
      <c r="G5199">
        <v>3</v>
      </c>
      <c r="H5199" s="1">
        <v>5.8217592592592592E-3</v>
      </c>
      <c r="I5199">
        <v>2018</v>
      </c>
      <c r="J5199" t="s">
        <v>48</v>
      </c>
      <c r="K5199" s="2" t="str">
        <f>HYPERLINK("https://www.nba.com/stats/events?CFID=&amp;CFPARAMS=&amp;GameEventID=385&amp;GameID=0021800828&amp;Season=2018-19&amp;flag=1&amp;title=Leonard%201'%20Layup%20(11%20PTS)%20(Siakam%202%20AST)", "Leonard 1' Layup (11 PTS) (Siakam 2 AST)")</f>
        <v>Leonard 1' Layup (11 PTS) (Siakam 2 AST)</v>
      </c>
      <c r="L5199" s="2" t="str">
        <f>HYPERLINK("https://www.nba.com/game/...-vs-...-0021800828/play-by-play?watchFullGame=true", "TOR vs NYK - Q3 08:23.00")</f>
        <v>TOR vs NYK - Q3 08:23.00</v>
      </c>
      <c r="M5199">
        <v>1</v>
      </c>
      <c r="N5199">
        <v>-6</v>
      </c>
      <c r="O5199">
        <v>6</v>
      </c>
      <c r="P5199">
        <v>-6</v>
      </c>
      <c r="Q5199">
        <v>6</v>
      </c>
      <c r="R5199" t="s">
        <v>21</v>
      </c>
      <c r="S5199" t="s">
        <v>21</v>
      </c>
    </row>
    <row r="5200" spans="1:19" hidden="1" x14ac:dyDescent="0.25">
      <c r="A5200">
        <v>41500232</v>
      </c>
      <c r="B5200" t="s">
        <v>18</v>
      </c>
      <c r="C5200" t="s">
        <v>32</v>
      </c>
      <c r="D5200">
        <v>58</v>
      </c>
      <c r="E5200">
        <v>64</v>
      </c>
      <c r="F5200">
        <v>6</v>
      </c>
      <c r="G5200">
        <v>3</v>
      </c>
      <c r="H5200" s="1">
        <v>5.8217592592592592E-3</v>
      </c>
      <c r="I5200" t="s">
        <v>57</v>
      </c>
      <c r="J5200" t="s">
        <v>20</v>
      </c>
      <c r="K5200" s="2" t="str">
        <f>HYPERLINK("https://www.nba.com/stats/events?CFID=&amp;CFPARAMS=&amp;GameEventID=294&amp;GameID=0041500232&amp;Season=2015-16&amp;flag=1&amp;title=Leonard%201'%20Alley%20Oop%20Layup%20(8%20PTS)%20(Duncan%201%20AST)", "Leonard 1' Alley Oop Layup (8 PTS) (Duncan 1 AST)")</f>
        <v>Leonard 1' Alley Oop Layup (8 PTS) (Duncan 1 AST)</v>
      </c>
      <c r="L5200" s="2" t="str">
        <f>HYPERLINK("https://www.nba.com/game/...-vs-...-0041500232/play-by-play?watchFullGame=true", "SAS vs OKC - Q3 08:23.00")</f>
        <v>SAS vs OKC - Q3 08:23.00</v>
      </c>
      <c r="M5200">
        <v>1</v>
      </c>
      <c r="N5200">
        <v>-4</v>
      </c>
      <c r="O5200">
        <v>7</v>
      </c>
      <c r="P5200">
        <v>-4</v>
      </c>
      <c r="Q5200">
        <v>7</v>
      </c>
      <c r="R5200" t="s">
        <v>21</v>
      </c>
      <c r="S5200" t="s">
        <v>21</v>
      </c>
    </row>
    <row r="5201" spans="1:19" hidden="1" x14ac:dyDescent="0.25">
      <c r="A5201">
        <v>21800876</v>
      </c>
      <c r="B5201" t="s">
        <v>18</v>
      </c>
      <c r="C5201" t="s">
        <v>22</v>
      </c>
      <c r="D5201">
        <v>66</v>
      </c>
      <c r="E5201">
        <v>60</v>
      </c>
      <c r="F5201">
        <v>6</v>
      </c>
      <c r="G5201">
        <v>3</v>
      </c>
      <c r="H5201" s="1">
        <v>5.8680555555555552E-3</v>
      </c>
      <c r="I5201">
        <v>2018</v>
      </c>
      <c r="J5201" t="s">
        <v>48</v>
      </c>
      <c r="K5201" s="2" t="str">
        <f>HYPERLINK("https://www.nba.com/stats/events?CFID=&amp;CFPARAMS=&amp;GameEventID=380&amp;GameID=0021800876&amp;Season=2018-19&amp;flag=1&amp;title=Leonard%201'%20Driving%20Layup%20(8%20PTS)", "Leonard 1' Driving Layup (8 PTS)")</f>
        <v>Leonard 1' Driving Layup (8 PTS)</v>
      </c>
      <c r="L5201" s="2" t="str">
        <f>HYPERLINK("https://www.nba.com/game/...-vs-...-0021800876/play-by-play?watchFullGame=true", "TOR vs SAS - Q3 08:27.00")</f>
        <v>TOR vs SAS - Q3 08:27.00</v>
      </c>
      <c r="M5201">
        <v>1</v>
      </c>
      <c r="N5201">
        <v>6</v>
      </c>
      <c r="O5201">
        <v>12</v>
      </c>
      <c r="P5201">
        <v>6</v>
      </c>
      <c r="Q5201">
        <v>12</v>
      </c>
      <c r="R5201" t="s">
        <v>21</v>
      </c>
      <c r="S5201" t="s">
        <v>21</v>
      </c>
    </row>
    <row r="5202" spans="1:19" hidden="1" x14ac:dyDescent="0.25">
      <c r="A5202">
        <v>21500364</v>
      </c>
      <c r="B5202" t="s">
        <v>18</v>
      </c>
      <c r="C5202" t="s">
        <v>46</v>
      </c>
      <c r="D5202">
        <v>76</v>
      </c>
      <c r="E5202">
        <v>43</v>
      </c>
      <c r="F5202">
        <v>33</v>
      </c>
      <c r="G5202">
        <v>3</v>
      </c>
      <c r="H5202" s="1">
        <v>4.8148148148148152E-3</v>
      </c>
      <c r="I5202">
        <v>2015</v>
      </c>
      <c r="J5202" t="s">
        <v>20</v>
      </c>
      <c r="K5202" s="2" t="str">
        <f>HYPERLINK("https://www.nba.com/stats/events?CFID=&amp;CFPARAMS=&amp;GameEventID=306&amp;GameID=0021500364&amp;Season=2015-16&amp;flag=1&amp;title=Leonard%20%20Cutting%20Dunk%20Shot%20(17%20PTS)%20(Green%205%20AST)", "Leonard  Cutting Dunk Shot (17 PTS) (Green 5 AST)")</f>
        <v>Leonard  Cutting Dunk Shot (17 PTS) (Green 5 AST)</v>
      </c>
      <c r="L5202" s="2" t="str">
        <f>HYPERLINK("https://www.nba.com/game/...-vs-...-0021500364/play-by-play?watchFullGame=true", "SAS vs UTA - Q3 06:56.00")</f>
        <v>SAS vs UTA - Q3 06:56.00</v>
      </c>
      <c r="M5202">
        <v>0</v>
      </c>
      <c r="N5202">
        <v>0</v>
      </c>
      <c r="O5202">
        <v>1</v>
      </c>
      <c r="P5202">
        <v>0</v>
      </c>
      <c r="Q5202">
        <v>1</v>
      </c>
      <c r="R5202" t="s">
        <v>21</v>
      </c>
      <c r="S5202" t="s">
        <v>21</v>
      </c>
    </row>
    <row r="5203" spans="1:19" hidden="1" x14ac:dyDescent="0.25">
      <c r="A5203">
        <v>21600412</v>
      </c>
      <c r="B5203" t="s">
        <v>18</v>
      </c>
      <c r="C5203" t="s">
        <v>68</v>
      </c>
      <c r="D5203">
        <v>72</v>
      </c>
      <c r="E5203">
        <v>60</v>
      </c>
      <c r="F5203">
        <v>12</v>
      </c>
      <c r="G5203">
        <v>3</v>
      </c>
      <c r="H5203" s="1">
        <v>4.8263888888888887E-3</v>
      </c>
      <c r="I5203">
        <v>2016</v>
      </c>
      <c r="J5203" t="s">
        <v>20</v>
      </c>
      <c r="K5203" s="2" t="str">
        <f>HYPERLINK("https://www.nba.com/stats/events?CFID=&amp;CFPARAMS=&amp;GameEventID=304&amp;GameID=0021600412&amp;Season=2016-17&amp;flag=1&amp;title=Leonard%20%20Alley%20Oop%20Dunk%20(13%20PTS)%20(Gasol%204%20AST)", "Leonard  Alley Oop Dunk (13 PTS) (Gasol 4 AST)")</f>
        <v>Leonard  Alley Oop Dunk (13 PTS) (Gasol 4 AST)</v>
      </c>
      <c r="L5203" s="2" t="str">
        <f>HYPERLINK("https://www.nba.com/game/...-vs-...-0021600412/play-by-play?watchFullGame=true", "SAS vs NOP - Q3 06:57.00")</f>
        <v>SAS vs NOP - Q3 06:57.00</v>
      </c>
      <c r="M5203">
        <v>0</v>
      </c>
      <c r="N5203">
        <v>0</v>
      </c>
      <c r="O5203">
        <v>1</v>
      </c>
      <c r="P5203">
        <v>0</v>
      </c>
      <c r="Q5203">
        <v>1</v>
      </c>
      <c r="R5203" t="s">
        <v>21</v>
      </c>
      <c r="S5203" t="s">
        <v>21</v>
      </c>
    </row>
    <row r="5204" spans="1:19" hidden="1" x14ac:dyDescent="0.25">
      <c r="A5204">
        <v>41800215</v>
      </c>
      <c r="B5204" t="s">
        <v>18</v>
      </c>
      <c r="C5204" t="s">
        <v>24</v>
      </c>
      <c r="D5204">
        <v>103</v>
      </c>
      <c r="E5204">
        <v>73</v>
      </c>
      <c r="F5204">
        <v>30</v>
      </c>
      <c r="G5204">
        <v>4</v>
      </c>
      <c r="H5204" s="1">
        <v>5.9259259259259256E-3</v>
      </c>
      <c r="I5204" t="s">
        <v>60</v>
      </c>
      <c r="J5204" t="s">
        <v>48</v>
      </c>
      <c r="K5204" s="2" t="str">
        <f>HYPERLINK("https://www.nba.com/stats/events?CFID=&amp;CFPARAMS=&amp;GameEventID=553&amp;GameID=0041800215&amp;Season=2018-19&amp;flag=1&amp;title=Leonard%201'%20Layup%20(21%20PTS)%20(Gasol%203%20AST)", "Leonard 1' Layup (21 PTS) (Gasol 3 AST)")</f>
        <v>Leonard 1' Layup (21 PTS) (Gasol 3 AST)</v>
      </c>
      <c r="L5204" s="2" t="str">
        <f>HYPERLINK("https://www.nba.com/game/...-vs-...-0041800215/play-by-play?watchFullGame=true", "TOR vs PHI - Q4 08:32.00")</f>
        <v>TOR vs PHI - Q4 08:32.00</v>
      </c>
      <c r="M5204">
        <v>1</v>
      </c>
      <c r="N5204">
        <v>8</v>
      </c>
      <c r="O5204">
        <v>12</v>
      </c>
      <c r="P5204">
        <v>8</v>
      </c>
      <c r="Q5204">
        <v>12</v>
      </c>
      <c r="R5204" t="s">
        <v>21</v>
      </c>
      <c r="S5204" t="s">
        <v>21</v>
      </c>
    </row>
    <row r="5205" spans="1:19" hidden="1" x14ac:dyDescent="0.25">
      <c r="A5205">
        <v>21600134</v>
      </c>
      <c r="B5205" t="s">
        <v>18</v>
      </c>
      <c r="C5205" t="s">
        <v>32</v>
      </c>
      <c r="D5205">
        <v>59</v>
      </c>
      <c r="E5205">
        <v>48</v>
      </c>
      <c r="F5205">
        <v>11</v>
      </c>
      <c r="G5205">
        <v>3</v>
      </c>
      <c r="H5205" s="1">
        <v>5.9490740740740745E-3</v>
      </c>
      <c r="I5205">
        <v>2016</v>
      </c>
      <c r="J5205" t="s">
        <v>20</v>
      </c>
      <c r="K5205" s="2" t="str">
        <f>HYPERLINK("https://www.nba.com/stats/events?CFID=&amp;CFPARAMS=&amp;GameEventID=307&amp;GameID=0021600134&amp;Season=2016-17&amp;flag=1&amp;title=Leonard%201'%20Alley%20Oop%20Layup%20(12%20PTS)%20(Gasol%204%20AST)", "Leonard 1' Alley Oop Layup (12 PTS) (Gasol 4 AST)")</f>
        <v>Leonard 1' Alley Oop Layup (12 PTS) (Gasol 4 AST)</v>
      </c>
      <c r="L5205" s="2" t="str">
        <f>HYPERLINK("https://www.nba.com/game/...-vs-...-0021600134/play-by-play?watchFullGame=true", "SAS vs HOU - Q3 08:34.00")</f>
        <v>SAS vs HOU - Q3 08:34.00</v>
      </c>
      <c r="M5205">
        <v>1</v>
      </c>
      <c r="N5205">
        <v>-4</v>
      </c>
      <c r="O5205">
        <v>13</v>
      </c>
      <c r="P5205">
        <v>-4</v>
      </c>
      <c r="Q5205">
        <v>13</v>
      </c>
      <c r="R5205" t="s">
        <v>21</v>
      </c>
      <c r="S5205" t="s">
        <v>21</v>
      </c>
    </row>
    <row r="5206" spans="1:19" hidden="1" x14ac:dyDescent="0.25">
      <c r="A5206">
        <v>21500742</v>
      </c>
      <c r="B5206" t="s">
        <v>18</v>
      </c>
      <c r="C5206" t="s">
        <v>40</v>
      </c>
      <c r="D5206">
        <v>39</v>
      </c>
      <c r="E5206">
        <v>35</v>
      </c>
      <c r="F5206">
        <v>4</v>
      </c>
      <c r="G5206">
        <v>2</v>
      </c>
      <c r="H5206" s="1">
        <v>5.9606481481481481E-3</v>
      </c>
      <c r="I5206">
        <v>2015</v>
      </c>
      <c r="J5206" t="s">
        <v>20</v>
      </c>
      <c r="K5206" s="2" t="str">
        <f>HYPERLINK("https://www.nba.com/stats/events?CFID=&amp;CFPARAMS=&amp;GameEventID=144&amp;GameID=0021500742&amp;Season=2015-16&amp;flag=1&amp;title=Leonard%201'%20Driving%20Finger%20Roll%20Layup%20(7%20PTS)%20(Anderson%202%20AST)", "Leonard 1' Driving Finger Roll Layup (7 PTS) (Anderson 2 AST)")</f>
        <v>Leonard 1' Driving Finger Roll Layup (7 PTS) (Anderson 2 AST)</v>
      </c>
      <c r="L5206" s="2" t="str">
        <f>HYPERLINK("https://www.nba.com/game/...-vs-...-0021500742/play-by-play?watchFullGame=true", "SAS vs NOP - Q2 08:35.00")</f>
        <v>SAS vs NOP - Q2 08:35.00</v>
      </c>
      <c r="M5206">
        <v>1</v>
      </c>
      <c r="N5206">
        <v>-11</v>
      </c>
      <c r="O5206">
        <v>7</v>
      </c>
      <c r="P5206">
        <v>-11</v>
      </c>
      <c r="Q5206">
        <v>7</v>
      </c>
      <c r="R5206" t="s">
        <v>21</v>
      </c>
      <c r="S5206" t="s">
        <v>21</v>
      </c>
    </row>
    <row r="5207" spans="1:19" hidden="1" x14ac:dyDescent="0.25">
      <c r="A5207">
        <v>21500090</v>
      </c>
      <c r="B5207" t="s">
        <v>18</v>
      </c>
      <c r="C5207" t="s">
        <v>35</v>
      </c>
      <c r="D5207">
        <v>60</v>
      </c>
      <c r="E5207">
        <v>60</v>
      </c>
      <c r="F5207">
        <v>0</v>
      </c>
      <c r="G5207">
        <v>3</v>
      </c>
      <c r="H5207" s="1">
        <v>5.9953703703703705E-3</v>
      </c>
      <c r="I5207">
        <v>2015</v>
      </c>
      <c r="J5207" t="s">
        <v>20</v>
      </c>
      <c r="K5207" s="2" t="str">
        <f>HYPERLINK("https://www.nba.com/stats/events?CFID=&amp;CFPARAMS=&amp;GameEventID=294&amp;GameID=0021500090&amp;Season=2015-16&amp;flag=1&amp;title=Leonard%201'%20Reverse%20Layup%20(12%20PTS)%20(West%204%20AST)", "Leonard 1' Reverse Layup (12 PTS) (West 4 AST)")</f>
        <v>Leonard 1' Reverse Layup (12 PTS) (West 4 AST)</v>
      </c>
      <c r="L5207" s="2" t="str">
        <f>HYPERLINK("https://www.nba.com/game/...-vs-...-0021500090/play-by-play?watchFullGame=true", "SAS vs CHA - Q3 08:38.00")</f>
        <v>SAS vs CHA - Q3 08:38.00</v>
      </c>
      <c r="M5207">
        <v>1</v>
      </c>
      <c r="N5207">
        <v>-11</v>
      </c>
      <c r="O5207">
        <v>-6</v>
      </c>
      <c r="P5207">
        <v>-11</v>
      </c>
      <c r="Q5207">
        <v>-6</v>
      </c>
      <c r="R5207" t="s">
        <v>21</v>
      </c>
      <c r="S5207" t="s">
        <v>21</v>
      </c>
    </row>
    <row r="5208" spans="1:19" hidden="1" x14ac:dyDescent="0.25">
      <c r="A5208">
        <v>21500759</v>
      </c>
      <c r="B5208" t="s">
        <v>18</v>
      </c>
      <c r="C5208" t="s">
        <v>24</v>
      </c>
      <c r="D5208">
        <v>67</v>
      </c>
      <c r="E5208">
        <v>34</v>
      </c>
      <c r="F5208">
        <v>33</v>
      </c>
      <c r="G5208">
        <v>3</v>
      </c>
      <c r="H5208" s="1">
        <v>6.0069444444444441E-3</v>
      </c>
      <c r="I5208">
        <v>2015</v>
      </c>
      <c r="J5208" t="s">
        <v>20</v>
      </c>
      <c r="K5208" s="2" t="str">
        <f>HYPERLINK("https://www.nba.com/stats/events?CFID=&amp;CFPARAMS=&amp;GameEventID=284&amp;GameID=0021500759&amp;Season=2015-16&amp;flag=1&amp;title=Leonard%201'%20Layup%20(18%20PTS)%20(Diaw%204%20AST)", "Leonard 1' Layup (18 PTS) (Diaw 4 AST)")</f>
        <v>Leonard 1' Layup (18 PTS) (Diaw 4 AST)</v>
      </c>
      <c r="L5208" s="2" t="str">
        <f>HYPERLINK("https://www.nba.com/game/...-vs-...-0021500759/play-by-play?watchFullGame=true", "SAS vs DAL - Q3 08:39.00")</f>
        <v>SAS vs DAL - Q3 08:39.00</v>
      </c>
      <c r="M5208">
        <v>1</v>
      </c>
      <c r="N5208">
        <v>14</v>
      </c>
      <c r="O5208">
        <v>3</v>
      </c>
      <c r="P5208">
        <v>14</v>
      </c>
      <c r="Q5208">
        <v>3</v>
      </c>
      <c r="R5208" t="s">
        <v>21</v>
      </c>
      <c r="S5208" t="s">
        <v>21</v>
      </c>
    </row>
    <row r="5209" spans="1:19" hidden="1" x14ac:dyDescent="0.25">
      <c r="A5209">
        <v>21500156</v>
      </c>
      <c r="B5209" t="s">
        <v>18</v>
      </c>
      <c r="C5209" t="s">
        <v>24</v>
      </c>
      <c r="D5209">
        <v>23</v>
      </c>
      <c r="E5209">
        <v>15</v>
      </c>
      <c r="F5209">
        <v>8</v>
      </c>
      <c r="G5209">
        <v>2</v>
      </c>
      <c r="H5209" s="1">
        <v>6.0416666666666665E-3</v>
      </c>
      <c r="I5209">
        <v>2015</v>
      </c>
      <c r="J5209" t="s">
        <v>20</v>
      </c>
      <c r="K5209" s="2" t="str">
        <f>HYPERLINK("https://www.nba.com/stats/events?CFID=&amp;CFPARAMS=&amp;GameEventID=159&amp;GameID=0021500156&amp;Season=2015-16&amp;flag=1&amp;title=Leonard%201'%20Layup%20(4%20PTS)%20(West%202%20AST)", "Leonard 1' Layup (4 PTS) (West 2 AST)")</f>
        <v>Leonard 1' Layup (4 PTS) (West 2 AST)</v>
      </c>
      <c r="L5209" s="2" t="str">
        <f>HYPERLINK("https://www.nba.com/game/...-vs-...-0021500156/play-by-play?watchFullGame=true", "SAS vs POR - Q2 08:42.00")</f>
        <v>SAS vs POR - Q2 08:42.00</v>
      </c>
      <c r="M5209">
        <v>1</v>
      </c>
      <c r="N5209">
        <v>9</v>
      </c>
      <c r="O5209">
        <v>-1</v>
      </c>
      <c r="P5209">
        <v>9</v>
      </c>
      <c r="Q5209">
        <v>-1</v>
      </c>
      <c r="R5209" t="s">
        <v>21</v>
      </c>
      <c r="S5209" t="s">
        <v>21</v>
      </c>
    </row>
    <row r="5210" spans="1:19" hidden="1" x14ac:dyDescent="0.25">
      <c r="A5210">
        <v>41200402</v>
      </c>
      <c r="B5210" t="s">
        <v>18</v>
      </c>
      <c r="C5210" t="s">
        <v>24</v>
      </c>
      <c r="D5210">
        <v>48</v>
      </c>
      <c r="E5210">
        <v>54</v>
      </c>
      <c r="F5210">
        <v>6</v>
      </c>
      <c r="G5210">
        <v>3</v>
      </c>
      <c r="H5210" s="1">
        <v>6.053240740740741E-3</v>
      </c>
      <c r="I5210" t="s">
        <v>53</v>
      </c>
      <c r="J5210" t="s">
        <v>20</v>
      </c>
      <c r="K5210" s="2" t="str">
        <f>HYPERLINK("https://www.nba.com/stats/events?CFID=&amp;CFPARAMS=&amp;GameEventID=256&amp;GameID=0041200402&amp;Season=2012-13&amp;flag=1&amp;title=Leonard%201'%20Layup%20(4%20PTS)", "Leonard 1' Layup (4 PTS)")</f>
        <v>Leonard 1' Layup (4 PTS)</v>
      </c>
      <c r="L5210" s="2" t="str">
        <f>HYPERLINK("https://www.nba.com/game/...-vs-...-0041200402/play-by-play?watchFullGame=true", "SAS vs MIA - Q3 08:43.00")</f>
        <v>SAS vs MIA - Q3 08:43.00</v>
      </c>
      <c r="M5210">
        <v>1</v>
      </c>
      <c r="N5210">
        <v>12</v>
      </c>
      <c r="O5210">
        <v>6</v>
      </c>
      <c r="P5210">
        <v>12</v>
      </c>
      <c r="Q5210">
        <v>6</v>
      </c>
      <c r="R5210" t="s">
        <v>21</v>
      </c>
      <c r="S5210" t="s">
        <v>21</v>
      </c>
    </row>
    <row r="5211" spans="1:19" hidden="1" x14ac:dyDescent="0.25">
      <c r="A5211">
        <v>21300898</v>
      </c>
      <c r="B5211" t="s">
        <v>18</v>
      </c>
      <c r="C5211" t="s">
        <v>22</v>
      </c>
      <c r="D5211">
        <v>100</v>
      </c>
      <c r="E5211">
        <v>75</v>
      </c>
      <c r="F5211">
        <v>25</v>
      </c>
      <c r="G5211">
        <v>4</v>
      </c>
      <c r="H5211" s="1">
        <v>6.0648148148148145E-3</v>
      </c>
      <c r="I5211">
        <v>2013</v>
      </c>
      <c r="J5211" t="s">
        <v>20</v>
      </c>
      <c r="K5211" s="2" t="str">
        <f>HYPERLINK("https://www.nba.com/stats/events?CFID=&amp;CFPARAMS=&amp;GameEventID=455&amp;GameID=0021300898&amp;Season=2013-14&amp;flag=1&amp;title=Leonard%201'%20Driving%20Layup%20(16%20PTS)%20(Mills%205%20AST)", "Leonard 1' Driving Layup (16 PTS) (Mills 5 AST)")</f>
        <v>Leonard 1' Driving Layup (16 PTS) (Mills 5 AST)</v>
      </c>
      <c r="L5211" s="2" t="str">
        <f>HYPERLINK("https://www.nba.com/game/...-vs-...-0021300898/play-by-play?watchFullGame=true", "SAS vs CLE - Q4 08:44.00")</f>
        <v>SAS vs CLE - Q4 08:44.00</v>
      </c>
      <c r="M5211">
        <v>1</v>
      </c>
      <c r="N5211">
        <v>-5</v>
      </c>
      <c r="O5211">
        <v>-2</v>
      </c>
      <c r="P5211">
        <v>-5</v>
      </c>
      <c r="Q5211">
        <v>-2</v>
      </c>
      <c r="R5211" t="s">
        <v>21</v>
      </c>
      <c r="S5211" t="s">
        <v>21</v>
      </c>
    </row>
    <row r="5212" spans="1:19" hidden="1" x14ac:dyDescent="0.25">
      <c r="A5212">
        <v>21401157</v>
      </c>
      <c r="B5212" t="s">
        <v>18</v>
      </c>
      <c r="C5212" t="s">
        <v>68</v>
      </c>
      <c r="D5212">
        <v>9</v>
      </c>
      <c r="E5212">
        <v>5</v>
      </c>
      <c r="F5212">
        <v>4</v>
      </c>
      <c r="G5212">
        <v>1</v>
      </c>
      <c r="H5212" s="1">
        <v>4.8263888888888887E-3</v>
      </c>
      <c r="I5212">
        <v>2014</v>
      </c>
      <c r="J5212" t="s">
        <v>20</v>
      </c>
      <c r="K5212" s="2" t="str">
        <f>HYPERLINK("https://www.nba.com/stats/events?CFID=&amp;CFPARAMS=&amp;GameEventID=56&amp;GameID=0021401157&amp;Season=2014-15&amp;flag=1&amp;title=Leonard%20%20Alley%20Oop%20Dunk%20(7%20PTS)%20(Duncan%201%20AST)", "Leonard  Alley Oop Dunk (7 PTS) (Duncan 1 AST)")</f>
        <v>Leonard  Alley Oop Dunk (7 PTS) (Duncan 1 AST)</v>
      </c>
      <c r="L5212" s="2" t="str">
        <f>HYPERLINK("https://www.nba.com/game/...-vs-...-0021401157/play-by-play?watchFullGame=true", "SAS vs OKC - Q1 06:57.00")</f>
        <v>SAS vs OKC - Q1 06:57.00</v>
      </c>
      <c r="M5212">
        <v>0</v>
      </c>
      <c r="N5212">
        <v>0</v>
      </c>
      <c r="O5212">
        <v>1</v>
      </c>
      <c r="P5212">
        <v>0</v>
      </c>
      <c r="Q5212">
        <v>1</v>
      </c>
      <c r="R5212" t="s">
        <v>21</v>
      </c>
      <c r="S5212" t="s">
        <v>21</v>
      </c>
    </row>
    <row r="5213" spans="1:19" hidden="1" x14ac:dyDescent="0.25">
      <c r="A5213">
        <v>21300604</v>
      </c>
      <c r="B5213" t="s">
        <v>18</v>
      </c>
      <c r="C5213" t="s">
        <v>24</v>
      </c>
      <c r="D5213">
        <v>38</v>
      </c>
      <c r="E5213">
        <v>22</v>
      </c>
      <c r="F5213">
        <v>16</v>
      </c>
      <c r="G5213">
        <v>2</v>
      </c>
      <c r="H5213" s="1">
        <v>6.076388888888889E-3</v>
      </c>
      <c r="I5213">
        <v>2013</v>
      </c>
      <c r="J5213" t="s">
        <v>20</v>
      </c>
      <c r="K5213" s="2" t="str">
        <f>HYPERLINK("https://www.nba.com/stats/events?CFID=&amp;CFPARAMS=&amp;GameEventID=147&amp;GameID=0021300604&amp;Season=2013-14&amp;flag=1&amp;title=Leonard%201'%20Layup%20(7%20PTS)", "Leonard 1' Layup (7 PTS)")</f>
        <v>Leonard 1' Layup (7 PTS)</v>
      </c>
      <c r="L5213" s="2" t="str">
        <f>HYPERLINK("https://www.nba.com/game/...-vs-...-0021300604/play-by-play?watchFullGame=true", "SAS vs MIL - Q2 08:45.00")</f>
        <v>SAS vs MIL - Q2 08:45.00</v>
      </c>
      <c r="M5213">
        <v>1</v>
      </c>
      <c r="N5213">
        <v>-11</v>
      </c>
      <c r="O5213">
        <v>0</v>
      </c>
      <c r="P5213">
        <v>-11</v>
      </c>
      <c r="Q5213">
        <v>0</v>
      </c>
      <c r="R5213" t="s">
        <v>21</v>
      </c>
      <c r="S5213" t="s">
        <v>21</v>
      </c>
    </row>
    <row r="5214" spans="1:19" hidden="1" x14ac:dyDescent="0.25">
      <c r="A5214">
        <v>21600383</v>
      </c>
      <c r="B5214" t="s">
        <v>18</v>
      </c>
      <c r="C5214" t="s">
        <v>50</v>
      </c>
      <c r="D5214">
        <v>70</v>
      </c>
      <c r="E5214">
        <v>55</v>
      </c>
      <c r="F5214">
        <v>15</v>
      </c>
      <c r="G5214">
        <v>3</v>
      </c>
      <c r="H5214" s="1">
        <v>4.8958333333333336E-3</v>
      </c>
      <c r="I5214">
        <v>2016</v>
      </c>
      <c r="J5214" t="s">
        <v>20</v>
      </c>
      <c r="K5214" s="2" t="str">
        <f>HYPERLINK("https://www.nba.com/stats/events?CFID=&amp;CFPARAMS=&amp;GameEventID=292&amp;GameID=0021600383&amp;Season=2016-17&amp;flag=1&amp;title=Leonard%20%20Running%20Dunk%20(20%20PTS)%20(Gasol%205%20AST)", "Leonard  Running Dunk (20 PTS) (Gasol 5 AST)")</f>
        <v>Leonard  Running Dunk (20 PTS) (Gasol 5 AST)</v>
      </c>
      <c r="L5214" s="2" t="str">
        <f>HYPERLINK("https://www.nba.com/game/...-vs-...-0021600383/play-by-play?watchFullGame=true", "SAS vs BOS - Q3 07:03.00")</f>
        <v>SAS vs BOS - Q3 07:03.00</v>
      </c>
      <c r="M5214">
        <v>0</v>
      </c>
      <c r="N5214">
        <v>0</v>
      </c>
      <c r="O5214">
        <v>1</v>
      </c>
      <c r="P5214">
        <v>0</v>
      </c>
      <c r="Q5214">
        <v>1</v>
      </c>
      <c r="R5214" t="s">
        <v>21</v>
      </c>
      <c r="S5214" t="s">
        <v>21</v>
      </c>
    </row>
    <row r="5215" spans="1:19" hidden="1" x14ac:dyDescent="0.25">
      <c r="A5215">
        <v>21600387</v>
      </c>
      <c r="B5215" t="s">
        <v>18</v>
      </c>
      <c r="C5215" t="s">
        <v>22</v>
      </c>
      <c r="D5215">
        <v>31</v>
      </c>
      <c r="E5215">
        <v>30</v>
      </c>
      <c r="F5215">
        <v>1</v>
      </c>
      <c r="G5215">
        <v>2</v>
      </c>
      <c r="H5215" s="1">
        <v>6.1111111111111114E-3</v>
      </c>
      <c r="I5215">
        <v>2016</v>
      </c>
      <c r="J5215" t="s">
        <v>20</v>
      </c>
      <c r="K5215" s="2" t="str">
        <f>HYPERLINK("https://www.nba.com/stats/events?CFID=&amp;CFPARAMS=&amp;GameEventID=162&amp;GameID=0021600387&amp;Season=2016-17&amp;flag=1&amp;title=Leonard%201'%20Driving%20Layup%20(7%20PTS)", "Leonard 1' Driving Layup (7 PTS)")</f>
        <v>Leonard 1' Driving Layup (7 PTS)</v>
      </c>
      <c r="L5215" s="2" t="str">
        <f>HYPERLINK("https://www.nba.com/game/...-vs-...-0021600387/play-by-play?watchFullGame=true", "SAS vs PHX - Q2 08:48.00")</f>
        <v>SAS vs PHX - Q2 08:48.00</v>
      </c>
      <c r="M5215">
        <v>1</v>
      </c>
      <c r="N5215">
        <v>10</v>
      </c>
      <c r="O5215">
        <v>11</v>
      </c>
      <c r="P5215">
        <v>10</v>
      </c>
      <c r="Q5215">
        <v>11</v>
      </c>
      <c r="R5215" t="s">
        <v>21</v>
      </c>
      <c r="S5215" t="s">
        <v>21</v>
      </c>
    </row>
    <row r="5216" spans="1:19" hidden="1" x14ac:dyDescent="0.25">
      <c r="A5216">
        <v>21800332</v>
      </c>
      <c r="B5216" t="s">
        <v>18</v>
      </c>
      <c r="C5216" t="s">
        <v>22</v>
      </c>
      <c r="D5216">
        <v>84</v>
      </c>
      <c r="E5216">
        <v>75</v>
      </c>
      <c r="F5216">
        <v>9</v>
      </c>
      <c r="G5216">
        <v>4</v>
      </c>
      <c r="H5216" s="1">
        <v>6.1689814814814819E-3</v>
      </c>
      <c r="I5216">
        <v>2018</v>
      </c>
      <c r="J5216" t="s">
        <v>48</v>
      </c>
      <c r="K5216" s="2" t="str">
        <f>HYPERLINK("https://www.nba.com/stats/events?CFID=&amp;CFPARAMS=&amp;GameEventID=505&amp;GameID=0021800332&amp;Season=2018-19&amp;flag=1&amp;title=Leonard%201'%20Driving%20Layup%20(25%20PTS)", "Leonard 1' Driving Layup (25 PTS)")</f>
        <v>Leonard 1' Driving Layup (25 PTS)</v>
      </c>
      <c r="L5216" s="2" t="str">
        <f>HYPERLINK("https://www.nba.com/game/...-vs-...-0021800332/play-by-play?watchFullGame=true", "TOR vs CLE - Q4 08:53.00")</f>
        <v>TOR vs CLE - Q4 08:53.00</v>
      </c>
      <c r="M5216">
        <v>1</v>
      </c>
      <c r="N5216">
        <v>5</v>
      </c>
      <c r="O5216">
        <v>8</v>
      </c>
      <c r="P5216">
        <v>5</v>
      </c>
      <c r="Q5216">
        <v>8</v>
      </c>
      <c r="R5216" t="s">
        <v>21</v>
      </c>
      <c r="S5216" t="s">
        <v>21</v>
      </c>
    </row>
    <row r="5217" spans="1:19" hidden="1" x14ac:dyDescent="0.25">
      <c r="A5217">
        <v>41300403</v>
      </c>
      <c r="B5217" t="s">
        <v>18</v>
      </c>
      <c r="C5217" t="s">
        <v>22</v>
      </c>
      <c r="D5217">
        <v>10</v>
      </c>
      <c r="E5217">
        <v>8</v>
      </c>
      <c r="F5217">
        <v>2</v>
      </c>
      <c r="G5217">
        <v>1</v>
      </c>
      <c r="H5217" s="1">
        <v>6.1921296296296299E-3</v>
      </c>
      <c r="I5217" t="s">
        <v>55</v>
      </c>
      <c r="J5217" t="s">
        <v>20</v>
      </c>
      <c r="K5217" s="2" t="str">
        <f>HYPERLINK("https://www.nba.com/stats/events?CFID=&amp;CFPARAMS=&amp;GameEventID=21&amp;GameID=0041300403&amp;Season=2013-14&amp;flag=1&amp;title=Leonard%201'%20Driving%20Layup%20(4%20PTS)", "Leonard 1' Driving Layup (4 PTS)")</f>
        <v>Leonard 1' Driving Layup (4 PTS)</v>
      </c>
      <c r="L5217" s="2" t="str">
        <f>HYPERLINK("https://www.nba.com/game/...-vs-...-0041300403/play-by-play?watchFullGame=true", "SAS vs MIA - Q1 08:55.00")</f>
        <v>SAS vs MIA - Q1 08:55.00</v>
      </c>
      <c r="M5217">
        <v>1</v>
      </c>
      <c r="N5217">
        <v>9</v>
      </c>
      <c r="O5217">
        <v>9</v>
      </c>
      <c r="P5217">
        <v>9</v>
      </c>
      <c r="Q5217">
        <v>9</v>
      </c>
      <c r="R5217" t="s">
        <v>21</v>
      </c>
      <c r="S5217" t="s">
        <v>21</v>
      </c>
    </row>
    <row r="5218" spans="1:19" hidden="1" x14ac:dyDescent="0.25">
      <c r="A5218">
        <v>21400949</v>
      </c>
      <c r="B5218" t="s">
        <v>18</v>
      </c>
      <c r="C5218" t="s">
        <v>68</v>
      </c>
      <c r="D5218">
        <v>73</v>
      </c>
      <c r="E5218">
        <v>47</v>
      </c>
      <c r="F5218">
        <v>26</v>
      </c>
      <c r="G5218">
        <v>3</v>
      </c>
      <c r="H5218" s="1">
        <v>4.9537037037037041E-3</v>
      </c>
      <c r="I5218">
        <v>2014</v>
      </c>
      <c r="J5218" t="s">
        <v>20</v>
      </c>
      <c r="K5218" s="2" t="str">
        <f>HYPERLINK("https://www.nba.com/stats/events?CFID=&amp;CFPARAMS=&amp;GameEventID=292&amp;GameID=0021400949&amp;Season=2014-15&amp;flag=1&amp;title=Leonard%20Alley%20Oop%20Dunk%20(16%20PTS)%20(Duncan%201%20AST)", "Leonard Alley Oop Dunk (16 PTS) (Duncan 1 AST)")</f>
        <v>Leonard Alley Oop Dunk (16 PTS) (Duncan 1 AST)</v>
      </c>
      <c r="L5218" s="2" t="str">
        <f>HYPERLINK("https://www.nba.com/game/...-vs-...-0021400949/play-by-play?watchFullGame=true", "SAS vs TOR - Q3 07:08.00")</f>
        <v>SAS vs TOR - Q3 07:08.00</v>
      </c>
      <c r="M5218">
        <v>0</v>
      </c>
      <c r="N5218">
        <v>0</v>
      </c>
      <c r="O5218">
        <v>1</v>
      </c>
      <c r="P5218">
        <v>0</v>
      </c>
      <c r="Q5218">
        <v>1</v>
      </c>
      <c r="R5218" t="s">
        <v>21</v>
      </c>
      <c r="S5218" t="s">
        <v>21</v>
      </c>
    </row>
    <row r="5219" spans="1:19" hidden="1" x14ac:dyDescent="0.25">
      <c r="A5219">
        <v>21700449</v>
      </c>
      <c r="B5219" t="s">
        <v>18</v>
      </c>
      <c r="C5219" t="s">
        <v>71</v>
      </c>
      <c r="D5219">
        <v>37</v>
      </c>
      <c r="E5219">
        <v>25</v>
      </c>
      <c r="F5219">
        <v>12</v>
      </c>
      <c r="G5219">
        <v>2</v>
      </c>
      <c r="H5219" s="1">
        <v>6.2152777777777779E-3</v>
      </c>
      <c r="I5219">
        <v>2017</v>
      </c>
      <c r="J5219" t="s">
        <v>20</v>
      </c>
      <c r="K5219" s="2" t="str">
        <f>HYPERLINK("https://www.nba.com/stats/events?CFID=&amp;CFPARAMS=&amp;GameEventID=194&amp;GameID=0021700449&amp;Season=2017-18&amp;flag=1&amp;title=Leonard%201'%20Running%20Finger%20Roll%20Layup%20(4%20PTS)%20(Parker%205%20AST)", "Leonard 1' Running Finger Roll Layup (4 PTS) (Parker 5 AST)")</f>
        <v>Leonard 1' Running Finger Roll Layup (4 PTS) (Parker 5 AST)</v>
      </c>
      <c r="L5219" s="2" t="str">
        <f>HYPERLINK("https://www.nba.com/game/...-vs-...-0021700449/play-by-play?watchFullGame=true", "SAS vs LAC - Q2 08:57.00")</f>
        <v>SAS vs LAC - Q2 08:57.00</v>
      </c>
      <c r="M5219">
        <v>1</v>
      </c>
      <c r="N5219">
        <v>8</v>
      </c>
      <c r="O5219">
        <v>8</v>
      </c>
      <c r="P5219">
        <v>8</v>
      </c>
      <c r="Q5219">
        <v>8</v>
      </c>
      <c r="R5219" t="s">
        <v>21</v>
      </c>
      <c r="S5219" t="s">
        <v>21</v>
      </c>
    </row>
    <row r="5220" spans="1:19" hidden="1" x14ac:dyDescent="0.25">
      <c r="A5220">
        <v>21500979</v>
      </c>
      <c r="B5220" t="s">
        <v>18</v>
      </c>
      <c r="C5220" t="s">
        <v>25</v>
      </c>
      <c r="D5220">
        <v>35</v>
      </c>
      <c r="E5220">
        <v>27</v>
      </c>
      <c r="F5220">
        <v>8</v>
      </c>
      <c r="G5220">
        <v>2</v>
      </c>
      <c r="H5220" s="1">
        <v>4.9768518518518521E-3</v>
      </c>
      <c r="I5220">
        <v>2015</v>
      </c>
      <c r="J5220" t="s">
        <v>20</v>
      </c>
      <c r="K5220" s="2" t="str">
        <f>HYPERLINK("https://www.nba.com/stats/events?CFID=&amp;CFPARAMS=&amp;GameEventID=191&amp;GameID=0021500979&amp;Season=2015-16&amp;flag=1&amp;title=Leonard%20%20Driving%20Dunk%20(6%20PTS)%20(Aldridge%201%20AST)", "Leonard  Driving Dunk (6 PTS) (Aldridge 1 AST)")</f>
        <v>Leonard  Driving Dunk (6 PTS) (Aldridge 1 AST)</v>
      </c>
      <c r="L5220" s="2" t="str">
        <f>HYPERLINK("https://www.nba.com/game/...-vs-...-0021500979/play-by-play?watchFullGame=true", "SAS vs OKC - Q2 07:10.00")</f>
        <v>SAS vs OKC - Q2 07:10.00</v>
      </c>
      <c r="M5220">
        <v>0</v>
      </c>
      <c r="N5220">
        <v>0</v>
      </c>
      <c r="O5220">
        <v>1</v>
      </c>
      <c r="P5220">
        <v>0</v>
      </c>
      <c r="Q5220">
        <v>1</v>
      </c>
      <c r="R5220" t="s">
        <v>21</v>
      </c>
      <c r="S5220" t="s">
        <v>21</v>
      </c>
    </row>
    <row r="5221" spans="1:19" hidden="1" x14ac:dyDescent="0.25">
      <c r="A5221">
        <v>21501063</v>
      </c>
      <c r="B5221" t="s">
        <v>18</v>
      </c>
      <c r="C5221" t="s">
        <v>35</v>
      </c>
      <c r="D5221">
        <v>65</v>
      </c>
      <c r="E5221">
        <v>53</v>
      </c>
      <c r="F5221">
        <v>12</v>
      </c>
      <c r="G5221">
        <v>3</v>
      </c>
      <c r="H5221" s="1">
        <v>6.2731481481481484E-3</v>
      </c>
      <c r="I5221">
        <v>2015</v>
      </c>
      <c r="J5221" t="s">
        <v>20</v>
      </c>
      <c r="K5221" s="2" t="str">
        <f>HYPERLINK("https://www.nba.com/stats/events?CFID=&amp;CFPARAMS=&amp;GameEventID=263&amp;GameID=0021501063&amp;Season=2015-16&amp;flag=1&amp;title=Leonard%201'%20Reverse%20Layup%20(26%20PTS)%20(Aldridge%201%20AST)", "Leonard 1' Reverse Layup (26 PTS) (Aldridge 1 AST)")</f>
        <v>Leonard 1' Reverse Layup (26 PTS) (Aldridge 1 AST)</v>
      </c>
      <c r="L5221" s="2" t="str">
        <f>HYPERLINK("https://www.nba.com/game/...-vs-...-0021501063/play-by-play?watchFullGame=true", "SAS vs MIA - Q3 09:02.00")</f>
        <v>SAS vs MIA - Q3 09:02.00</v>
      </c>
      <c r="M5221">
        <v>1</v>
      </c>
      <c r="N5221">
        <v>2</v>
      </c>
      <c r="O5221">
        <v>-5</v>
      </c>
      <c r="P5221">
        <v>2</v>
      </c>
      <c r="Q5221">
        <v>-5</v>
      </c>
      <c r="R5221" t="s">
        <v>21</v>
      </c>
      <c r="S5221" t="s">
        <v>21</v>
      </c>
    </row>
    <row r="5222" spans="1:19" hidden="1" x14ac:dyDescent="0.25">
      <c r="A5222">
        <v>41600311</v>
      </c>
      <c r="B5222" t="s">
        <v>18</v>
      </c>
      <c r="C5222" t="s">
        <v>22</v>
      </c>
      <c r="D5222">
        <v>37</v>
      </c>
      <c r="E5222">
        <v>19</v>
      </c>
      <c r="F5222">
        <v>18</v>
      </c>
      <c r="G5222">
        <v>2</v>
      </c>
      <c r="H5222" s="1">
        <v>6.2847222222222219E-3</v>
      </c>
      <c r="I5222" t="s">
        <v>58</v>
      </c>
      <c r="J5222" t="s">
        <v>20</v>
      </c>
      <c r="K5222" s="2" t="str">
        <f>HYPERLINK("https://www.nba.com/stats/events?CFID=&amp;CFPARAMS=&amp;GameEventID=150&amp;GameID=0041600311&amp;Season=2016-17&amp;flag=1&amp;title=Leonard%201'%20Driving%20Layup%20(8%20PTS)", "Leonard 1' Driving Layup (8 PTS)")</f>
        <v>Leonard 1' Driving Layup (8 PTS)</v>
      </c>
      <c r="L5222" s="2" t="str">
        <f>HYPERLINK("https://www.nba.com/game/...-vs-...-0041600311/play-by-play?watchFullGame=true", "SAS vs GSW - Q2 09:03.00")</f>
        <v>SAS vs GSW - Q2 09:03.00</v>
      </c>
      <c r="M5222">
        <v>1</v>
      </c>
      <c r="N5222">
        <v>-4</v>
      </c>
      <c r="O5222">
        <v>13</v>
      </c>
      <c r="P5222">
        <v>-4</v>
      </c>
      <c r="Q5222">
        <v>13</v>
      </c>
      <c r="R5222" t="s">
        <v>21</v>
      </c>
      <c r="S5222" t="s">
        <v>21</v>
      </c>
    </row>
    <row r="5223" spans="1:19" hidden="1" x14ac:dyDescent="0.25">
      <c r="A5223">
        <v>21600425</v>
      </c>
      <c r="B5223" t="s">
        <v>18</v>
      </c>
      <c r="C5223" t="s">
        <v>44</v>
      </c>
      <c r="D5223">
        <v>57</v>
      </c>
      <c r="E5223">
        <v>51</v>
      </c>
      <c r="F5223">
        <v>6</v>
      </c>
      <c r="G5223">
        <v>3</v>
      </c>
      <c r="H5223" s="1">
        <v>6.3078703703703708E-3</v>
      </c>
      <c r="I5223">
        <v>2016</v>
      </c>
      <c r="J5223" t="s">
        <v>20</v>
      </c>
      <c r="K5223" s="2" t="str">
        <f>HYPERLINK("https://www.nba.com/stats/events?CFID=&amp;CFPARAMS=&amp;GameEventID=287&amp;GameID=0021600425&amp;Season=2016-17&amp;flag=1&amp;title=Leonard%201'%20Driving%20Reverse%20Layup%20(13%20PTS)", "Leonard 1' Driving Reverse Layup (13 PTS)")</f>
        <v>Leonard 1' Driving Reverse Layup (13 PTS)</v>
      </c>
      <c r="L5223" s="2" t="str">
        <f>HYPERLINK("https://www.nba.com/game/...-vs-...-0021600425/play-by-play?watchFullGame=true", "SAS vs HOU - Q3 09:05.00")</f>
        <v>SAS vs HOU - Q3 09:05.00</v>
      </c>
      <c r="M5223">
        <v>1</v>
      </c>
      <c r="N5223">
        <v>-6</v>
      </c>
      <c r="O5223">
        <v>7</v>
      </c>
      <c r="P5223">
        <v>-6</v>
      </c>
      <c r="Q5223">
        <v>7</v>
      </c>
      <c r="R5223" t="s">
        <v>21</v>
      </c>
      <c r="S5223" t="s">
        <v>21</v>
      </c>
    </row>
    <row r="5224" spans="1:19" hidden="1" x14ac:dyDescent="0.25">
      <c r="A5224">
        <v>41600232</v>
      </c>
      <c r="B5224" t="s">
        <v>18</v>
      </c>
      <c r="C5224" t="s">
        <v>40</v>
      </c>
      <c r="D5224">
        <v>41</v>
      </c>
      <c r="E5224">
        <v>37</v>
      </c>
      <c r="F5224">
        <v>4</v>
      </c>
      <c r="G5224">
        <v>2</v>
      </c>
      <c r="H5224" s="1">
        <v>6.3194444444444444E-3</v>
      </c>
      <c r="I5224" t="s">
        <v>58</v>
      </c>
      <c r="J5224" t="s">
        <v>20</v>
      </c>
      <c r="K5224" s="2" t="str">
        <f>HYPERLINK("https://www.nba.com/stats/events?CFID=&amp;CFPARAMS=&amp;GameEventID=126&amp;GameID=0041600232&amp;Season=2016-17&amp;flag=1&amp;title=Leonard%201'%20Driving%20Finger%20Roll%20Layup%20(12%20PTS)%20(Gasol%202%20AST)", "Leonard 1' Driving Finger Roll Layup (12 PTS) (Gasol 2 AST)")</f>
        <v>Leonard 1' Driving Finger Roll Layup (12 PTS) (Gasol 2 AST)</v>
      </c>
      <c r="L5224" s="2" t="str">
        <f>HYPERLINK("https://www.nba.com/game/...-vs-...-0041600232/play-by-play?watchFullGame=true", "SAS vs HOU - Q2 09:06.00")</f>
        <v>SAS vs HOU - Q2 09:06.00</v>
      </c>
      <c r="M5224">
        <v>1</v>
      </c>
      <c r="N5224">
        <v>0</v>
      </c>
      <c r="O5224">
        <v>13</v>
      </c>
      <c r="P5224">
        <v>0</v>
      </c>
      <c r="Q5224">
        <v>13</v>
      </c>
      <c r="R5224" t="s">
        <v>21</v>
      </c>
      <c r="S5224" t="s">
        <v>21</v>
      </c>
    </row>
    <row r="5225" spans="1:19" hidden="1" x14ac:dyDescent="0.25">
      <c r="A5225">
        <v>21500090</v>
      </c>
      <c r="B5225" t="s">
        <v>18</v>
      </c>
      <c r="C5225" t="s">
        <v>22</v>
      </c>
      <c r="D5225">
        <v>98</v>
      </c>
      <c r="E5225">
        <v>79</v>
      </c>
      <c r="F5225">
        <v>19</v>
      </c>
      <c r="G5225">
        <v>4</v>
      </c>
      <c r="H5225" s="1">
        <v>6.3310185185185188E-3</v>
      </c>
      <c r="I5225">
        <v>2015</v>
      </c>
      <c r="J5225" t="s">
        <v>20</v>
      </c>
      <c r="K5225" s="2" t="str">
        <f>HYPERLINK("https://www.nba.com/stats/events?CFID=&amp;CFPARAMS=&amp;GameEventID=410&amp;GameID=0021500090&amp;Season=2015-16&amp;flag=1&amp;title=Leonard%201'%20Driving%20Layup%20(19%20PTS)%20(Aldridge%202%20AST)", "Leonard 1' Driving Layup (19 PTS) (Aldridge 2 AST)")</f>
        <v>Leonard 1' Driving Layup (19 PTS) (Aldridge 2 AST)</v>
      </c>
      <c r="L5225" s="2" t="str">
        <f>HYPERLINK("https://www.nba.com/game/...-vs-...-0021500090/play-by-play?watchFullGame=true", "SAS vs CHA - Q4 09:07.00")</f>
        <v>SAS vs CHA - Q4 09:07.00</v>
      </c>
      <c r="M5225">
        <v>1</v>
      </c>
      <c r="N5225">
        <v>6</v>
      </c>
      <c r="O5225">
        <v>-1</v>
      </c>
      <c r="P5225">
        <v>6</v>
      </c>
      <c r="Q5225">
        <v>-1</v>
      </c>
      <c r="R5225" t="s">
        <v>21</v>
      </c>
      <c r="S5225" t="s">
        <v>21</v>
      </c>
    </row>
    <row r="5226" spans="1:19" hidden="1" x14ac:dyDescent="0.25">
      <c r="A5226">
        <v>41800115</v>
      </c>
      <c r="B5226" t="s">
        <v>18</v>
      </c>
      <c r="C5226" t="s">
        <v>33</v>
      </c>
      <c r="D5226">
        <v>11</v>
      </c>
      <c r="E5226">
        <v>1</v>
      </c>
      <c r="F5226">
        <v>10</v>
      </c>
      <c r="G5226">
        <v>1</v>
      </c>
      <c r="H5226" s="1">
        <v>6.3310185185185188E-3</v>
      </c>
      <c r="I5226" t="s">
        <v>60</v>
      </c>
      <c r="J5226" t="s">
        <v>48</v>
      </c>
      <c r="K5226" s="2" t="str">
        <f>HYPERLINK("https://www.nba.com/stats/events?CFID=&amp;CFPARAMS=&amp;GameEventID=38&amp;GameID=0041800115&amp;Season=2018-19&amp;flag=1&amp;title=Leonard%201'%20Putback%20Layup%20(2%20PTS)", "Leonard 1' Putback Layup (2 PTS)")</f>
        <v>Leonard 1' Putback Layup (2 PTS)</v>
      </c>
      <c r="L5226" s="2" t="str">
        <f>HYPERLINK("https://www.nba.com/game/...-vs-...-0041800115/play-by-play?watchFullGame=true", "TOR vs ORL - Q1 09:07.00")</f>
        <v>TOR vs ORL - Q1 09:07.00</v>
      </c>
      <c r="M5226">
        <v>1</v>
      </c>
      <c r="N5226">
        <v>9</v>
      </c>
      <c r="O5226">
        <v>11</v>
      </c>
      <c r="P5226">
        <v>9</v>
      </c>
      <c r="Q5226">
        <v>11</v>
      </c>
      <c r="R5226" t="s">
        <v>21</v>
      </c>
      <c r="S5226" t="s">
        <v>21</v>
      </c>
    </row>
    <row r="5227" spans="1:19" hidden="1" x14ac:dyDescent="0.25">
      <c r="A5227">
        <v>21600225</v>
      </c>
      <c r="B5227" t="s">
        <v>18</v>
      </c>
      <c r="C5227" t="s">
        <v>46</v>
      </c>
      <c r="D5227">
        <v>59</v>
      </c>
      <c r="E5227">
        <v>53</v>
      </c>
      <c r="F5227">
        <v>6</v>
      </c>
      <c r="G5227">
        <v>3</v>
      </c>
      <c r="H5227" s="1">
        <v>5.1504629629629626E-3</v>
      </c>
      <c r="I5227">
        <v>2016</v>
      </c>
      <c r="J5227" t="s">
        <v>20</v>
      </c>
      <c r="K5227" s="2" t="str">
        <f>HYPERLINK("https://www.nba.com/stats/events?CFID=&amp;CFPARAMS=&amp;GameEventID=282&amp;GameID=0021600225&amp;Season=2016-17&amp;flag=1&amp;title=Leonard%20%20Cutting%20Dunk%20Shot%20(14%20PTS)%20(Aldridge%203%20AST)", "Leonard  Cutting Dunk Shot (14 PTS) (Aldridge 3 AST)")</f>
        <v>Leonard  Cutting Dunk Shot (14 PTS) (Aldridge 3 AST)</v>
      </c>
      <c r="L5227" s="2" t="str">
        <f>HYPERLINK("https://www.nba.com/game/...-vs-...-0021600225/play-by-play?watchFullGame=true", "SAS vs BOS - Q3 07:25.00")</f>
        <v>SAS vs BOS - Q3 07:25.00</v>
      </c>
      <c r="M5227">
        <v>0</v>
      </c>
      <c r="N5227">
        <v>0</v>
      </c>
      <c r="O5227">
        <v>1</v>
      </c>
      <c r="P5227">
        <v>0</v>
      </c>
      <c r="Q5227">
        <v>1</v>
      </c>
      <c r="R5227" t="s">
        <v>21</v>
      </c>
      <c r="S5227" t="s">
        <v>21</v>
      </c>
    </row>
    <row r="5228" spans="1:19" hidden="1" x14ac:dyDescent="0.25">
      <c r="A5228">
        <v>21500644</v>
      </c>
      <c r="B5228" t="s">
        <v>18</v>
      </c>
      <c r="C5228" t="s">
        <v>25</v>
      </c>
      <c r="D5228">
        <v>38</v>
      </c>
      <c r="E5228">
        <v>22</v>
      </c>
      <c r="F5228">
        <v>16</v>
      </c>
      <c r="G5228">
        <v>2</v>
      </c>
      <c r="H5228" s="1">
        <v>5.162037037037037E-3</v>
      </c>
      <c r="I5228">
        <v>2015</v>
      </c>
      <c r="J5228" t="s">
        <v>20</v>
      </c>
      <c r="K5228" s="2" t="str">
        <f>HYPERLINK("https://www.nba.com/stats/events?CFID=&amp;CFPARAMS=&amp;GameEventID=163&amp;GameID=0021500644&amp;Season=2015-16&amp;flag=1&amp;title=Leonard%20%20Driving%20Dunk%20(7%20PTS)", "Leonard  Driving Dunk (7 PTS)")</f>
        <v>Leonard  Driving Dunk (7 PTS)</v>
      </c>
      <c r="L5228" s="2" t="str">
        <f>HYPERLINK("https://www.nba.com/game/...-vs-...-0021500644/play-by-play?watchFullGame=true", "SAS vs PHX - Q2 07:26.00")</f>
        <v>SAS vs PHX - Q2 07:26.00</v>
      </c>
      <c r="M5228">
        <v>0</v>
      </c>
      <c r="N5228">
        <v>0</v>
      </c>
      <c r="O5228">
        <v>1</v>
      </c>
      <c r="P5228">
        <v>0</v>
      </c>
      <c r="Q5228">
        <v>1</v>
      </c>
      <c r="R5228" t="s">
        <v>21</v>
      </c>
      <c r="S5228" t="s">
        <v>21</v>
      </c>
    </row>
    <row r="5229" spans="1:19" hidden="1" x14ac:dyDescent="0.25">
      <c r="A5229">
        <v>41800112</v>
      </c>
      <c r="B5229" t="s">
        <v>18</v>
      </c>
      <c r="C5229" t="s">
        <v>32</v>
      </c>
      <c r="D5229">
        <v>61</v>
      </c>
      <c r="E5229">
        <v>45</v>
      </c>
      <c r="F5229">
        <v>16</v>
      </c>
      <c r="G5229">
        <v>3</v>
      </c>
      <c r="H5229" s="1">
        <v>6.3888888888888893E-3</v>
      </c>
      <c r="I5229" t="s">
        <v>60</v>
      </c>
      <c r="J5229" t="s">
        <v>48</v>
      </c>
      <c r="K5229" s="2" t="str">
        <f>HYPERLINK("https://www.nba.com/stats/events?CFID=&amp;CFPARAMS=&amp;GameEventID=364&amp;GameID=0041800112&amp;Season=2018-19&amp;flag=1&amp;title=Leonard%201'%20Alley%20Oop%20Layup%20(24%20PTS)%20(Gasol%203%20AST)", "Leonard 1' Alley Oop Layup (24 PTS) (Gasol 3 AST)")</f>
        <v>Leonard 1' Alley Oop Layup (24 PTS) (Gasol 3 AST)</v>
      </c>
      <c r="L5229" s="2" t="str">
        <f>HYPERLINK("https://www.nba.com/game/...-vs-...-0041800112/play-by-play?watchFullGame=true", "TOR vs ORL - Q3 09:12.00")</f>
        <v>TOR vs ORL - Q3 09:12.00</v>
      </c>
      <c r="M5229">
        <v>1</v>
      </c>
      <c r="N5229">
        <v>-11</v>
      </c>
      <c r="O5229">
        <v>3</v>
      </c>
      <c r="P5229">
        <v>-11</v>
      </c>
      <c r="Q5229">
        <v>3</v>
      </c>
      <c r="R5229" t="s">
        <v>21</v>
      </c>
      <c r="S5229" t="s">
        <v>21</v>
      </c>
    </row>
    <row r="5230" spans="1:19" hidden="1" x14ac:dyDescent="0.25">
      <c r="A5230">
        <v>21501201</v>
      </c>
      <c r="B5230" t="s">
        <v>18</v>
      </c>
      <c r="C5230" t="s">
        <v>24</v>
      </c>
      <c r="D5230">
        <v>67</v>
      </c>
      <c r="E5230">
        <v>68</v>
      </c>
      <c r="F5230">
        <v>1</v>
      </c>
      <c r="G5230">
        <v>4</v>
      </c>
      <c r="H5230" s="1">
        <v>6.4004629629629628E-3</v>
      </c>
      <c r="I5230">
        <v>2015</v>
      </c>
      <c r="J5230" t="s">
        <v>20</v>
      </c>
      <c r="K5230" s="2" t="str">
        <f>HYPERLINK("https://www.nba.com/stats/events?CFID=&amp;CFPARAMS=&amp;GameEventID=424&amp;GameID=0021501201&amp;Season=2015-16&amp;flag=1&amp;title=Leonard%201'%20Layup%20(13%20PTS)", "Leonard 1' Layup (13 PTS)")</f>
        <v>Leonard 1' Layup (13 PTS)</v>
      </c>
      <c r="L5230" s="2" t="str">
        <f>HYPERLINK("https://www.nba.com/game/...-vs-...-0021501201/play-by-play?watchFullGame=true", "SAS vs GSW - Q4 09:13.00")</f>
        <v>SAS vs GSW - Q4 09:13.00</v>
      </c>
      <c r="M5230">
        <v>1</v>
      </c>
      <c r="N5230">
        <v>6</v>
      </c>
      <c r="O5230">
        <v>3</v>
      </c>
      <c r="P5230">
        <v>6</v>
      </c>
      <c r="Q5230">
        <v>3</v>
      </c>
      <c r="R5230" t="s">
        <v>21</v>
      </c>
      <c r="S5230" t="s">
        <v>21</v>
      </c>
    </row>
    <row r="5231" spans="1:19" hidden="1" x14ac:dyDescent="0.25">
      <c r="A5231">
        <v>41800401</v>
      </c>
      <c r="B5231" t="s">
        <v>18</v>
      </c>
      <c r="C5231" t="s">
        <v>51</v>
      </c>
      <c r="D5231">
        <v>67</v>
      </c>
      <c r="E5231">
        <v>58</v>
      </c>
      <c r="F5231">
        <v>9</v>
      </c>
      <c r="G5231">
        <v>3</v>
      </c>
      <c r="H5231" s="1">
        <v>6.4004629629629628E-3</v>
      </c>
      <c r="I5231" t="s">
        <v>60</v>
      </c>
      <c r="J5231" t="s">
        <v>48</v>
      </c>
      <c r="K5231" s="2" t="str">
        <f>HYPERLINK("https://www.nba.com/stats/events?CFID=&amp;CFPARAMS=&amp;GameEventID=378&amp;GameID=0041800401&amp;Season=2018-19&amp;flag=1&amp;title=Leonard%201'%20Running%20Layup%20(10%20PTS)%20(Siakam%204%20AST)", "Leonard 1' Running Layup (10 PTS) (Siakam 4 AST)")</f>
        <v>Leonard 1' Running Layup (10 PTS) (Siakam 4 AST)</v>
      </c>
      <c r="L5231" s="2" t="str">
        <f>HYPERLINK("https://www.nba.com/game/...-vs-...-0041800401/play-by-play?watchFullGame=true", "TOR vs GSW - Q3 09:13.00")</f>
        <v>TOR vs GSW - Q3 09:13.00</v>
      </c>
      <c r="M5231">
        <v>1</v>
      </c>
      <c r="N5231">
        <v>8</v>
      </c>
      <c r="O5231">
        <v>5</v>
      </c>
      <c r="P5231">
        <v>8</v>
      </c>
      <c r="Q5231">
        <v>5</v>
      </c>
      <c r="R5231" t="s">
        <v>21</v>
      </c>
      <c r="S5231" t="s">
        <v>21</v>
      </c>
    </row>
    <row r="5232" spans="1:19" hidden="1" x14ac:dyDescent="0.25">
      <c r="A5232">
        <v>21500172</v>
      </c>
      <c r="B5232" t="s">
        <v>18</v>
      </c>
      <c r="C5232" t="s">
        <v>63</v>
      </c>
      <c r="D5232">
        <v>71</v>
      </c>
      <c r="E5232">
        <v>62</v>
      </c>
      <c r="F5232">
        <v>9</v>
      </c>
      <c r="G5232">
        <v>3</v>
      </c>
      <c r="H5232" s="1">
        <v>6.4004629629629628E-3</v>
      </c>
      <c r="I5232">
        <v>2015</v>
      </c>
      <c r="J5232" t="s">
        <v>20</v>
      </c>
      <c r="K5232" s="2" t="str">
        <f>HYPERLINK("https://www.nba.com/stats/events?CFID=&amp;CFPARAMS=&amp;GameEventID=286&amp;GameID=0021500172&amp;Season=2015-16&amp;flag=1&amp;title=Leonard%201'%20Running%20Reverse%20Layup%20(11%20PTS)%20(Green%204%20AST)", "Leonard 1' Running Reverse Layup (11 PTS) (Green 4 AST)")</f>
        <v>Leonard 1' Running Reverse Layup (11 PTS) (Green 4 AST)</v>
      </c>
      <c r="L5232" s="2" t="str">
        <f>HYPERLINK("https://www.nba.com/game/...-vs-...-0021500172/play-by-play?watchFullGame=true", "SAS vs DEN - Q3 09:13.00")</f>
        <v>SAS vs DEN - Q3 09:13.00</v>
      </c>
      <c r="M5232">
        <v>1</v>
      </c>
      <c r="N5232">
        <v>9</v>
      </c>
      <c r="O5232">
        <v>8</v>
      </c>
      <c r="P5232">
        <v>9</v>
      </c>
      <c r="Q5232">
        <v>8</v>
      </c>
      <c r="R5232" t="s">
        <v>21</v>
      </c>
      <c r="S5232" t="s">
        <v>21</v>
      </c>
    </row>
    <row r="5233" spans="1:19" hidden="1" x14ac:dyDescent="0.25">
      <c r="A5233">
        <v>21800055</v>
      </c>
      <c r="B5233" t="s">
        <v>18</v>
      </c>
      <c r="C5233" t="s">
        <v>40</v>
      </c>
      <c r="D5233">
        <v>9</v>
      </c>
      <c r="E5233">
        <v>4</v>
      </c>
      <c r="F5233">
        <v>5</v>
      </c>
      <c r="G5233">
        <v>1</v>
      </c>
      <c r="H5233" s="1">
        <v>6.5046296296296293E-3</v>
      </c>
      <c r="I5233">
        <v>2018</v>
      </c>
      <c r="J5233" t="s">
        <v>48</v>
      </c>
      <c r="K5233" s="2" t="str">
        <f>HYPERLINK("https://www.nba.com/stats/events?CFID=&amp;CFPARAMS=&amp;GameEventID=24&amp;GameID=0021800055&amp;Season=2018-19&amp;flag=1&amp;title=Leonard%201'%20Driving%20Finger%20Roll%20Layup%20(4%20PTS)", "Leonard 1' Driving Finger Roll Layup (4 PTS)")</f>
        <v>Leonard 1' Driving Finger Roll Layup (4 PTS)</v>
      </c>
      <c r="L5233" s="2" t="str">
        <f>HYPERLINK("https://www.nba.com/game/...-vs-...-0021800055/play-by-play?watchFullGame=true", "TOR vs MIN - Q1 09:22.00")</f>
        <v>TOR vs MIN - Q1 09:22.00</v>
      </c>
      <c r="M5233">
        <v>1</v>
      </c>
      <c r="N5233">
        <v>-11</v>
      </c>
      <c r="O5233">
        <v>10</v>
      </c>
      <c r="P5233">
        <v>-11</v>
      </c>
      <c r="Q5233">
        <v>10</v>
      </c>
      <c r="R5233" t="s">
        <v>21</v>
      </c>
      <c r="S5233" t="s">
        <v>21</v>
      </c>
    </row>
    <row r="5234" spans="1:19" hidden="1" x14ac:dyDescent="0.25">
      <c r="A5234">
        <v>21600336</v>
      </c>
      <c r="B5234" t="s">
        <v>18</v>
      </c>
      <c r="C5234" t="s">
        <v>22</v>
      </c>
      <c r="D5234">
        <v>43</v>
      </c>
      <c r="E5234">
        <v>52</v>
      </c>
      <c r="F5234">
        <v>9</v>
      </c>
      <c r="G5234">
        <v>3</v>
      </c>
      <c r="H5234" s="1">
        <v>6.5740740740740742E-3</v>
      </c>
      <c r="I5234">
        <v>2016</v>
      </c>
      <c r="J5234" t="s">
        <v>20</v>
      </c>
      <c r="K5234" s="2" t="str">
        <f>HYPERLINK("https://www.nba.com/stats/events?CFID=&amp;CFPARAMS=&amp;GameEventID=280&amp;GameID=0021600336&amp;Season=2016-17&amp;flag=1&amp;title=Leonard%201'%20Driving%20Layup%20(9%20PTS)", "Leonard 1' Driving Layup (9 PTS)")</f>
        <v>Leonard 1' Driving Layup (9 PTS)</v>
      </c>
      <c r="L5234" s="2" t="str">
        <f>HYPERLINK("https://www.nba.com/game/...-vs-...-0021600336/play-by-play?watchFullGame=true", "SAS vs CHI - Q3 09:28.00")</f>
        <v>SAS vs CHI - Q3 09:28.00</v>
      </c>
      <c r="M5234">
        <v>1</v>
      </c>
      <c r="N5234">
        <v>-12</v>
      </c>
      <c r="O5234">
        <v>3</v>
      </c>
      <c r="P5234">
        <v>-12</v>
      </c>
      <c r="Q5234">
        <v>3</v>
      </c>
      <c r="R5234" t="s">
        <v>21</v>
      </c>
      <c r="S5234" t="s">
        <v>21</v>
      </c>
    </row>
    <row r="5235" spans="1:19" hidden="1" x14ac:dyDescent="0.25">
      <c r="A5235">
        <v>41500231</v>
      </c>
      <c r="B5235" t="s">
        <v>18</v>
      </c>
      <c r="C5235" t="s">
        <v>50</v>
      </c>
      <c r="D5235">
        <v>17</v>
      </c>
      <c r="E5235">
        <v>6</v>
      </c>
      <c r="F5235">
        <v>11</v>
      </c>
      <c r="G5235">
        <v>1</v>
      </c>
      <c r="H5235" s="1">
        <v>5.2314814814814811E-3</v>
      </c>
      <c r="I5235" t="s">
        <v>57</v>
      </c>
      <c r="J5235" t="s">
        <v>20</v>
      </c>
      <c r="K5235" s="2" t="str">
        <f>HYPERLINK("https://www.nba.com/stats/events?CFID=&amp;CFPARAMS=&amp;GameEventID=32&amp;GameID=0041500231&amp;Season=2015-16&amp;flag=1&amp;title=Leonard%20%20Running%20Dunk%20(6%20PTS)%20(Duncan%201%20AST)", "Leonard  Running Dunk (6 PTS) (Duncan 1 AST)")</f>
        <v>Leonard  Running Dunk (6 PTS) (Duncan 1 AST)</v>
      </c>
      <c r="L5235" s="2" t="str">
        <f>HYPERLINK("https://www.nba.com/game/...-vs-...-0041500231/play-by-play?watchFullGame=true", "SAS vs OKC - Q1 07:32.00")</f>
        <v>SAS vs OKC - Q1 07:32.00</v>
      </c>
      <c r="M5235">
        <v>0</v>
      </c>
      <c r="N5235">
        <v>0</v>
      </c>
      <c r="O5235">
        <v>1</v>
      </c>
      <c r="P5235">
        <v>0</v>
      </c>
      <c r="Q5235">
        <v>1</v>
      </c>
      <c r="R5235" t="s">
        <v>21</v>
      </c>
      <c r="S5235" t="s">
        <v>21</v>
      </c>
    </row>
    <row r="5236" spans="1:19" hidden="1" x14ac:dyDescent="0.25">
      <c r="A5236">
        <v>41200406</v>
      </c>
      <c r="B5236" t="s">
        <v>18</v>
      </c>
      <c r="C5236" t="s">
        <v>22</v>
      </c>
      <c r="D5236">
        <v>8</v>
      </c>
      <c r="E5236">
        <v>7</v>
      </c>
      <c r="F5236">
        <v>1</v>
      </c>
      <c r="G5236">
        <v>1</v>
      </c>
      <c r="H5236" s="1">
        <v>6.6087962962962966E-3</v>
      </c>
      <c r="I5236" t="s">
        <v>53</v>
      </c>
      <c r="J5236" t="s">
        <v>20</v>
      </c>
      <c r="K5236" s="2" t="str">
        <f>HYPERLINK("https://www.nba.com/stats/events?CFID=&amp;CFPARAMS=&amp;GameEventID=17&amp;GameID=0041200406&amp;Season=2012-13&amp;flag=1&amp;title=Leonard%201'%20Driving%20Layup%20(2%20PTS)", "Leonard 1' Driving Layup (2 PTS)")</f>
        <v>Leonard 1' Driving Layup (2 PTS)</v>
      </c>
      <c r="L5236" s="2" t="str">
        <f>HYPERLINK("https://www.nba.com/game/...-vs-...-0041200406/play-by-play?watchFullGame=true", "SAS vs MIA - Q1 09:31.00")</f>
        <v>SAS vs MIA - Q1 09:31.00</v>
      </c>
      <c r="M5236">
        <v>1</v>
      </c>
      <c r="N5236">
        <v>-8</v>
      </c>
      <c r="O5236">
        <v>4</v>
      </c>
      <c r="P5236">
        <v>-8</v>
      </c>
      <c r="Q5236">
        <v>4</v>
      </c>
      <c r="R5236" t="s">
        <v>21</v>
      </c>
      <c r="S5236" t="s">
        <v>21</v>
      </c>
    </row>
    <row r="5237" spans="1:19" hidden="1" x14ac:dyDescent="0.25">
      <c r="A5237">
        <v>21800442</v>
      </c>
      <c r="B5237" t="s">
        <v>18</v>
      </c>
      <c r="C5237" t="s">
        <v>22</v>
      </c>
      <c r="D5237">
        <v>56</v>
      </c>
      <c r="E5237">
        <v>45</v>
      </c>
      <c r="F5237">
        <v>11</v>
      </c>
      <c r="G5237">
        <v>3</v>
      </c>
      <c r="H5237" s="1">
        <v>6.6319444444444446E-3</v>
      </c>
      <c r="I5237">
        <v>2018</v>
      </c>
      <c r="J5237" t="s">
        <v>48</v>
      </c>
      <c r="K5237" s="2" t="str">
        <f>HYPERLINK("https://www.nba.com/stats/events?CFID=&amp;CFPARAMS=&amp;GameEventID=307&amp;GameID=0021800442&amp;Season=2018-19&amp;flag=1&amp;title=Leonard%201'%20Driving%20Layup%20(16%20PTS)%20(Wright%204%20AST)", "Leonard 1' Driving Layup (16 PTS) (Wright 4 AST)")</f>
        <v>Leonard 1' Driving Layup (16 PTS) (Wright 4 AST)</v>
      </c>
      <c r="L5237" s="2" t="str">
        <f>HYPERLINK("https://www.nba.com/game/...-vs-...-0021800442/play-by-play?watchFullGame=true", "TOR vs DEN - Q3 09:33.00")</f>
        <v>TOR vs DEN - Q3 09:33.00</v>
      </c>
      <c r="M5237">
        <v>1</v>
      </c>
      <c r="N5237">
        <v>8</v>
      </c>
      <c r="O5237">
        <v>8</v>
      </c>
      <c r="P5237">
        <v>8</v>
      </c>
      <c r="Q5237">
        <v>8</v>
      </c>
      <c r="R5237" t="s">
        <v>21</v>
      </c>
      <c r="S5237" t="s">
        <v>21</v>
      </c>
    </row>
    <row r="5238" spans="1:19" hidden="1" x14ac:dyDescent="0.25">
      <c r="A5238">
        <v>21401110</v>
      </c>
      <c r="B5238" t="s">
        <v>18</v>
      </c>
      <c r="C5238" t="s">
        <v>22</v>
      </c>
      <c r="D5238">
        <v>6</v>
      </c>
      <c r="E5238">
        <v>0</v>
      </c>
      <c r="F5238">
        <v>6</v>
      </c>
      <c r="G5238">
        <v>1</v>
      </c>
      <c r="H5238" s="1">
        <v>6.6319444444444446E-3</v>
      </c>
      <c r="I5238">
        <v>2014</v>
      </c>
      <c r="J5238" t="s">
        <v>20</v>
      </c>
      <c r="K5238" s="2" t="str">
        <f>HYPERLINK("https://www.nba.com/stats/events?CFID=&amp;CFPARAMS=&amp;GameEventID=18&amp;GameID=0021401110&amp;Season=2014-15&amp;flag=1&amp;title=Leonard%201'%20Driving%20Layup%20(2%20PTS)%20(Duncan%201%20AST)", "Leonard 1' Driving Layup (2 PTS) (Duncan 1 AST)")</f>
        <v>Leonard 1' Driving Layup (2 PTS) (Duncan 1 AST)</v>
      </c>
      <c r="L5238" s="2" t="str">
        <f>HYPERLINK("https://www.nba.com/game/...-vs-...-0021401110/play-by-play?watchFullGame=true", "SAS vs MIA - Q1 09:33.00")</f>
        <v>SAS vs MIA - Q1 09:33.00</v>
      </c>
      <c r="M5238">
        <v>1</v>
      </c>
      <c r="N5238">
        <v>12</v>
      </c>
      <c r="O5238">
        <v>4</v>
      </c>
      <c r="P5238">
        <v>12</v>
      </c>
      <c r="Q5238">
        <v>4</v>
      </c>
      <c r="R5238" t="s">
        <v>21</v>
      </c>
      <c r="S5238" t="s">
        <v>21</v>
      </c>
    </row>
    <row r="5239" spans="1:19" hidden="1" x14ac:dyDescent="0.25">
      <c r="A5239">
        <v>21600336</v>
      </c>
      <c r="B5239" t="s">
        <v>18</v>
      </c>
      <c r="C5239" t="s">
        <v>22</v>
      </c>
      <c r="D5239">
        <v>4</v>
      </c>
      <c r="E5239">
        <v>4</v>
      </c>
      <c r="F5239">
        <v>0</v>
      </c>
      <c r="G5239">
        <v>1</v>
      </c>
      <c r="H5239" s="1">
        <v>6.6666666666666671E-3</v>
      </c>
      <c r="I5239">
        <v>2016</v>
      </c>
      <c r="J5239" t="s">
        <v>20</v>
      </c>
      <c r="K5239" s="2" t="str">
        <f>HYPERLINK("https://www.nba.com/stats/events?CFID=&amp;CFPARAMS=&amp;GameEventID=14&amp;GameID=0021600336&amp;Season=2016-17&amp;flag=1&amp;title=Leonard%201'%20Driving%20Layup%20(2%20PTS)", "Leonard 1' Driving Layup (2 PTS)")</f>
        <v>Leonard 1' Driving Layup (2 PTS)</v>
      </c>
      <c r="L5239" s="2" t="str">
        <f>HYPERLINK("https://www.nba.com/game/...-vs-...-0021600336/play-by-play?watchFullGame=true", "SAS vs CHI - Q1 09:36.00")</f>
        <v>SAS vs CHI - Q1 09:36.00</v>
      </c>
      <c r="M5239">
        <v>1</v>
      </c>
      <c r="N5239">
        <v>0</v>
      </c>
      <c r="O5239">
        <v>13</v>
      </c>
      <c r="P5239">
        <v>0</v>
      </c>
      <c r="Q5239">
        <v>13</v>
      </c>
      <c r="R5239" t="s">
        <v>21</v>
      </c>
      <c r="S5239" t="s">
        <v>21</v>
      </c>
    </row>
    <row r="5240" spans="1:19" hidden="1" x14ac:dyDescent="0.25">
      <c r="A5240">
        <v>41300225</v>
      </c>
      <c r="B5240" t="s">
        <v>18</v>
      </c>
      <c r="C5240" t="s">
        <v>22</v>
      </c>
      <c r="D5240">
        <v>85</v>
      </c>
      <c r="E5240">
        <v>65</v>
      </c>
      <c r="F5240">
        <v>20</v>
      </c>
      <c r="G5240">
        <v>4</v>
      </c>
      <c r="H5240" s="1">
        <v>6.6782407407407407E-3</v>
      </c>
      <c r="I5240" t="s">
        <v>55</v>
      </c>
      <c r="J5240" t="s">
        <v>20</v>
      </c>
      <c r="K5240" s="2" t="str">
        <f>HYPERLINK("https://www.nba.com/stats/events?CFID=&amp;CFPARAMS=&amp;GameEventID=394&amp;GameID=0041300225&amp;Season=2013-14&amp;flag=1&amp;title=Leonard%201'%20Driving%20Layup%20(19%20PTS)", "Leonard 1' Driving Layup (19 PTS)")</f>
        <v>Leonard 1' Driving Layup (19 PTS)</v>
      </c>
      <c r="L5240" s="2" t="str">
        <f>HYPERLINK("https://www.nba.com/game/...-vs-...-0041300225/play-by-play?watchFullGame=true", "SAS vs POR - Q4 09:37.00")</f>
        <v>SAS vs POR - Q4 09:37.00</v>
      </c>
      <c r="M5240">
        <v>1</v>
      </c>
      <c r="N5240">
        <v>13</v>
      </c>
      <c r="O5240">
        <v>0</v>
      </c>
      <c r="P5240">
        <v>13</v>
      </c>
      <c r="Q5240">
        <v>0</v>
      </c>
      <c r="R5240" t="s">
        <v>21</v>
      </c>
      <c r="S5240" t="s">
        <v>21</v>
      </c>
    </row>
    <row r="5241" spans="1:19" hidden="1" x14ac:dyDescent="0.25">
      <c r="A5241">
        <v>41500233</v>
      </c>
      <c r="B5241" t="s">
        <v>18</v>
      </c>
      <c r="C5241" t="s">
        <v>24</v>
      </c>
      <c r="D5241">
        <v>54</v>
      </c>
      <c r="E5241">
        <v>44</v>
      </c>
      <c r="F5241">
        <v>10</v>
      </c>
      <c r="G5241">
        <v>3</v>
      </c>
      <c r="H5241" s="1">
        <v>6.7013888888888887E-3</v>
      </c>
      <c r="I5241" t="s">
        <v>57</v>
      </c>
      <c r="J5241" t="s">
        <v>20</v>
      </c>
      <c r="K5241" s="2" t="str">
        <f>HYPERLINK("https://www.nba.com/stats/events?CFID=&amp;CFPARAMS=&amp;GameEventID=282&amp;GameID=0041500233&amp;Season=2015-16&amp;flag=1&amp;title=Leonard%201'%20Layup%20(15%20PTS)", "Leonard 1' Layup (15 PTS)")</f>
        <v>Leonard 1' Layup (15 PTS)</v>
      </c>
      <c r="L5241" s="2" t="str">
        <f>HYPERLINK("https://www.nba.com/game/...-vs-...-0041500233/play-by-play?watchFullGame=true", "SAS vs OKC - Q3 09:39.00")</f>
        <v>SAS vs OKC - Q3 09:39.00</v>
      </c>
      <c r="M5241">
        <v>1</v>
      </c>
      <c r="N5241">
        <v>9</v>
      </c>
      <c r="O5241">
        <v>-1</v>
      </c>
      <c r="P5241">
        <v>9</v>
      </c>
      <c r="Q5241">
        <v>-1</v>
      </c>
      <c r="R5241" t="s">
        <v>21</v>
      </c>
      <c r="S5241" t="s">
        <v>21</v>
      </c>
    </row>
    <row r="5242" spans="1:19" hidden="1" x14ac:dyDescent="0.25">
      <c r="A5242">
        <v>41200311</v>
      </c>
      <c r="B5242" t="s">
        <v>18</v>
      </c>
      <c r="C5242" t="s">
        <v>24</v>
      </c>
      <c r="D5242">
        <v>79</v>
      </c>
      <c r="E5242">
        <v>61</v>
      </c>
      <c r="F5242">
        <v>18</v>
      </c>
      <c r="G5242">
        <v>4</v>
      </c>
      <c r="H5242" s="1">
        <v>6.7129629629629631E-3</v>
      </c>
      <c r="I5242" t="s">
        <v>53</v>
      </c>
      <c r="J5242" t="s">
        <v>20</v>
      </c>
      <c r="K5242" s="2" t="str">
        <f>HYPERLINK("https://www.nba.com/stats/events?CFID=&amp;CFPARAMS=&amp;GameEventID=357&amp;GameID=0041200311&amp;Season=2012-13&amp;flag=1&amp;title=Leonard%201'%20Layup%20(12%20PTS)%20(Diaw%202%20AST)", "Leonard 1' Layup (12 PTS) (Diaw 2 AST)")</f>
        <v>Leonard 1' Layup (12 PTS) (Diaw 2 AST)</v>
      </c>
      <c r="L5242" s="2" t="str">
        <f>HYPERLINK("https://www.nba.com/game/...-vs-...-0041200311/play-by-play?watchFullGame=true", "SAS vs MEM - Q4 09:40.00")</f>
        <v>SAS vs MEM - Q4 09:40.00</v>
      </c>
      <c r="M5242">
        <v>1</v>
      </c>
      <c r="N5242">
        <v>0</v>
      </c>
      <c r="O5242">
        <v>12</v>
      </c>
      <c r="P5242">
        <v>0</v>
      </c>
      <c r="Q5242">
        <v>12</v>
      </c>
      <c r="R5242" t="s">
        <v>21</v>
      </c>
      <c r="S5242" t="s">
        <v>21</v>
      </c>
    </row>
    <row r="5243" spans="1:19" hidden="1" x14ac:dyDescent="0.25">
      <c r="A5243">
        <v>21800359</v>
      </c>
      <c r="B5243" t="s">
        <v>18</v>
      </c>
      <c r="C5243" t="s">
        <v>67</v>
      </c>
      <c r="D5243">
        <v>59</v>
      </c>
      <c r="E5243">
        <v>54</v>
      </c>
      <c r="F5243">
        <v>5</v>
      </c>
      <c r="G5243">
        <v>3</v>
      </c>
      <c r="H5243" s="1">
        <v>6.7592592592592591E-3</v>
      </c>
      <c r="I5243">
        <v>2018</v>
      </c>
      <c r="J5243" t="s">
        <v>48</v>
      </c>
      <c r="K5243" s="2" t="str">
        <f>HYPERLINK("https://www.nba.com/stats/events?CFID=&amp;CFPARAMS=&amp;GameEventID=405&amp;GameID=0021800359&amp;Season=2018-19&amp;flag=1&amp;title=Leonard%201'%20Turnaround%20Hook%20Shot%20(23%20PTS)", "Leonard 1' Turnaround Hook Shot (23 PTS)")</f>
        <v>Leonard 1' Turnaround Hook Shot (23 PTS)</v>
      </c>
      <c r="L5243" s="2" t="str">
        <f>HYPERLINK("https://www.nba.com/game/...-vs-...-0021800359/play-by-play?watchFullGame=true", "TOR vs PHI - Q3 09:44.00")</f>
        <v>TOR vs PHI - Q3 09:44.00</v>
      </c>
      <c r="M5243">
        <v>1</v>
      </c>
      <c r="N5243">
        <v>3</v>
      </c>
      <c r="O5243">
        <v>-8</v>
      </c>
      <c r="P5243">
        <v>3</v>
      </c>
      <c r="Q5243">
        <v>-8</v>
      </c>
      <c r="R5243" t="s">
        <v>21</v>
      </c>
      <c r="S5243" t="s">
        <v>21</v>
      </c>
    </row>
    <row r="5244" spans="1:19" hidden="1" x14ac:dyDescent="0.25">
      <c r="A5244">
        <v>21800961</v>
      </c>
      <c r="B5244" t="s">
        <v>18</v>
      </c>
      <c r="C5244" t="s">
        <v>24</v>
      </c>
      <c r="D5244">
        <v>2</v>
      </c>
      <c r="E5244">
        <v>4</v>
      </c>
      <c r="F5244">
        <v>2</v>
      </c>
      <c r="G5244">
        <v>1</v>
      </c>
      <c r="H5244" s="1">
        <v>6.828703703703704E-3</v>
      </c>
      <c r="I5244">
        <v>2018</v>
      </c>
      <c r="J5244" t="s">
        <v>48</v>
      </c>
      <c r="K5244" s="2" t="str">
        <f>HYPERLINK("https://www.nba.com/stats/events?CFID=&amp;CFPARAMS=&amp;GameEventID=21&amp;GameID=0021800961&amp;Season=2018-19&amp;flag=1&amp;title=Leonard%201'%20Layup%20(2%20PTS)%20(Ibaka%201%20AST)", "Leonard 1' Layup (2 PTS) (Ibaka 1 AST)")</f>
        <v>Leonard 1' Layup (2 PTS) (Ibaka 1 AST)</v>
      </c>
      <c r="L5244" s="2" t="str">
        <f>HYPERLINK("https://www.nba.com/game/...-vs-...-0021800961/play-by-play?watchFullGame=true", "TOR vs HOU - Q1 09:50.00")</f>
        <v>TOR vs HOU - Q1 09:50.00</v>
      </c>
      <c r="M5244">
        <v>1</v>
      </c>
      <c r="N5244">
        <v>8</v>
      </c>
      <c r="O5244">
        <v>11</v>
      </c>
      <c r="P5244">
        <v>8</v>
      </c>
      <c r="Q5244">
        <v>11</v>
      </c>
      <c r="R5244" t="s">
        <v>21</v>
      </c>
      <c r="S5244" t="s">
        <v>21</v>
      </c>
    </row>
    <row r="5245" spans="1:19" hidden="1" x14ac:dyDescent="0.25">
      <c r="A5245">
        <v>41500152</v>
      </c>
      <c r="B5245" t="s">
        <v>18</v>
      </c>
      <c r="C5245" t="s">
        <v>23</v>
      </c>
      <c r="D5245">
        <v>56</v>
      </c>
      <c r="E5245">
        <v>40</v>
      </c>
      <c r="F5245">
        <v>16</v>
      </c>
      <c r="G5245">
        <v>3</v>
      </c>
      <c r="H5245" s="1">
        <v>5.2430555555555555E-3</v>
      </c>
      <c r="I5245" t="s">
        <v>57</v>
      </c>
      <c r="J5245" t="s">
        <v>20</v>
      </c>
      <c r="K5245" s="2" t="str">
        <f>HYPERLINK("https://www.nba.com/stats/events?CFID=&amp;CFPARAMS=&amp;GameEventID=291&amp;GameID=0041500152&amp;Season=2015-16&amp;flag=1&amp;title=Leonard%20%20Dunk%20(11%20PTS)%20(Green%202%20AST)", "Leonard  Dunk (11 PTS) (Green 2 AST)")</f>
        <v>Leonard  Dunk (11 PTS) (Green 2 AST)</v>
      </c>
      <c r="L5245" s="2" t="str">
        <f>HYPERLINK("https://www.nba.com/game/...-vs-...-0041500152/play-by-play?watchFullGame=true", "SAS vs MEM - Q3 07:33.00")</f>
        <v>SAS vs MEM - Q3 07:33.00</v>
      </c>
      <c r="M5245">
        <v>0</v>
      </c>
      <c r="N5245">
        <v>0</v>
      </c>
      <c r="O5245">
        <v>1</v>
      </c>
      <c r="P5245">
        <v>0</v>
      </c>
      <c r="Q5245">
        <v>1</v>
      </c>
      <c r="R5245" t="s">
        <v>21</v>
      </c>
      <c r="S5245" t="s">
        <v>21</v>
      </c>
    </row>
    <row r="5246" spans="1:19" hidden="1" x14ac:dyDescent="0.25">
      <c r="A5246">
        <v>41800217</v>
      </c>
      <c r="B5246" t="s">
        <v>18</v>
      </c>
      <c r="C5246" t="s">
        <v>29</v>
      </c>
      <c r="D5246">
        <v>4</v>
      </c>
      <c r="E5246">
        <v>0</v>
      </c>
      <c r="F5246">
        <v>4</v>
      </c>
      <c r="G5246">
        <v>1</v>
      </c>
      <c r="H5246" s="1">
        <v>6.875E-3</v>
      </c>
      <c r="I5246" t="s">
        <v>60</v>
      </c>
      <c r="J5246" t="s">
        <v>48</v>
      </c>
      <c r="K5246" s="2" t="str">
        <f>HYPERLINK("https://www.nba.com/stats/events?CFID=&amp;CFPARAMS=&amp;GameEventID=26&amp;GameID=0041800217&amp;Season=2018-19&amp;flag=1&amp;title=Leonard%201'%20Jump%20Bank%20Shot%20(4%20PTS)", "Leonard 1' Jump Bank Shot (4 PTS)")</f>
        <v>Leonard 1' Jump Bank Shot (4 PTS)</v>
      </c>
      <c r="L5246" s="2" t="str">
        <f>HYPERLINK("https://www.nba.com/game/...-vs-...-0041800217/play-by-play?watchFullGame=true", "TOR vs PHI - Q1 09:54.00")</f>
        <v>TOR vs PHI - Q1 09:54.00</v>
      </c>
      <c r="M5246">
        <v>1</v>
      </c>
      <c r="N5246">
        <v>-10</v>
      </c>
      <c r="O5246">
        <v>-5</v>
      </c>
      <c r="P5246">
        <v>-10</v>
      </c>
      <c r="Q5246">
        <v>-5</v>
      </c>
      <c r="R5246" t="s">
        <v>21</v>
      </c>
      <c r="S5246" t="s">
        <v>21</v>
      </c>
    </row>
    <row r="5247" spans="1:19" hidden="1" x14ac:dyDescent="0.25">
      <c r="A5247">
        <v>41300403</v>
      </c>
      <c r="B5247" t="s">
        <v>18</v>
      </c>
      <c r="C5247" t="s">
        <v>22</v>
      </c>
      <c r="D5247">
        <v>90</v>
      </c>
      <c r="E5247">
        <v>77</v>
      </c>
      <c r="F5247">
        <v>13</v>
      </c>
      <c r="G5247">
        <v>4</v>
      </c>
      <c r="H5247" s="1">
        <v>6.8865740740740745E-3</v>
      </c>
      <c r="I5247" t="s">
        <v>55</v>
      </c>
      <c r="J5247" t="s">
        <v>20</v>
      </c>
      <c r="K5247" s="2" t="str">
        <f>HYPERLINK("https://www.nba.com/stats/events?CFID=&amp;CFPARAMS=&amp;GameEventID=389&amp;GameID=0041300403&amp;Season=2013-14&amp;flag=1&amp;title=Leonard%201'%20Driving%20Layup%20(22%20PTS)", "Leonard 1' Driving Layup (22 PTS)")</f>
        <v>Leonard 1' Driving Layup (22 PTS)</v>
      </c>
      <c r="L5247" s="2" t="str">
        <f>HYPERLINK("https://www.nba.com/game/...-vs-...-0041300403/play-by-play?watchFullGame=true", "SAS vs MIA - Q4 09:55.00")</f>
        <v>SAS vs MIA - Q4 09:55.00</v>
      </c>
      <c r="M5247">
        <v>1</v>
      </c>
      <c r="N5247">
        <v>13</v>
      </c>
      <c r="O5247">
        <v>6</v>
      </c>
      <c r="P5247">
        <v>13</v>
      </c>
      <c r="Q5247">
        <v>6</v>
      </c>
      <c r="R5247" t="s">
        <v>21</v>
      </c>
      <c r="S5247" t="s">
        <v>21</v>
      </c>
    </row>
    <row r="5248" spans="1:19" hidden="1" x14ac:dyDescent="0.25">
      <c r="A5248">
        <v>21800055</v>
      </c>
      <c r="B5248" t="s">
        <v>18</v>
      </c>
      <c r="C5248" t="s">
        <v>22</v>
      </c>
      <c r="D5248">
        <v>7</v>
      </c>
      <c r="E5248">
        <v>4</v>
      </c>
      <c r="F5248">
        <v>3</v>
      </c>
      <c r="G5248">
        <v>1</v>
      </c>
      <c r="H5248" s="1">
        <v>6.898148148148148E-3</v>
      </c>
      <c r="I5248">
        <v>2018</v>
      </c>
      <c r="J5248" t="s">
        <v>48</v>
      </c>
      <c r="K5248" s="2" t="str">
        <f>HYPERLINK("https://www.nba.com/stats/events?CFID=&amp;CFPARAMS=&amp;GameEventID=18&amp;GameID=0021800055&amp;Season=2018-19&amp;flag=1&amp;title=Leonard%201'%20Driving%20Layup%20(2%20PTS)", "Leonard 1' Driving Layup (2 PTS)")</f>
        <v>Leonard 1' Driving Layup (2 PTS)</v>
      </c>
      <c r="L5248" s="2" t="str">
        <f>HYPERLINK("https://www.nba.com/game/...-vs-...-0021800055/play-by-play?watchFullGame=true", "TOR vs MIN - Q1 09:56.00")</f>
        <v>TOR vs MIN - Q1 09:56.00</v>
      </c>
      <c r="M5248">
        <v>1</v>
      </c>
      <c r="N5248">
        <v>-8</v>
      </c>
      <c r="O5248">
        <v>8</v>
      </c>
      <c r="P5248">
        <v>-8</v>
      </c>
      <c r="Q5248">
        <v>8</v>
      </c>
      <c r="R5248" t="s">
        <v>21</v>
      </c>
      <c r="S5248" t="s">
        <v>21</v>
      </c>
    </row>
    <row r="5249" spans="1:19" hidden="1" x14ac:dyDescent="0.25">
      <c r="A5249">
        <v>41800303</v>
      </c>
      <c r="B5249" t="s">
        <v>18</v>
      </c>
      <c r="C5249" t="s">
        <v>41</v>
      </c>
      <c r="D5249">
        <v>63</v>
      </c>
      <c r="E5249">
        <v>53</v>
      </c>
      <c r="F5249">
        <v>10</v>
      </c>
      <c r="G5249">
        <v>3</v>
      </c>
      <c r="H5249" s="1">
        <v>6.9097222222222225E-3</v>
      </c>
      <c r="I5249" t="s">
        <v>60</v>
      </c>
      <c r="J5249" t="s">
        <v>48</v>
      </c>
      <c r="K5249" s="2" t="str">
        <f>HYPERLINK("https://www.nba.com/stats/events?CFID=&amp;CFPARAMS=&amp;GameEventID=377&amp;GameID=0041800303&amp;Season=2018-19&amp;flag=1&amp;title=Leonard%201'%20Tip%20Layup%20Shot%20(17%20PTS)", "Leonard 1' Tip Layup Shot (17 PTS)")</f>
        <v>Leonard 1' Tip Layup Shot (17 PTS)</v>
      </c>
      <c r="L5249" s="2" t="str">
        <f>HYPERLINK("https://www.nba.com/game/...-vs-...-0041800303/play-by-play?watchFullGame=true", "TOR vs MIL - Q3 09:57.00")</f>
        <v>TOR vs MIL - Q3 09:57.00</v>
      </c>
      <c r="M5249">
        <v>1</v>
      </c>
      <c r="N5249">
        <v>0</v>
      </c>
      <c r="O5249">
        <v>-6</v>
      </c>
      <c r="P5249">
        <v>0</v>
      </c>
      <c r="Q5249">
        <v>-6</v>
      </c>
      <c r="R5249" t="s">
        <v>21</v>
      </c>
      <c r="S5249" t="s">
        <v>21</v>
      </c>
    </row>
    <row r="5250" spans="1:19" hidden="1" x14ac:dyDescent="0.25">
      <c r="A5250">
        <v>21800216</v>
      </c>
      <c r="B5250" t="s">
        <v>18</v>
      </c>
      <c r="C5250" t="s">
        <v>44</v>
      </c>
      <c r="D5250">
        <v>58</v>
      </c>
      <c r="E5250">
        <v>54</v>
      </c>
      <c r="F5250">
        <v>4</v>
      </c>
      <c r="G5250">
        <v>3</v>
      </c>
      <c r="H5250" s="1">
        <v>6.9328703703703705E-3</v>
      </c>
      <c r="I5250">
        <v>2018</v>
      </c>
      <c r="J5250" t="s">
        <v>48</v>
      </c>
      <c r="K5250" s="2" t="str">
        <f>HYPERLINK("https://www.nba.com/stats/events?CFID=&amp;CFPARAMS=&amp;GameEventID=378&amp;GameID=0021800216&amp;Season=2018-19&amp;flag=1&amp;title=Leonard%201'%20Driving%20Reverse%20Layup%20(16%20PTS)", "Leonard 1' Driving Reverse Layup (16 PTS)")</f>
        <v>Leonard 1' Driving Reverse Layup (16 PTS)</v>
      </c>
      <c r="L5250" s="2" t="str">
        <f>HYPERLINK("https://www.nba.com/game/...-vs-...-0021800216/play-by-play?watchFullGame=true", "TOR vs BOS - Q3 09:59.00")</f>
        <v>TOR vs BOS - Q3 09:59.00</v>
      </c>
      <c r="M5250">
        <v>1</v>
      </c>
      <c r="N5250">
        <v>-8</v>
      </c>
      <c r="O5250">
        <v>11</v>
      </c>
      <c r="P5250">
        <v>-8</v>
      </c>
      <c r="Q5250">
        <v>11</v>
      </c>
      <c r="R5250" t="s">
        <v>21</v>
      </c>
      <c r="S5250" t="s">
        <v>21</v>
      </c>
    </row>
    <row r="5251" spans="1:19" hidden="1" x14ac:dyDescent="0.25">
      <c r="A5251">
        <v>41400163</v>
      </c>
      <c r="B5251" t="s">
        <v>18</v>
      </c>
      <c r="C5251" t="s">
        <v>24</v>
      </c>
      <c r="D5251">
        <v>7</v>
      </c>
      <c r="E5251">
        <v>2</v>
      </c>
      <c r="F5251">
        <v>5</v>
      </c>
      <c r="G5251">
        <v>1</v>
      </c>
      <c r="H5251" s="1">
        <v>6.9328703703703705E-3</v>
      </c>
      <c r="I5251" t="s">
        <v>56</v>
      </c>
      <c r="J5251" t="s">
        <v>20</v>
      </c>
      <c r="K5251" s="2" t="str">
        <f>HYPERLINK("https://www.nba.com/stats/events?CFID=&amp;CFPARAMS=&amp;GameEventID=18&amp;GameID=0041400163&amp;Season=2014-15&amp;flag=1&amp;title=Leonard%201'%20Layup%20(2%20PTS)", "Leonard 1' Layup (2 PTS)")</f>
        <v>Leonard 1' Layup (2 PTS)</v>
      </c>
      <c r="L5251" s="2" t="str">
        <f>HYPERLINK("https://www.nba.com/game/...-vs-...-0041400163/play-by-play?watchFullGame=true", "SAS vs LAC - Q1 09:59.00")</f>
        <v>SAS vs LAC - Q1 09:59.00</v>
      </c>
      <c r="M5251">
        <v>1</v>
      </c>
      <c r="N5251">
        <v>9</v>
      </c>
      <c r="O5251">
        <v>-2</v>
      </c>
      <c r="P5251">
        <v>9</v>
      </c>
      <c r="Q5251">
        <v>-2</v>
      </c>
      <c r="R5251" t="s">
        <v>21</v>
      </c>
      <c r="S5251" t="s">
        <v>21</v>
      </c>
    </row>
    <row r="5252" spans="1:19" hidden="1" x14ac:dyDescent="0.25">
      <c r="A5252">
        <v>21800624</v>
      </c>
      <c r="B5252" t="s">
        <v>18</v>
      </c>
      <c r="C5252" t="s">
        <v>33</v>
      </c>
      <c r="D5252">
        <v>68</v>
      </c>
      <c r="E5252">
        <v>57</v>
      </c>
      <c r="F5252">
        <v>11</v>
      </c>
      <c r="G5252">
        <v>3</v>
      </c>
      <c r="H5252" s="1">
        <v>6.9444444444444441E-3</v>
      </c>
      <c r="I5252">
        <v>2018</v>
      </c>
      <c r="J5252" t="s">
        <v>48</v>
      </c>
      <c r="K5252" s="2" t="str">
        <f>HYPERLINK("https://www.nba.com/stats/events?CFID=&amp;CFPARAMS=&amp;GameEventID=352&amp;GameID=0021800624&amp;Season=2018-19&amp;flag=1&amp;title=Leonard%201'%20Putback%20Layup%20(17%20PTS)", "Leonard 1' Putback Layup (17 PTS)")</f>
        <v>Leonard 1' Putback Layup (17 PTS)</v>
      </c>
      <c r="L5252" s="2" t="str">
        <f>HYPERLINK("https://www.nba.com/game/...-vs-...-0021800624/play-by-play?watchFullGame=true", "TOR vs BKN - Q3 10:00.00")</f>
        <v>TOR vs BKN - Q3 10:00.00</v>
      </c>
      <c r="M5252">
        <v>1</v>
      </c>
      <c r="N5252">
        <v>0</v>
      </c>
      <c r="O5252">
        <v>-6</v>
      </c>
      <c r="P5252">
        <v>0</v>
      </c>
      <c r="Q5252">
        <v>-6</v>
      </c>
      <c r="R5252" t="s">
        <v>21</v>
      </c>
      <c r="S5252" t="s">
        <v>21</v>
      </c>
    </row>
    <row r="5253" spans="1:19" hidden="1" x14ac:dyDescent="0.25">
      <c r="A5253">
        <v>21300321</v>
      </c>
      <c r="B5253" t="s">
        <v>18</v>
      </c>
      <c r="C5253" t="s">
        <v>24</v>
      </c>
      <c r="D5253">
        <v>9</v>
      </c>
      <c r="E5253">
        <v>0</v>
      </c>
      <c r="F5253">
        <v>9</v>
      </c>
      <c r="G5253">
        <v>1</v>
      </c>
      <c r="H5253" s="1">
        <v>6.9675925925925929E-3</v>
      </c>
      <c r="I5253">
        <v>2013</v>
      </c>
      <c r="J5253" t="s">
        <v>20</v>
      </c>
      <c r="K5253" s="2" t="str">
        <f>HYPERLINK("https://www.nba.com/stats/events?CFID=&amp;CFPARAMS=&amp;GameEventID=12&amp;GameID=0021300321&amp;Season=2013-14&amp;flag=1&amp;title=Leonard%201'%20Layup%20(2%20PTS)", "Leonard 1' Layup (2 PTS)")</f>
        <v>Leonard 1' Layup (2 PTS)</v>
      </c>
      <c r="L5253" s="2" t="str">
        <f>HYPERLINK("https://www.nba.com/game/...-vs-...-0021300321/play-by-play?watchFullGame=true", "SAS vs MIL - Q1 10:02.00")</f>
        <v>SAS vs MIL - Q1 10:02.00</v>
      </c>
      <c r="M5253">
        <v>1</v>
      </c>
      <c r="N5253">
        <v>-13</v>
      </c>
      <c r="O5253">
        <v>-2</v>
      </c>
      <c r="P5253">
        <v>-13</v>
      </c>
      <c r="Q5253">
        <v>-2</v>
      </c>
      <c r="R5253" t="s">
        <v>21</v>
      </c>
      <c r="S5253" t="s">
        <v>21</v>
      </c>
    </row>
    <row r="5254" spans="1:19" hidden="1" x14ac:dyDescent="0.25">
      <c r="A5254">
        <v>21600525</v>
      </c>
      <c r="B5254" t="s">
        <v>18</v>
      </c>
      <c r="C5254" t="s">
        <v>24</v>
      </c>
      <c r="D5254">
        <v>6</v>
      </c>
      <c r="E5254">
        <v>2</v>
      </c>
      <c r="F5254">
        <v>4</v>
      </c>
      <c r="G5254">
        <v>1</v>
      </c>
      <c r="H5254" s="1">
        <v>7.0023148148148145E-3</v>
      </c>
      <c r="I5254">
        <v>2016</v>
      </c>
      <c r="J5254" t="s">
        <v>20</v>
      </c>
      <c r="K5254" s="2" t="str">
        <f>HYPERLINK("https://www.nba.com/stats/events?CFID=&amp;CFPARAMS=&amp;GameEventID=15&amp;GameID=0021600525&amp;Season=2016-17&amp;flag=1&amp;title=Leonard%201'%20Layup%20(4%20PTS)%20(Gasol%201%20AST)", "Leonard 1' Layup (4 PTS) (Gasol 1 AST)")</f>
        <v>Leonard 1' Layup (4 PTS) (Gasol 1 AST)</v>
      </c>
      <c r="L5254" s="2" t="str">
        <f>HYPERLINK("https://www.nba.com/game/...-vs-...-0021600525/play-by-play?watchFullGame=true", "SAS vs TOR - Q1 10:05.00")</f>
        <v>SAS vs TOR - Q1 10:05.00</v>
      </c>
      <c r="M5254">
        <v>1</v>
      </c>
      <c r="N5254">
        <v>-11</v>
      </c>
      <c r="O5254">
        <v>2</v>
      </c>
      <c r="P5254">
        <v>-11</v>
      </c>
      <c r="Q5254">
        <v>2</v>
      </c>
      <c r="R5254" t="s">
        <v>21</v>
      </c>
      <c r="S5254" t="s">
        <v>21</v>
      </c>
    </row>
    <row r="5255" spans="1:19" hidden="1" x14ac:dyDescent="0.25">
      <c r="A5255">
        <v>41300225</v>
      </c>
      <c r="B5255" t="s">
        <v>18</v>
      </c>
      <c r="C5255" t="s">
        <v>22</v>
      </c>
      <c r="D5255">
        <v>4</v>
      </c>
      <c r="E5255">
        <v>0</v>
      </c>
      <c r="F5255">
        <v>4</v>
      </c>
      <c r="G5255">
        <v>1</v>
      </c>
      <c r="H5255" s="1">
        <v>7.060185185185185E-3</v>
      </c>
      <c r="I5255" t="s">
        <v>55</v>
      </c>
      <c r="J5255" t="s">
        <v>20</v>
      </c>
      <c r="K5255" s="2" t="str">
        <f>HYPERLINK("https://www.nba.com/stats/events?CFID=&amp;CFPARAMS=&amp;GameEventID=11&amp;GameID=0041300225&amp;Season=2013-14&amp;flag=1&amp;title=Leonard%201'%20Driving%20Layup%20(2%20PTS)", "Leonard 1' Driving Layup (2 PTS)")</f>
        <v>Leonard 1' Driving Layup (2 PTS)</v>
      </c>
      <c r="L5255" s="2" t="str">
        <f>HYPERLINK("https://www.nba.com/game/...-vs-...-0041300225/play-by-play?watchFullGame=true", "SAS vs POR - Q1 10:10.00")</f>
        <v>SAS vs POR - Q1 10:10.00</v>
      </c>
      <c r="M5255">
        <v>1</v>
      </c>
      <c r="N5255">
        <v>-7</v>
      </c>
      <c r="O5255">
        <v>0</v>
      </c>
      <c r="P5255">
        <v>-7</v>
      </c>
      <c r="Q5255">
        <v>0</v>
      </c>
      <c r="R5255" t="s">
        <v>21</v>
      </c>
      <c r="S5255" t="s">
        <v>21</v>
      </c>
    </row>
    <row r="5256" spans="1:19" hidden="1" x14ac:dyDescent="0.25">
      <c r="A5256">
        <v>21400595</v>
      </c>
      <c r="B5256" t="s">
        <v>18</v>
      </c>
      <c r="C5256" t="s">
        <v>23</v>
      </c>
      <c r="D5256">
        <v>43</v>
      </c>
      <c r="E5256">
        <v>37</v>
      </c>
      <c r="F5256">
        <v>6</v>
      </c>
      <c r="G5256">
        <v>2</v>
      </c>
      <c r="H5256" s="1">
        <v>5.2430555555555555E-3</v>
      </c>
      <c r="I5256">
        <v>2014</v>
      </c>
      <c r="J5256" t="s">
        <v>20</v>
      </c>
      <c r="K5256" s="2" t="str">
        <f>HYPERLINK("https://www.nba.com/stats/events?CFID=&amp;CFPARAMS=&amp;GameEventID=167&amp;GameID=0021400595&amp;Season=2014-15&amp;flag=1&amp;title=Leonard%20%20Dunk%20(8%20PTS)%20(Duncan%203%20AST)", "Leonard  Dunk (8 PTS) (Duncan 3 AST)")</f>
        <v>Leonard  Dunk (8 PTS) (Duncan 3 AST)</v>
      </c>
      <c r="L5256" s="2" t="str">
        <f>HYPERLINK("https://www.nba.com/game/...-vs-...-0021400595/play-by-play?watchFullGame=true", "SAS vs POR - Q2 07:33.00")</f>
        <v>SAS vs POR - Q2 07:33.00</v>
      </c>
      <c r="M5256">
        <v>0</v>
      </c>
      <c r="N5256">
        <v>0</v>
      </c>
      <c r="O5256">
        <v>1</v>
      </c>
      <c r="P5256">
        <v>0</v>
      </c>
      <c r="Q5256">
        <v>1</v>
      </c>
      <c r="R5256" t="s">
        <v>21</v>
      </c>
      <c r="S5256" t="s">
        <v>21</v>
      </c>
    </row>
    <row r="5257" spans="1:19" hidden="1" x14ac:dyDescent="0.25">
      <c r="A5257">
        <v>41500231</v>
      </c>
      <c r="B5257" t="s">
        <v>18</v>
      </c>
      <c r="C5257" t="s">
        <v>27</v>
      </c>
      <c r="D5257">
        <v>77</v>
      </c>
      <c r="E5257">
        <v>45</v>
      </c>
      <c r="F5257">
        <v>32</v>
      </c>
      <c r="G5257">
        <v>3</v>
      </c>
      <c r="H5257" s="1">
        <v>7.083333333333333E-3</v>
      </c>
      <c r="I5257" t="s">
        <v>57</v>
      </c>
      <c r="J5257" t="s">
        <v>20</v>
      </c>
      <c r="K5257" s="2" t="str">
        <f>HYPERLINK("https://www.nba.com/stats/events?CFID=&amp;CFPARAMS=&amp;GameEventID=255&amp;GameID=0041500231&amp;Season=2015-16&amp;flag=1&amp;title=Leonard%201'%20Finger%20Roll%20Layup%20(22%20PTS)", "Leonard 1' Finger Roll Layup (22 PTS)")</f>
        <v>Leonard 1' Finger Roll Layup (22 PTS)</v>
      </c>
      <c r="L5257" s="2" t="str">
        <f>HYPERLINK("https://www.nba.com/game/...-vs-...-0041500231/play-by-play?watchFullGame=true", "SAS vs OKC - Q3 10:12.00")</f>
        <v>SAS vs OKC - Q3 10:12.00</v>
      </c>
      <c r="M5257">
        <v>1</v>
      </c>
      <c r="N5257">
        <v>9</v>
      </c>
      <c r="O5257">
        <v>7</v>
      </c>
      <c r="P5257">
        <v>9</v>
      </c>
      <c r="Q5257">
        <v>7</v>
      </c>
      <c r="R5257" t="s">
        <v>21</v>
      </c>
      <c r="S5257" t="s">
        <v>21</v>
      </c>
    </row>
    <row r="5258" spans="1:19" hidden="1" x14ac:dyDescent="0.25">
      <c r="A5258">
        <v>21600625</v>
      </c>
      <c r="B5258" t="s">
        <v>18</v>
      </c>
      <c r="C5258" t="s">
        <v>50</v>
      </c>
      <c r="D5258">
        <v>103</v>
      </c>
      <c r="E5258">
        <v>92</v>
      </c>
      <c r="F5258">
        <v>11</v>
      </c>
      <c r="G5258">
        <v>4</v>
      </c>
      <c r="H5258" s="1">
        <v>5.2777777777777779E-3</v>
      </c>
      <c r="I5258">
        <v>2016</v>
      </c>
      <c r="J5258" t="s">
        <v>20</v>
      </c>
      <c r="K5258" s="2" t="str">
        <f>HYPERLINK("https://www.nba.com/stats/events?CFID=&amp;CFPARAMS=&amp;GameEventID=482&amp;GameID=0021600625&amp;Season=2016-17&amp;flag=1&amp;title=Leonard%20%20Running%20Dunk%20(27%20PTS)", "Leonard  Running Dunk (27 PTS)")</f>
        <v>Leonard  Running Dunk (27 PTS)</v>
      </c>
      <c r="L5258" s="2" t="str">
        <f>HYPERLINK("https://www.nba.com/game/...-vs-...-0021600625/play-by-play?watchFullGame=true", "SAS vs MIN - Q4 07:36.00")</f>
        <v>SAS vs MIN - Q4 07:36.00</v>
      </c>
      <c r="M5258">
        <v>0</v>
      </c>
      <c r="N5258">
        <v>0</v>
      </c>
      <c r="O5258">
        <v>1</v>
      </c>
      <c r="P5258">
        <v>0</v>
      </c>
      <c r="Q5258">
        <v>1</v>
      </c>
      <c r="R5258" t="s">
        <v>21</v>
      </c>
      <c r="S5258" t="s">
        <v>21</v>
      </c>
    </row>
    <row r="5259" spans="1:19" hidden="1" x14ac:dyDescent="0.25">
      <c r="A5259">
        <v>21800216</v>
      </c>
      <c r="B5259" t="s">
        <v>18</v>
      </c>
      <c r="C5259" t="s">
        <v>22</v>
      </c>
      <c r="D5259">
        <v>86</v>
      </c>
      <c r="E5259">
        <v>78</v>
      </c>
      <c r="F5259">
        <v>8</v>
      </c>
      <c r="G5259">
        <v>4</v>
      </c>
      <c r="H5259" s="1">
        <v>7.2222222222222219E-3</v>
      </c>
      <c r="I5259">
        <v>2018</v>
      </c>
      <c r="J5259" t="s">
        <v>48</v>
      </c>
      <c r="K5259" s="2" t="str">
        <f>HYPERLINK("https://www.nba.com/stats/events?CFID=&amp;CFPARAMS=&amp;GameEventID=544&amp;GameID=0021800216&amp;Season=2018-19&amp;flag=1&amp;title=Leonard%201'%20Driving%20Layup%20(22%20PTS)", "Leonard 1' Driving Layup (22 PTS)")</f>
        <v>Leonard 1' Driving Layup (22 PTS)</v>
      </c>
      <c r="L5259" s="2" t="str">
        <f>HYPERLINK("https://www.nba.com/game/...-vs-...-0021800216/play-by-play?watchFullGame=true", "TOR vs BOS - Q4 10:24.00")</f>
        <v>TOR vs BOS - Q4 10:24.00</v>
      </c>
      <c r="M5259">
        <v>1</v>
      </c>
      <c r="N5259">
        <v>8</v>
      </c>
      <c r="O5259">
        <v>0</v>
      </c>
      <c r="P5259">
        <v>8</v>
      </c>
      <c r="Q5259">
        <v>0</v>
      </c>
      <c r="R5259" t="s">
        <v>21</v>
      </c>
      <c r="S5259" t="s">
        <v>21</v>
      </c>
    </row>
    <row r="5260" spans="1:19" hidden="1" x14ac:dyDescent="0.25">
      <c r="A5260">
        <v>41300316</v>
      </c>
      <c r="B5260" t="s">
        <v>18</v>
      </c>
      <c r="C5260" t="s">
        <v>22</v>
      </c>
      <c r="D5260">
        <v>6</v>
      </c>
      <c r="E5260">
        <v>2</v>
      </c>
      <c r="F5260">
        <v>4</v>
      </c>
      <c r="G5260">
        <v>1</v>
      </c>
      <c r="H5260" s="1">
        <v>7.2453703703703708E-3</v>
      </c>
      <c r="I5260" t="s">
        <v>55</v>
      </c>
      <c r="J5260" t="s">
        <v>20</v>
      </c>
      <c r="K5260" s="2" t="str">
        <f>HYPERLINK("https://www.nba.com/stats/events?CFID=&amp;CFPARAMS=&amp;GameEventID=12&amp;GameID=0041300316&amp;Season=2013-14&amp;flag=1&amp;title=Leonard%201'%20Driving%20Layup%20(4%20PTS)", "Leonard 1' Driving Layup (4 PTS)")</f>
        <v>Leonard 1' Driving Layup (4 PTS)</v>
      </c>
      <c r="L5260" s="2" t="str">
        <f>HYPERLINK("https://www.nba.com/game/...-vs-...-0041300316/play-by-play?watchFullGame=true", "SAS vs OKC - Q1 10:26.00")</f>
        <v>SAS vs OKC - Q1 10:26.00</v>
      </c>
      <c r="M5260">
        <v>1</v>
      </c>
      <c r="N5260">
        <v>6</v>
      </c>
      <c r="O5260">
        <v>12</v>
      </c>
      <c r="P5260">
        <v>6</v>
      </c>
      <c r="Q5260">
        <v>12</v>
      </c>
      <c r="R5260" t="s">
        <v>21</v>
      </c>
      <c r="S5260" t="s">
        <v>21</v>
      </c>
    </row>
    <row r="5261" spans="1:19" hidden="1" x14ac:dyDescent="0.25">
      <c r="A5261">
        <v>41300315</v>
      </c>
      <c r="B5261" t="s">
        <v>18</v>
      </c>
      <c r="C5261" t="s">
        <v>22</v>
      </c>
      <c r="D5261">
        <v>69</v>
      </c>
      <c r="E5261">
        <v>57</v>
      </c>
      <c r="F5261">
        <v>12</v>
      </c>
      <c r="G5261">
        <v>3</v>
      </c>
      <c r="H5261" s="1">
        <v>7.2685185185185188E-3</v>
      </c>
      <c r="I5261" t="s">
        <v>55</v>
      </c>
      <c r="J5261" t="s">
        <v>20</v>
      </c>
      <c r="K5261" s="2" t="str">
        <f>HYPERLINK("https://www.nba.com/stats/events?CFID=&amp;CFPARAMS=&amp;GameEventID=247&amp;GameID=0041300315&amp;Season=2013-14&amp;flag=1&amp;title=Leonard%201'%20Driving%20Layup%20(12%20PTS)%20(Duncan%202%20AST)", "Leonard 1' Driving Layup (12 PTS) (Duncan 2 AST)")</f>
        <v>Leonard 1' Driving Layup (12 PTS) (Duncan 2 AST)</v>
      </c>
      <c r="L5261" s="2" t="str">
        <f>HYPERLINK("https://www.nba.com/game/...-vs-...-0041300315/play-by-play?watchFullGame=true", "SAS vs OKC - Q3 10:28.00")</f>
        <v>SAS vs OKC - Q3 10:28.00</v>
      </c>
      <c r="M5261">
        <v>1</v>
      </c>
      <c r="N5261">
        <v>4</v>
      </c>
      <c r="O5261">
        <v>4</v>
      </c>
      <c r="P5261">
        <v>4</v>
      </c>
      <c r="Q5261">
        <v>4</v>
      </c>
      <c r="R5261" t="s">
        <v>21</v>
      </c>
      <c r="S5261" t="s">
        <v>21</v>
      </c>
    </row>
    <row r="5262" spans="1:19" hidden="1" x14ac:dyDescent="0.25">
      <c r="A5262">
        <v>21601099</v>
      </c>
      <c r="B5262" t="s">
        <v>18</v>
      </c>
      <c r="C5262" t="s">
        <v>51</v>
      </c>
      <c r="D5262">
        <v>89</v>
      </c>
      <c r="E5262">
        <v>58</v>
      </c>
      <c r="F5262">
        <v>31</v>
      </c>
      <c r="G5262">
        <v>4</v>
      </c>
      <c r="H5262" s="1">
        <v>7.3958333333333333E-3</v>
      </c>
      <c r="I5262">
        <v>2016</v>
      </c>
      <c r="J5262" t="s">
        <v>20</v>
      </c>
      <c r="K5262" s="2" t="str">
        <f>HYPERLINK("https://www.nba.com/stats/events?CFID=&amp;CFPARAMS=&amp;GameEventID=418&amp;GameID=0021601099&amp;Season=2016-17&amp;flag=1&amp;title=Leonard%201'%20Running%20Layup%20(25%20PTS)", "Leonard 1' Running Layup (25 PTS)")</f>
        <v>Leonard 1' Running Layup (25 PTS)</v>
      </c>
      <c r="L5262" s="2" t="str">
        <f>HYPERLINK("https://www.nba.com/game/...-vs-...-0021601099/play-by-play?watchFullGame=true", "SAS vs CLE - Q4 10:39.00")</f>
        <v>SAS vs CLE - Q4 10:39.00</v>
      </c>
      <c r="M5262">
        <v>1</v>
      </c>
      <c r="N5262">
        <v>9</v>
      </c>
      <c r="O5262">
        <v>0</v>
      </c>
      <c r="P5262">
        <v>9</v>
      </c>
      <c r="Q5262">
        <v>0</v>
      </c>
      <c r="R5262" t="s">
        <v>21</v>
      </c>
      <c r="S5262" t="s">
        <v>21</v>
      </c>
    </row>
    <row r="5263" spans="1:19" hidden="1" x14ac:dyDescent="0.25">
      <c r="A5263">
        <v>21800427</v>
      </c>
      <c r="B5263" t="s">
        <v>18</v>
      </c>
      <c r="C5263" t="s">
        <v>24</v>
      </c>
      <c r="D5263">
        <v>52</v>
      </c>
      <c r="E5263">
        <v>60</v>
      </c>
      <c r="F5263">
        <v>8</v>
      </c>
      <c r="G5263">
        <v>3</v>
      </c>
      <c r="H5263" s="1">
        <v>7.4999999999999997E-3</v>
      </c>
      <c r="I5263">
        <v>2018</v>
      </c>
      <c r="J5263" t="s">
        <v>48</v>
      </c>
      <c r="K5263" s="2" t="str">
        <f>HYPERLINK("https://www.nba.com/stats/events?CFID=&amp;CFPARAMS=&amp;GameEventID=305&amp;GameID=0021800427&amp;Season=2018-19&amp;flag=1&amp;title=Leonard%201'%20Layup%20(5%20PTS)", "Leonard 1' Layup (5 PTS)")</f>
        <v>Leonard 1' Layup (5 PTS)</v>
      </c>
      <c r="L5263" s="2" t="str">
        <f>HYPERLINK("https://www.nba.com/game/...-vs-...-0021800427/play-by-play?watchFullGame=true", "TOR vs POR - Q3 10:48.00")</f>
        <v>TOR vs POR - Q3 10:48.00</v>
      </c>
      <c r="M5263">
        <v>1</v>
      </c>
      <c r="N5263">
        <v>5</v>
      </c>
      <c r="O5263">
        <v>-5</v>
      </c>
      <c r="P5263">
        <v>5</v>
      </c>
      <c r="Q5263">
        <v>-5</v>
      </c>
      <c r="R5263" t="s">
        <v>21</v>
      </c>
      <c r="S5263" t="s">
        <v>21</v>
      </c>
    </row>
    <row r="5264" spans="1:19" hidden="1" x14ac:dyDescent="0.25">
      <c r="A5264">
        <v>21601033</v>
      </c>
      <c r="B5264" t="s">
        <v>18</v>
      </c>
      <c r="C5264" t="s">
        <v>40</v>
      </c>
      <c r="D5264">
        <v>2</v>
      </c>
      <c r="E5264">
        <v>0</v>
      </c>
      <c r="F5264">
        <v>2</v>
      </c>
      <c r="G5264">
        <v>1</v>
      </c>
      <c r="H5264" s="1">
        <v>7.4999999999999997E-3</v>
      </c>
      <c r="I5264">
        <v>2016</v>
      </c>
      <c r="J5264" t="s">
        <v>20</v>
      </c>
      <c r="K5264" s="2" t="str">
        <f>HYPERLINK("https://www.nba.com/stats/events?CFID=&amp;CFPARAMS=&amp;GameEventID=9&amp;GameID=0021601033&amp;Season=2016-17&amp;flag=1&amp;title=Leonard%201'%20Driving%20Finger%20Roll%20Layup%20(2%20PTS)%20(Parker%201%20AST)", "Leonard 1' Driving Finger Roll Layup (2 PTS) (Parker 1 AST)")</f>
        <v>Leonard 1' Driving Finger Roll Layup (2 PTS) (Parker 1 AST)</v>
      </c>
      <c r="L5264" s="2" t="str">
        <f>HYPERLINK("https://www.nba.com/game/...-vs-...-0021601033/play-by-play?watchFullGame=true", "SAS vs MEM - Q1 10:48.00")</f>
        <v>SAS vs MEM - Q1 10:48.00</v>
      </c>
      <c r="M5264">
        <v>1</v>
      </c>
      <c r="N5264">
        <v>12</v>
      </c>
      <c r="O5264">
        <v>-6</v>
      </c>
      <c r="P5264">
        <v>12</v>
      </c>
      <c r="Q5264">
        <v>-6</v>
      </c>
      <c r="R5264" t="s">
        <v>21</v>
      </c>
      <c r="S5264" t="s">
        <v>21</v>
      </c>
    </row>
    <row r="5265" spans="1:19" hidden="1" x14ac:dyDescent="0.25">
      <c r="A5265">
        <v>21300514</v>
      </c>
      <c r="B5265" t="s">
        <v>18</v>
      </c>
      <c r="C5265" t="s">
        <v>22</v>
      </c>
      <c r="D5265">
        <v>78</v>
      </c>
      <c r="E5265">
        <v>66</v>
      </c>
      <c r="F5265">
        <v>12</v>
      </c>
      <c r="G5265">
        <v>4</v>
      </c>
      <c r="H5265" s="1">
        <v>7.5115740740740742E-3</v>
      </c>
      <c r="I5265">
        <v>2013</v>
      </c>
      <c r="J5265" t="s">
        <v>20</v>
      </c>
      <c r="K5265" s="2" t="str">
        <f>HYPERLINK("https://www.nba.com/stats/events?CFID=&amp;CFPARAMS=&amp;GameEventID=353&amp;GameID=0021300514&amp;Season=2013-14&amp;flag=1&amp;title=Leonard%201'%20Driving%20Layup%20(17%20PTS)%20(Ginobili%205%20AST)", "Leonard 1' Driving Layup (17 PTS) (Ginobili 5 AST)")</f>
        <v>Leonard 1' Driving Layup (17 PTS) (Ginobili 5 AST)</v>
      </c>
      <c r="L5265" s="2" t="str">
        <f>HYPERLINK("https://www.nba.com/game/...-vs-...-0021300514/play-by-play?watchFullGame=true", "SAS vs MEM - Q4 10:49.00")</f>
        <v>SAS vs MEM - Q4 10:49.00</v>
      </c>
      <c r="M5265">
        <v>1</v>
      </c>
      <c r="N5265">
        <v>-11</v>
      </c>
      <c r="O5265">
        <v>4</v>
      </c>
      <c r="P5265">
        <v>-11</v>
      </c>
      <c r="Q5265">
        <v>4</v>
      </c>
      <c r="R5265" t="s">
        <v>21</v>
      </c>
      <c r="S5265" t="s">
        <v>21</v>
      </c>
    </row>
    <row r="5266" spans="1:19" hidden="1" x14ac:dyDescent="0.25">
      <c r="A5266">
        <v>21500928</v>
      </c>
      <c r="B5266" t="s">
        <v>18</v>
      </c>
      <c r="C5266" t="s">
        <v>27</v>
      </c>
      <c r="D5266">
        <v>59</v>
      </c>
      <c r="E5266">
        <v>54</v>
      </c>
      <c r="F5266">
        <v>5</v>
      </c>
      <c r="G5266">
        <v>3</v>
      </c>
      <c r="H5266" s="1">
        <v>7.5115740740740742E-3</v>
      </c>
      <c r="I5266">
        <v>2015</v>
      </c>
      <c r="J5266" t="s">
        <v>20</v>
      </c>
      <c r="K5266" s="2" t="str">
        <f>HYPERLINK("https://www.nba.com/stats/events?CFID=&amp;CFPARAMS=&amp;GameEventID=286&amp;GameID=0021500928&amp;Season=2015-16&amp;flag=1&amp;title=Leonard%201'%20Finger%20Roll%20Layup%20(12%20PTS)%20(West%202%20AST)", "Leonard 1' Finger Roll Layup (12 PTS) (West 2 AST)")</f>
        <v>Leonard 1' Finger Roll Layup (12 PTS) (West 2 AST)</v>
      </c>
      <c r="L5266" s="2" t="str">
        <f>HYPERLINK("https://www.nba.com/game/...-vs-...-0021500928/play-by-play?watchFullGame=true", "SAS vs SAC - Q3 10:49.00")</f>
        <v>SAS vs SAC - Q3 10:49.00</v>
      </c>
      <c r="M5266">
        <v>1</v>
      </c>
      <c r="N5266">
        <v>9</v>
      </c>
      <c r="O5266">
        <v>-5</v>
      </c>
      <c r="P5266">
        <v>9</v>
      </c>
      <c r="Q5266">
        <v>-5</v>
      </c>
      <c r="R5266" t="s">
        <v>21</v>
      </c>
      <c r="S5266" t="s">
        <v>21</v>
      </c>
    </row>
    <row r="5267" spans="1:19" hidden="1" x14ac:dyDescent="0.25">
      <c r="A5267">
        <v>41200314</v>
      </c>
      <c r="B5267" t="s">
        <v>18</v>
      </c>
      <c r="C5267" t="s">
        <v>24</v>
      </c>
      <c r="D5267">
        <v>74</v>
      </c>
      <c r="E5267">
        <v>68</v>
      </c>
      <c r="F5267">
        <v>6</v>
      </c>
      <c r="G5267">
        <v>4</v>
      </c>
      <c r="H5267" s="1">
        <v>7.5578703703703702E-3</v>
      </c>
      <c r="I5267" t="s">
        <v>53</v>
      </c>
      <c r="J5267" t="s">
        <v>20</v>
      </c>
      <c r="K5267" s="2" t="str">
        <f>HYPERLINK("https://www.nba.com/stats/events?CFID=&amp;CFPARAMS=&amp;GameEventID=388&amp;GameID=0041200314&amp;Season=2012-13&amp;flag=1&amp;title=Leonard%201'%20Layup%20(11%20PTS)", "Leonard 1' Layup (11 PTS)")</f>
        <v>Leonard 1' Layup (11 PTS)</v>
      </c>
      <c r="L5267" s="2" t="str">
        <f>HYPERLINK("https://www.nba.com/game/...-vs-...-0041200314/play-by-play?watchFullGame=true", "SAS vs MEM - Q4 10:53.00")</f>
        <v>SAS vs MEM - Q4 10:53.00</v>
      </c>
      <c r="M5267">
        <v>1</v>
      </c>
      <c r="N5267">
        <v>0</v>
      </c>
      <c r="O5267">
        <v>11</v>
      </c>
      <c r="P5267">
        <v>0</v>
      </c>
      <c r="Q5267">
        <v>11</v>
      </c>
      <c r="R5267" t="s">
        <v>21</v>
      </c>
      <c r="S5267" t="s">
        <v>21</v>
      </c>
    </row>
    <row r="5268" spans="1:19" hidden="1" x14ac:dyDescent="0.25">
      <c r="A5268">
        <v>41800305</v>
      </c>
      <c r="B5268" t="s">
        <v>18</v>
      </c>
      <c r="C5268" t="s">
        <v>51</v>
      </c>
      <c r="D5268">
        <v>74</v>
      </c>
      <c r="E5268">
        <v>75</v>
      </c>
      <c r="F5268">
        <v>1</v>
      </c>
      <c r="G5268">
        <v>4</v>
      </c>
      <c r="H5268" s="1">
        <v>7.5694444444444446E-3</v>
      </c>
      <c r="I5268" t="s">
        <v>60</v>
      </c>
      <c r="J5268" t="s">
        <v>48</v>
      </c>
      <c r="K5268" s="2" t="str">
        <f>HYPERLINK("https://www.nba.com/stats/events?CFID=&amp;CFPARAMS=&amp;GameEventID=495&amp;GameID=0041800305&amp;Season=2018-19&amp;flag=1&amp;title=Leonard%201'%20Running%20Layup%20(22%20PTS)", "Leonard 1' Running Layup (22 PTS)")</f>
        <v>Leonard 1' Running Layup (22 PTS)</v>
      </c>
      <c r="L5268" s="2" t="str">
        <f>HYPERLINK("https://www.nba.com/game/...-vs-...-0041800305/play-by-play?watchFullGame=true", "TOR vs MIL - Q4 10:54.00")</f>
        <v>TOR vs MIL - Q4 10:54.00</v>
      </c>
      <c r="M5268">
        <v>1</v>
      </c>
      <c r="N5268">
        <v>-7</v>
      </c>
      <c r="O5268">
        <v>4</v>
      </c>
      <c r="P5268">
        <v>-7</v>
      </c>
      <c r="Q5268">
        <v>4</v>
      </c>
      <c r="R5268" t="s">
        <v>21</v>
      </c>
      <c r="S5268" t="s">
        <v>21</v>
      </c>
    </row>
    <row r="5269" spans="1:19" hidden="1" x14ac:dyDescent="0.25">
      <c r="A5269">
        <v>21400131</v>
      </c>
      <c r="B5269" t="s">
        <v>18</v>
      </c>
      <c r="C5269" t="s">
        <v>25</v>
      </c>
      <c r="D5269">
        <v>39</v>
      </c>
      <c r="E5269">
        <v>26</v>
      </c>
      <c r="F5269">
        <v>13</v>
      </c>
      <c r="G5269">
        <v>2</v>
      </c>
      <c r="H5269" s="1">
        <v>5.2777777777777779E-3</v>
      </c>
      <c r="I5269">
        <v>2014</v>
      </c>
      <c r="J5269" t="s">
        <v>20</v>
      </c>
      <c r="K5269" s="2" t="str">
        <f>HYPERLINK("https://www.nba.com/stats/events?CFID=&amp;CFPARAMS=&amp;GameEventID=145&amp;GameID=0021400131&amp;Season=2014-15&amp;flag=1&amp;title=Leonard%20%20Driving%20Dunk%20(12%20PTS)", "Leonard  Driving Dunk (12 PTS)")</f>
        <v>Leonard  Driving Dunk (12 PTS)</v>
      </c>
      <c r="L5269" s="2" t="str">
        <f>HYPERLINK("https://www.nba.com/game/...-vs-...-0021400131/play-by-play?watchFullGame=true", "SAS vs LAL - Q2 07:36.00")</f>
        <v>SAS vs LAL - Q2 07:36.00</v>
      </c>
      <c r="M5269">
        <v>0</v>
      </c>
      <c r="N5269">
        <v>0</v>
      </c>
      <c r="O5269">
        <v>1</v>
      </c>
      <c r="P5269">
        <v>0</v>
      </c>
      <c r="Q5269">
        <v>1</v>
      </c>
      <c r="R5269" t="s">
        <v>21</v>
      </c>
      <c r="S5269" t="s">
        <v>21</v>
      </c>
    </row>
    <row r="5270" spans="1:19" hidden="1" x14ac:dyDescent="0.25">
      <c r="A5270">
        <v>41600234</v>
      </c>
      <c r="B5270" t="s">
        <v>18</v>
      </c>
      <c r="C5270" t="s">
        <v>31</v>
      </c>
      <c r="D5270">
        <v>24</v>
      </c>
      <c r="E5270">
        <v>37</v>
      </c>
      <c r="F5270">
        <v>13</v>
      </c>
      <c r="G5270">
        <v>2</v>
      </c>
      <c r="H5270" s="1">
        <v>7.5925925925925926E-3</v>
      </c>
      <c r="I5270" t="s">
        <v>58</v>
      </c>
      <c r="J5270" t="s">
        <v>20</v>
      </c>
      <c r="K5270" s="2" t="str">
        <f>HYPERLINK("https://www.nba.com/stats/events?CFID=&amp;CFPARAMS=&amp;GameEventID=152&amp;GameID=0041600234&amp;Season=2016-17&amp;flag=1&amp;title=Leonard%201'%20Driving%20Hook%20Shot%20(5%20PTS)", "Leonard 1' Driving Hook Shot (5 PTS)")</f>
        <v>Leonard 1' Driving Hook Shot (5 PTS)</v>
      </c>
      <c r="L5270" s="2" t="str">
        <f>HYPERLINK("https://www.nba.com/game/...-vs-...-0041600234/play-by-play?watchFullGame=true", "SAS vs HOU - Q2 10:56.00")</f>
        <v>SAS vs HOU - Q2 10:56.00</v>
      </c>
      <c r="M5270">
        <v>1</v>
      </c>
      <c r="N5270">
        <v>-6</v>
      </c>
      <c r="O5270">
        <v>-1</v>
      </c>
      <c r="P5270">
        <v>-6</v>
      </c>
      <c r="Q5270">
        <v>-1</v>
      </c>
      <c r="R5270" t="s">
        <v>21</v>
      </c>
      <c r="S5270" t="s">
        <v>21</v>
      </c>
    </row>
    <row r="5271" spans="1:19" hidden="1" x14ac:dyDescent="0.25">
      <c r="A5271">
        <v>21300378</v>
      </c>
      <c r="B5271" t="s">
        <v>18</v>
      </c>
      <c r="C5271" t="s">
        <v>24</v>
      </c>
      <c r="D5271">
        <v>63</v>
      </c>
      <c r="E5271">
        <v>60</v>
      </c>
      <c r="F5271">
        <v>3</v>
      </c>
      <c r="G5271">
        <v>3</v>
      </c>
      <c r="H5271" s="1">
        <v>7.6041666666666671E-3</v>
      </c>
      <c r="I5271">
        <v>2013</v>
      </c>
      <c r="J5271" t="s">
        <v>20</v>
      </c>
      <c r="K5271" s="2" t="str">
        <f>HYPERLINK("https://www.nba.com/stats/events?CFID=&amp;CFPARAMS=&amp;GameEventID=269&amp;GameID=0021300378&amp;Season=2013-14&amp;flag=1&amp;title=Leonard%201'%20Layup%20(12%20PTS)", "Leonard 1' Layup (12 PTS)")</f>
        <v>Leonard 1' Layup (12 PTS)</v>
      </c>
      <c r="L5271" s="2" t="str">
        <f>HYPERLINK("https://www.nba.com/game/...-vs-...-0021300378/play-by-play?watchFullGame=true", "SAS vs PHX - Q3 10:57.00")</f>
        <v>SAS vs PHX - Q3 10:57.00</v>
      </c>
      <c r="M5271">
        <v>1</v>
      </c>
      <c r="N5271">
        <v>-8</v>
      </c>
      <c r="O5271">
        <v>0</v>
      </c>
      <c r="P5271">
        <v>-8</v>
      </c>
      <c r="Q5271">
        <v>0</v>
      </c>
      <c r="R5271" t="s">
        <v>21</v>
      </c>
      <c r="S5271" t="s">
        <v>21</v>
      </c>
    </row>
    <row r="5272" spans="1:19" hidden="1" x14ac:dyDescent="0.25">
      <c r="A5272">
        <v>21500207</v>
      </c>
      <c r="B5272" t="s">
        <v>18</v>
      </c>
      <c r="C5272" t="s">
        <v>23</v>
      </c>
      <c r="D5272">
        <v>51</v>
      </c>
      <c r="E5272">
        <v>41</v>
      </c>
      <c r="F5272">
        <v>10</v>
      </c>
      <c r="G5272">
        <v>3</v>
      </c>
      <c r="H5272" s="1">
        <v>5.3009259259259259E-3</v>
      </c>
      <c r="I5272">
        <v>2015</v>
      </c>
      <c r="J5272" t="s">
        <v>20</v>
      </c>
      <c r="K5272" s="2" t="str">
        <f>HYPERLINK("https://www.nba.com/stats/events?CFID=&amp;CFPARAMS=&amp;GameEventID=280&amp;GameID=0021500207&amp;Season=2015-16&amp;flag=1&amp;title=Leonard%20%20Dunk%20(15%20PTS)%20(Parker%202%20AST)", "Leonard  Dunk (15 PTS) (Parker 2 AST)")</f>
        <v>Leonard  Dunk (15 PTS) (Parker 2 AST)</v>
      </c>
      <c r="L5272" s="2" t="str">
        <f>HYPERLINK("https://www.nba.com/game/...-vs-...-0021500207/play-by-play?watchFullGame=true", "SAS vs PHX - Q3 07:38.00")</f>
        <v>SAS vs PHX - Q3 07:38.00</v>
      </c>
      <c r="M5272">
        <v>0</v>
      </c>
      <c r="N5272">
        <v>0</v>
      </c>
      <c r="O5272">
        <v>1</v>
      </c>
      <c r="P5272">
        <v>0</v>
      </c>
      <c r="Q5272">
        <v>1</v>
      </c>
      <c r="R5272" t="s">
        <v>21</v>
      </c>
      <c r="S5272" t="s">
        <v>21</v>
      </c>
    </row>
    <row r="5273" spans="1:19" hidden="1" x14ac:dyDescent="0.25">
      <c r="A5273">
        <v>21600744</v>
      </c>
      <c r="B5273" t="s">
        <v>18</v>
      </c>
      <c r="C5273" t="s">
        <v>71</v>
      </c>
      <c r="D5273">
        <v>81</v>
      </c>
      <c r="E5273">
        <v>75</v>
      </c>
      <c r="F5273">
        <v>6</v>
      </c>
      <c r="G5273">
        <v>4</v>
      </c>
      <c r="H5273" s="1">
        <v>7.6273148148148151E-3</v>
      </c>
      <c r="I5273">
        <v>2016</v>
      </c>
      <c r="J5273" t="s">
        <v>20</v>
      </c>
      <c r="K5273" s="2" t="str">
        <f>HYPERLINK("https://www.nba.com/stats/events?CFID=&amp;CFPARAMS=&amp;GameEventID=472&amp;GameID=0021600744&amp;Season=2016-17&amp;flag=1&amp;title=Leonard%201'%20Running%20Finger%20Roll%20Layup%20(18%20PTS)", "Leonard 1' Running Finger Roll Layup (18 PTS)")</f>
        <v>Leonard 1' Running Finger Roll Layup (18 PTS)</v>
      </c>
      <c r="L5273" s="2" t="str">
        <f>HYPERLINK("https://www.nba.com/game/...-vs-...-0021600744/play-by-play?watchFullGame=true", "SAS vs PHI - Q4 10:59.00")</f>
        <v>SAS vs PHI - Q4 10:59.00</v>
      </c>
      <c r="M5273">
        <v>1</v>
      </c>
      <c r="N5273">
        <v>6</v>
      </c>
      <c r="O5273">
        <v>13</v>
      </c>
      <c r="P5273">
        <v>6</v>
      </c>
      <c r="Q5273">
        <v>13</v>
      </c>
      <c r="R5273" t="s">
        <v>21</v>
      </c>
      <c r="S5273" t="s">
        <v>21</v>
      </c>
    </row>
    <row r="5274" spans="1:19" hidden="1" x14ac:dyDescent="0.25">
      <c r="A5274">
        <v>41300146</v>
      </c>
      <c r="B5274" t="s">
        <v>18</v>
      </c>
      <c r="C5274" t="s">
        <v>50</v>
      </c>
      <c r="D5274">
        <v>36</v>
      </c>
      <c r="E5274">
        <v>41</v>
      </c>
      <c r="F5274">
        <v>5</v>
      </c>
      <c r="G5274">
        <v>2</v>
      </c>
      <c r="H5274" s="1">
        <v>5.324074074074074E-3</v>
      </c>
      <c r="I5274" t="s">
        <v>55</v>
      </c>
      <c r="J5274" t="s">
        <v>20</v>
      </c>
      <c r="K5274" s="2" t="str">
        <f>HYPERLINK("https://www.nba.com/stats/events?CFID=&amp;CFPARAMS=&amp;GameEventID=186&amp;GameID=0041300146&amp;Season=2013-14&amp;flag=1&amp;title=Leonard%20%20Running%20Dunk%20(6%20PTS)%20(Duncan%204%20AST)", "Leonard  Running Dunk (6 PTS) (Duncan 4 AST)")</f>
        <v>Leonard  Running Dunk (6 PTS) (Duncan 4 AST)</v>
      </c>
      <c r="L5274" s="2" t="str">
        <f>HYPERLINK("https://www.nba.com/game/...-vs-...-0041300146/play-by-play?watchFullGame=true", "SAS vs DAL - Q2 07:40.00")</f>
        <v>SAS vs DAL - Q2 07:40.00</v>
      </c>
      <c r="M5274">
        <v>0</v>
      </c>
      <c r="N5274">
        <v>0</v>
      </c>
      <c r="O5274">
        <v>-3</v>
      </c>
      <c r="P5274">
        <v>0</v>
      </c>
      <c r="Q5274">
        <v>-3</v>
      </c>
      <c r="R5274" t="s">
        <v>21</v>
      </c>
      <c r="S5274" t="s">
        <v>21</v>
      </c>
    </row>
    <row r="5275" spans="1:19" hidden="1" x14ac:dyDescent="0.25">
      <c r="A5275">
        <v>21700573</v>
      </c>
      <c r="B5275" t="s">
        <v>18</v>
      </c>
      <c r="C5275" t="s">
        <v>33</v>
      </c>
      <c r="D5275">
        <v>53</v>
      </c>
      <c r="E5275">
        <v>44</v>
      </c>
      <c r="F5275">
        <v>9</v>
      </c>
      <c r="G5275">
        <v>3</v>
      </c>
      <c r="H5275" s="1">
        <v>7.6736111111111111E-3</v>
      </c>
      <c r="I5275">
        <v>2017</v>
      </c>
      <c r="J5275" t="s">
        <v>20</v>
      </c>
      <c r="K5275" s="2" t="str">
        <f>HYPERLINK("https://www.nba.com/stats/events?CFID=&amp;CFPARAMS=&amp;GameEventID=339&amp;GameID=0021700573&amp;Season=2017-18&amp;flag=1&amp;title=Leonard%201'%20Putback%20Layup%20(16%20PTS)", "Leonard 1' Putback Layup (16 PTS)")</f>
        <v>Leonard 1' Putback Layup (16 PTS)</v>
      </c>
      <c r="L5275" s="2" t="str">
        <f>HYPERLINK("https://www.nba.com/game/...-vs-...-0021700573/play-by-play?watchFullGame=true", "SAS vs PHX - Q3 11:03.00")</f>
        <v>SAS vs PHX - Q3 11:03.00</v>
      </c>
      <c r="M5275">
        <v>1</v>
      </c>
      <c r="N5275">
        <v>0</v>
      </c>
      <c r="O5275">
        <v>-6</v>
      </c>
      <c r="P5275">
        <v>0</v>
      </c>
      <c r="Q5275">
        <v>-6</v>
      </c>
      <c r="R5275" t="s">
        <v>21</v>
      </c>
      <c r="S5275" t="s">
        <v>21</v>
      </c>
    </row>
    <row r="5276" spans="1:19" hidden="1" x14ac:dyDescent="0.25">
      <c r="A5276">
        <v>41500234</v>
      </c>
      <c r="B5276" t="s">
        <v>18</v>
      </c>
      <c r="C5276" t="s">
        <v>41</v>
      </c>
      <c r="D5276">
        <v>4</v>
      </c>
      <c r="E5276">
        <v>2</v>
      </c>
      <c r="F5276">
        <v>2</v>
      </c>
      <c r="G5276">
        <v>1</v>
      </c>
      <c r="H5276" s="1">
        <v>7.6736111111111111E-3</v>
      </c>
      <c r="I5276" t="s">
        <v>57</v>
      </c>
      <c r="J5276" t="s">
        <v>20</v>
      </c>
      <c r="K5276" s="2" t="str">
        <f>HYPERLINK("https://www.nba.com/stats/events?CFID=&amp;CFPARAMS=&amp;GameEventID=9&amp;GameID=0041500234&amp;Season=2015-16&amp;flag=1&amp;title=Leonard%201'%20Tip%20Layup%20Shot%20(4%20PTS)", "Leonard 1' Tip Layup Shot (4 PTS)")</f>
        <v>Leonard 1' Tip Layup Shot (4 PTS)</v>
      </c>
      <c r="L5276" s="2" t="str">
        <f>HYPERLINK("https://www.nba.com/game/...-vs-...-0041500234/play-by-play?watchFullGame=true", "SAS vs OKC - Q1 11:03.00")</f>
        <v>SAS vs OKC - Q1 11:03.00</v>
      </c>
      <c r="M5276">
        <v>1</v>
      </c>
      <c r="N5276">
        <v>2</v>
      </c>
      <c r="O5276">
        <v>13</v>
      </c>
      <c r="P5276">
        <v>2</v>
      </c>
      <c r="Q5276">
        <v>13</v>
      </c>
      <c r="R5276" t="s">
        <v>21</v>
      </c>
      <c r="S5276" t="s">
        <v>21</v>
      </c>
    </row>
    <row r="5277" spans="1:19" hidden="1" x14ac:dyDescent="0.25">
      <c r="A5277">
        <v>41300313</v>
      </c>
      <c r="B5277" t="s">
        <v>18</v>
      </c>
      <c r="C5277" t="s">
        <v>22</v>
      </c>
      <c r="D5277">
        <v>2</v>
      </c>
      <c r="E5277">
        <v>2</v>
      </c>
      <c r="F5277">
        <v>0</v>
      </c>
      <c r="G5277">
        <v>1</v>
      </c>
      <c r="H5277" s="1">
        <v>7.7083333333333335E-3</v>
      </c>
      <c r="I5277" t="s">
        <v>55</v>
      </c>
      <c r="J5277" t="s">
        <v>20</v>
      </c>
      <c r="K5277" s="2" t="str">
        <f>HYPERLINK("https://www.nba.com/stats/events?CFID=&amp;CFPARAMS=&amp;GameEventID=7&amp;GameID=0041300313&amp;Season=2013-14&amp;flag=1&amp;title=Leonard%201'%20Driving%20Layup%20(2%20PTS)", "Leonard 1' Driving Layup (2 PTS)")</f>
        <v>Leonard 1' Driving Layup (2 PTS)</v>
      </c>
      <c r="L5277" s="2" t="str">
        <f>HYPERLINK("https://www.nba.com/game/...-vs-...-0041300313/play-by-play?watchFullGame=true", "SAS vs OKC - Q1 11:06.00")</f>
        <v>SAS vs OKC - Q1 11:06.00</v>
      </c>
      <c r="M5277">
        <v>1</v>
      </c>
      <c r="N5277">
        <v>-11</v>
      </c>
      <c r="O5277">
        <v>0</v>
      </c>
      <c r="P5277">
        <v>-11</v>
      </c>
      <c r="Q5277">
        <v>0</v>
      </c>
      <c r="R5277" t="s">
        <v>21</v>
      </c>
      <c r="S5277" t="s">
        <v>21</v>
      </c>
    </row>
    <row r="5278" spans="1:19" hidden="1" x14ac:dyDescent="0.25">
      <c r="A5278">
        <v>21600454</v>
      </c>
      <c r="B5278" t="s">
        <v>18</v>
      </c>
      <c r="C5278" t="s">
        <v>46</v>
      </c>
      <c r="D5278">
        <v>94</v>
      </c>
      <c r="E5278">
        <v>78</v>
      </c>
      <c r="F5278">
        <v>16</v>
      </c>
      <c r="G5278">
        <v>4</v>
      </c>
      <c r="H5278" s="1">
        <v>5.3935185185185188E-3</v>
      </c>
      <c r="I5278">
        <v>2016</v>
      </c>
      <c r="J5278" t="s">
        <v>20</v>
      </c>
      <c r="K5278" s="2" t="str">
        <f>HYPERLINK("https://www.nba.com/stats/events?CFID=&amp;CFPARAMS=&amp;GameEventID=436&amp;GameID=0021600454&amp;Season=2016-17&amp;flag=1&amp;title=Leonard%20%20Cutting%20Dunk%20Shot%20(24%20PTS)%20(Mills%205%20AST)", "Leonard  Cutting Dunk Shot (24 PTS) (Mills 5 AST)")</f>
        <v>Leonard  Cutting Dunk Shot (24 PTS) (Mills 5 AST)</v>
      </c>
      <c r="L5278" s="2" t="str">
        <f>HYPERLINK("https://www.nba.com/game/...-vs-...-0021600454/play-by-play?watchFullGame=true", "SAS vs POR - Q4 07:46.00")</f>
        <v>SAS vs POR - Q4 07:46.00</v>
      </c>
      <c r="M5278">
        <v>0</v>
      </c>
      <c r="N5278">
        <v>0</v>
      </c>
      <c r="O5278">
        <v>1</v>
      </c>
      <c r="P5278">
        <v>0</v>
      </c>
      <c r="Q5278">
        <v>1</v>
      </c>
      <c r="R5278" t="s">
        <v>21</v>
      </c>
      <c r="S5278" t="s">
        <v>21</v>
      </c>
    </row>
    <row r="5279" spans="1:19" hidden="1" x14ac:dyDescent="0.25">
      <c r="A5279">
        <v>41800403</v>
      </c>
      <c r="B5279" t="s">
        <v>18</v>
      </c>
      <c r="C5279" t="s">
        <v>51</v>
      </c>
      <c r="D5279">
        <v>64</v>
      </c>
      <c r="E5279">
        <v>52</v>
      </c>
      <c r="F5279">
        <v>12</v>
      </c>
      <c r="G5279">
        <v>3</v>
      </c>
      <c r="H5279" s="1">
        <v>7.8935185185185185E-3</v>
      </c>
      <c r="I5279" t="s">
        <v>60</v>
      </c>
      <c r="J5279" t="s">
        <v>48</v>
      </c>
      <c r="K5279" s="2" t="str">
        <f>HYPERLINK("https://www.nba.com/stats/events?CFID=&amp;CFPARAMS=&amp;GameEventID=362&amp;GameID=0041800403&amp;Season=2018-19&amp;flag=1&amp;title=Leonard%201'%20Running%20Layup%20(11%20PTS)%20(Siakam%203%20AST)", "Leonard 1' Running Layup (11 PTS) (Siakam 3 AST)")</f>
        <v>Leonard 1' Running Layup (11 PTS) (Siakam 3 AST)</v>
      </c>
      <c r="L5279" s="2" t="str">
        <f>HYPERLINK("https://www.nba.com/game/...-vs-...-0041800403/play-by-play?watchFullGame=true", "TOR vs GSW - Q3 11:22.00")</f>
        <v>TOR vs GSW - Q3 11:22.00</v>
      </c>
      <c r="M5279">
        <v>1</v>
      </c>
      <c r="N5279">
        <v>3</v>
      </c>
      <c r="O5279">
        <v>13</v>
      </c>
      <c r="P5279">
        <v>3</v>
      </c>
      <c r="Q5279">
        <v>13</v>
      </c>
      <c r="R5279" t="s">
        <v>21</v>
      </c>
      <c r="S5279" t="s">
        <v>21</v>
      </c>
    </row>
    <row r="5280" spans="1:19" hidden="1" x14ac:dyDescent="0.25">
      <c r="A5280">
        <v>21800206</v>
      </c>
      <c r="B5280" t="s">
        <v>18</v>
      </c>
      <c r="C5280" t="s">
        <v>22</v>
      </c>
      <c r="D5280">
        <v>2</v>
      </c>
      <c r="E5280">
        <v>2</v>
      </c>
      <c r="F5280">
        <v>0</v>
      </c>
      <c r="G5280">
        <v>1</v>
      </c>
      <c r="H5280" s="1">
        <v>7.951388888888888E-3</v>
      </c>
      <c r="I5280">
        <v>2018</v>
      </c>
      <c r="J5280" t="s">
        <v>48</v>
      </c>
      <c r="K5280" s="2" t="str">
        <f>HYPERLINK("https://www.nba.com/stats/events?CFID=&amp;CFPARAMS=&amp;GameEventID=15&amp;GameID=0021800206&amp;Season=2018-19&amp;flag=1&amp;title=Leonard%201'%20Driving%20Layup%20(2%20PTS)", "Leonard 1' Driving Layup (2 PTS)")</f>
        <v>Leonard 1' Driving Layup (2 PTS)</v>
      </c>
      <c r="L5280" s="2" t="str">
        <f>HYPERLINK("https://www.nba.com/game/...-vs-...-0021800206/play-by-play?watchFullGame=true", "TOR vs DET - Q1 11:27.00")</f>
        <v>TOR vs DET - Q1 11:27.00</v>
      </c>
      <c r="M5280">
        <v>1</v>
      </c>
      <c r="N5280">
        <v>13</v>
      </c>
      <c r="O5280">
        <v>7</v>
      </c>
      <c r="P5280">
        <v>13</v>
      </c>
      <c r="Q5280">
        <v>7</v>
      </c>
      <c r="R5280" t="s">
        <v>21</v>
      </c>
      <c r="S5280" t="s">
        <v>21</v>
      </c>
    </row>
    <row r="5281" spans="1:19" hidden="1" x14ac:dyDescent="0.25">
      <c r="A5281">
        <v>41800217</v>
      </c>
      <c r="B5281" t="s">
        <v>18</v>
      </c>
      <c r="C5281" t="s">
        <v>41</v>
      </c>
      <c r="D5281">
        <v>2</v>
      </c>
      <c r="E5281">
        <v>0</v>
      </c>
      <c r="F5281">
        <v>2</v>
      </c>
      <c r="G5281">
        <v>1</v>
      </c>
      <c r="H5281" s="1">
        <v>7.9745370370370369E-3</v>
      </c>
      <c r="I5281" t="s">
        <v>60</v>
      </c>
      <c r="J5281" t="s">
        <v>48</v>
      </c>
      <c r="K5281" s="2" t="str">
        <f>HYPERLINK("https://www.nba.com/stats/events?CFID=&amp;CFPARAMS=&amp;GameEventID=11&amp;GameID=0041800217&amp;Season=2018-19&amp;flag=1&amp;title=Leonard%201'%20Tip%20Layup%20Shot%20(2%20PTS)", "Leonard 1' Tip Layup Shot (2 PTS)")</f>
        <v>Leonard 1' Tip Layup Shot (2 PTS)</v>
      </c>
      <c r="L5281" s="2" t="str">
        <f>HYPERLINK("https://www.nba.com/game/...-vs-...-0041800217/play-by-play?watchFullGame=true", "TOR vs PHI - Q1 11:29.00")</f>
        <v>TOR vs PHI - Q1 11:29.00</v>
      </c>
      <c r="M5281">
        <v>1</v>
      </c>
      <c r="N5281">
        <v>0</v>
      </c>
      <c r="O5281">
        <v>-6</v>
      </c>
      <c r="P5281">
        <v>0</v>
      </c>
      <c r="Q5281">
        <v>-6</v>
      </c>
      <c r="R5281" t="s">
        <v>21</v>
      </c>
      <c r="S5281" t="s">
        <v>21</v>
      </c>
    </row>
    <row r="5282" spans="1:19" hidden="1" x14ac:dyDescent="0.25">
      <c r="A5282">
        <v>21500644</v>
      </c>
      <c r="B5282" t="s">
        <v>18</v>
      </c>
      <c r="C5282" t="s">
        <v>23</v>
      </c>
      <c r="D5282">
        <v>62</v>
      </c>
      <c r="E5282">
        <v>53</v>
      </c>
      <c r="F5282">
        <v>9</v>
      </c>
      <c r="G5282">
        <v>3</v>
      </c>
      <c r="H5282" s="1">
        <v>5.4282407407407404E-3</v>
      </c>
      <c r="I5282">
        <v>2015</v>
      </c>
      <c r="J5282" t="s">
        <v>20</v>
      </c>
      <c r="K5282" s="2" t="str">
        <f>HYPERLINK("https://www.nba.com/stats/events?CFID=&amp;CFPARAMS=&amp;GameEventID=288&amp;GameID=0021500644&amp;Season=2015-16&amp;flag=1&amp;title=Leonard%20%20Dunk%20(16%20PTS)%20(Green%201%20AST)", "Leonard  Dunk (16 PTS) (Green 1 AST)")</f>
        <v>Leonard  Dunk (16 PTS) (Green 1 AST)</v>
      </c>
      <c r="L5282" s="2" t="str">
        <f>HYPERLINK("https://www.nba.com/game/...-vs-...-0021500644/play-by-play?watchFullGame=true", "SAS vs PHX - Q3 07:49.00")</f>
        <v>SAS vs PHX - Q3 07:49.00</v>
      </c>
      <c r="M5282">
        <v>0</v>
      </c>
      <c r="N5282">
        <v>0</v>
      </c>
      <c r="O5282">
        <v>1</v>
      </c>
      <c r="P5282">
        <v>0</v>
      </c>
      <c r="Q5282">
        <v>1</v>
      </c>
      <c r="R5282" t="s">
        <v>21</v>
      </c>
      <c r="S5282" t="s">
        <v>21</v>
      </c>
    </row>
    <row r="5283" spans="1:19" hidden="1" x14ac:dyDescent="0.25">
      <c r="A5283">
        <v>41200234</v>
      </c>
      <c r="B5283" t="s">
        <v>18</v>
      </c>
      <c r="C5283" t="s">
        <v>35</v>
      </c>
      <c r="D5283">
        <v>64</v>
      </c>
      <c r="E5283">
        <v>60</v>
      </c>
      <c r="F5283">
        <v>4</v>
      </c>
      <c r="G5283">
        <v>4</v>
      </c>
      <c r="H5283" s="1">
        <v>8.0092592592592594E-3</v>
      </c>
      <c r="I5283" t="s">
        <v>53</v>
      </c>
      <c r="J5283" t="s">
        <v>20</v>
      </c>
      <c r="K5283" s="2" t="str">
        <f>HYPERLINK("https://www.nba.com/stats/events?CFID=&amp;CFPARAMS=&amp;GameEventID=440&amp;GameID=0041200234&amp;Season=2012-13&amp;flag=1&amp;title=Leonard%201'%20Reverse%20Layup%20(6%20PTS)%20(Splitter%202%20AST)", "Leonard 1' Reverse Layup (6 PTS) (Splitter 2 AST)")</f>
        <v>Leonard 1' Reverse Layup (6 PTS) (Splitter 2 AST)</v>
      </c>
      <c r="L5283" s="2" t="str">
        <f>HYPERLINK("https://www.nba.com/game/...-vs-...-0041200234/play-by-play?watchFullGame=true", "SAS vs GSW - Q4 11:32.00")</f>
        <v>SAS vs GSW - Q4 11:32.00</v>
      </c>
      <c r="M5283">
        <v>1</v>
      </c>
      <c r="N5283">
        <v>-10</v>
      </c>
      <c r="O5283">
        <v>6</v>
      </c>
      <c r="P5283">
        <v>-10</v>
      </c>
      <c r="Q5283">
        <v>6</v>
      </c>
      <c r="R5283" t="s">
        <v>21</v>
      </c>
      <c r="S5283" t="s">
        <v>21</v>
      </c>
    </row>
    <row r="5284" spans="1:19" hidden="1" x14ac:dyDescent="0.25">
      <c r="A5284">
        <v>21500905</v>
      </c>
      <c r="B5284" t="s">
        <v>18</v>
      </c>
      <c r="C5284" t="s">
        <v>50</v>
      </c>
      <c r="D5284">
        <v>87</v>
      </c>
      <c r="E5284">
        <v>72</v>
      </c>
      <c r="F5284">
        <v>15</v>
      </c>
      <c r="G5284">
        <v>4</v>
      </c>
      <c r="H5284" s="1">
        <v>5.4398148148148149E-3</v>
      </c>
      <c r="I5284">
        <v>2015</v>
      </c>
      <c r="J5284" t="s">
        <v>20</v>
      </c>
      <c r="K5284" s="2" t="str">
        <f>HYPERLINK("https://www.nba.com/stats/events?CFID=&amp;CFPARAMS=&amp;GameEventID=379&amp;GameID=0021500905&amp;Season=2015-16&amp;flag=1&amp;title=Leonard%20%20Running%20Dunk%20(23%20PTS)", "Leonard  Running Dunk (23 PTS)")</f>
        <v>Leonard  Running Dunk (23 PTS)</v>
      </c>
      <c r="L5284" s="2" t="str">
        <f>HYPERLINK("https://www.nba.com/game/...-vs-...-0021500905/play-by-play?watchFullGame=true", "SAS vs DET - Q4 07:50.00")</f>
        <v>SAS vs DET - Q4 07:50.00</v>
      </c>
      <c r="M5284">
        <v>0</v>
      </c>
      <c r="N5284">
        <v>0</v>
      </c>
      <c r="O5284">
        <v>1</v>
      </c>
      <c r="P5284">
        <v>0</v>
      </c>
      <c r="Q5284">
        <v>1</v>
      </c>
      <c r="R5284" t="s">
        <v>21</v>
      </c>
      <c r="S5284" t="s">
        <v>21</v>
      </c>
    </row>
    <row r="5285" spans="1:19" hidden="1" x14ac:dyDescent="0.25">
      <c r="A5285">
        <v>21300100</v>
      </c>
      <c r="B5285" t="s">
        <v>18</v>
      </c>
      <c r="C5285" t="s">
        <v>24</v>
      </c>
      <c r="D5285">
        <v>59</v>
      </c>
      <c r="E5285">
        <v>38</v>
      </c>
      <c r="F5285">
        <v>21</v>
      </c>
      <c r="G5285">
        <v>3</v>
      </c>
      <c r="H5285" s="1">
        <v>8.1134259259259267E-3</v>
      </c>
      <c r="I5285">
        <v>2013</v>
      </c>
      <c r="J5285" t="s">
        <v>20</v>
      </c>
      <c r="K5285" s="2" t="str">
        <f>HYPERLINK("https://www.nba.com/stats/events?CFID=&amp;CFPARAMS=&amp;GameEventID=229&amp;GameID=0021300100&amp;Season=2013-14&amp;flag=1&amp;title=Leonard%201'%20Layup%20(4%20PTS)%20(Parker%206%20AST)", "Leonard 1' Layup (4 PTS) (Parker 6 AST)")</f>
        <v>Leonard 1' Layup (4 PTS) (Parker 6 AST)</v>
      </c>
      <c r="L5285" s="2" t="str">
        <f>HYPERLINK("https://www.nba.com/game/...-vs-...-0021300100/play-by-play?watchFullGame=true", "SAS vs PHI - Q3 11:41.00")</f>
        <v>SAS vs PHI - Q3 11:41.00</v>
      </c>
      <c r="M5285">
        <v>1</v>
      </c>
      <c r="N5285">
        <v>6</v>
      </c>
      <c r="O5285">
        <v>11</v>
      </c>
      <c r="P5285">
        <v>6</v>
      </c>
      <c r="Q5285">
        <v>11</v>
      </c>
      <c r="R5285" t="s">
        <v>21</v>
      </c>
      <c r="S5285" t="s">
        <v>21</v>
      </c>
    </row>
    <row r="5286" spans="1:19" hidden="1" x14ac:dyDescent="0.25">
      <c r="A5286">
        <v>41500151</v>
      </c>
      <c r="B5286" t="s">
        <v>18</v>
      </c>
      <c r="C5286" t="s">
        <v>46</v>
      </c>
      <c r="D5286">
        <v>30</v>
      </c>
      <c r="E5286">
        <v>22</v>
      </c>
      <c r="F5286">
        <v>8</v>
      </c>
      <c r="G5286">
        <v>2</v>
      </c>
      <c r="H5286" s="1">
        <v>5.4861111111111109E-3</v>
      </c>
      <c r="I5286" t="s">
        <v>57</v>
      </c>
      <c r="J5286" t="s">
        <v>20</v>
      </c>
      <c r="K5286" s="2" t="str">
        <f>HYPERLINK("https://www.nba.com/stats/events?CFID=&amp;CFPARAMS=&amp;GameEventID=159&amp;GameID=0041500151&amp;Season=2015-16&amp;flag=1&amp;title=Leonard%20%20Cutting%20Dunk%20Shot%20(9%20PTS)%20(Mills%201%20AST)", "Leonard  Cutting Dunk Shot (9 PTS) (Mills 1 AST)")</f>
        <v>Leonard  Cutting Dunk Shot (9 PTS) (Mills 1 AST)</v>
      </c>
      <c r="L5286" s="2" t="str">
        <f>HYPERLINK("https://www.nba.com/game/...-vs-...-0041500151/play-by-play?watchFullGame=true", "SAS vs MEM - Q2 07:54.00")</f>
        <v>SAS vs MEM - Q2 07:54.00</v>
      </c>
      <c r="M5286">
        <v>0</v>
      </c>
      <c r="N5286">
        <v>0</v>
      </c>
      <c r="O5286">
        <v>1</v>
      </c>
      <c r="P5286">
        <v>0</v>
      </c>
      <c r="Q5286">
        <v>1</v>
      </c>
      <c r="R5286" t="s">
        <v>21</v>
      </c>
      <c r="S5286" t="s">
        <v>21</v>
      </c>
    </row>
    <row r="5287" spans="1:19" hidden="1" x14ac:dyDescent="0.25">
      <c r="A5287">
        <v>21601011</v>
      </c>
      <c r="B5287" t="s">
        <v>18</v>
      </c>
      <c r="C5287" t="s">
        <v>25</v>
      </c>
      <c r="D5287">
        <v>63</v>
      </c>
      <c r="E5287">
        <v>62</v>
      </c>
      <c r="F5287">
        <v>1</v>
      </c>
      <c r="G5287">
        <v>3</v>
      </c>
      <c r="H5287" s="1">
        <v>5.6597222222222222E-3</v>
      </c>
      <c r="I5287">
        <v>2016</v>
      </c>
      <c r="J5287" t="s">
        <v>20</v>
      </c>
      <c r="K5287" s="2" t="str">
        <f>HYPERLINK("https://www.nba.com/stats/events?CFID=&amp;CFPARAMS=&amp;GameEventID=258&amp;GameID=0021601011&amp;Season=2016-17&amp;flag=1&amp;title=Leonard%20%20Driving%20Dunk%20(23%20PTS)%20(Dedmon%202%20AST)", "Leonard  Driving Dunk (23 PTS) (Dedmon 2 AST)")</f>
        <v>Leonard  Driving Dunk (23 PTS) (Dedmon 2 AST)</v>
      </c>
      <c r="L5287" s="2" t="str">
        <f>HYPERLINK("https://www.nba.com/game/...-vs-...-0021601011/play-by-play?watchFullGame=true", "SAS vs POR - Q3 08:09.00")</f>
        <v>SAS vs POR - Q3 08:09.00</v>
      </c>
      <c r="M5287">
        <v>0</v>
      </c>
      <c r="N5287">
        <v>0</v>
      </c>
      <c r="O5287">
        <v>1</v>
      </c>
      <c r="P5287">
        <v>0</v>
      </c>
      <c r="Q5287">
        <v>1</v>
      </c>
      <c r="R5287" t="s">
        <v>21</v>
      </c>
      <c r="S5287" t="s">
        <v>21</v>
      </c>
    </row>
    <row r="5288" spans="1:19" hidden="1" x14ac:dyDescent="0.25">
      <c r="A5288">
        <v>41300401</v>
      </c>
      <c r="B5288" t="s">
        <v>18</v>
      </c>
      <c r="C5288" t="s">
        <v>24</v>
      </c>
      <c r="D5288">
        <v>56</v>
      </c>
      <c r="E5288">
        <v>49</v>
      </c>
      <c r="F5288">
        <v>7</v>
      </c>
      <c r="G5288">
        <v>3</v>
      </c>
      <c r="H5288" s="1">
        <v>8.1828703703703699E-3</v>
      </c>
      <c r="I5288" t="s">
        <v>55</v>
      </c>
      <c r="J5288" t="s">
        <v>20</v>
      </c>
      <c r="K5288" s="2" t="str">
        <f>HYPERLINK("https://www.nba.com/stats/events?CFID=&amp;CFPARAMS=&amp;GameEventID=250&amp;GameID=0041300401&amp;Season=2013-14&amp;flag=1&amp;title=Leonard%201'%20Layup%20(2%20PTS)", "Leonard 1' Layup (2 PTS)")</f>
        <v>Leonard 1' Layup (2 PTS)</v>
      </c>
      <c r="L5288" s="2" t="str">
        <f>HYPERLINK("https://www.nba.com/game/...-vs-...-0041300401/play-by-play?watchFullGame=true", "SAS vs MIA - Q3 11:47.00")</f>
        <v>SAS vs MIA - Q3 11:47.00</v>
      </c>
      <c r="M5288">
        <v>1</v>
      </c>
      <c r="N5288">
        <v>-5</v>
      </c>
      <c r="O5288">
        <v>7</v>
      </c>
      <c r="P5288">
        <v>-5</v>
      </c>
      <c r="Q5288">
        <v>7</v>
      </c>
      <c r="R5288" t="s">
        <v>21</v>
      </c>
      <c r="S5288" t="s">
        <v>21</v>
      </c>
    </row>
    <row r="5289" spans="1:19" hidden="1" x14ac:dyDescent="0.25">
      <c r="A5289">
        <v>21800563</v>
      </c>
      <c r="B5289" t="s">
        <v>18</v>
      </c>
      <c r="C5289" t="s">
        <v>22</v>
      </c>
      <c r="D5289">
        <v>2</v>
      </c>
      <c r="E5289">
        <v>0</v>
      </c>
      <c r="F5289">
        <v>2</v>
      </c>
      <c r="G5289">
        <v>1</v>
      </c>
      <c r="H5289" s="1">
        <v>8.1828703703703699E-3</v>
      </c>
      <c r="I5289">
        <v>2018</v>
      </c>
      <c r="J5289" t="s">
        <v>48</v>
      </c>
      <c r="K5289" s="2" t="str">
        <f>HYPERLINK("https://www.nba.com/stats/events?CFID=&amp;CFPARAMS=&amp;GameEventID=7&amp;GameID=0021800563&amp;Season=2018-19&amp;flag=1&amp;title=Leonard%201'%20Driving%20Layup%20(2%20PTS)", "Leonard 1' Driving Layup (2 PTS)")</f>
        <v>Leonard 1' Driving Layup (2 PTS)</v>
      </c>
      <c r="L5289" s="2" t="str">
        <f>HYPERLINK("https://www.nba.com/game/...-vs-...-0021800563/play-by-play?watchFullGame=true", "TOR vs SAS - Q1 11:47.00")</f>
        <v>TOR vs SAS - Q1 11:47.00</v>
      </c>
      <c r="M5289">
        <v>1</v>
      </c>
      <c r="N5289">
        <v>-2</v>
      </c>
      <c r="O5289">
        <v>5</v>
      </c>
      <c r="P5289">
        <v>-2</v>
      </c>
      <c r="Q5289">
        <v>5</v>
      </c>
      <c r="R5289" t="s">
        <v>21</v>
      </c>
      <c r="S5289" t="s">
        <v>21</v>
      </c>
    </row>
    <row r="5290" spans="1:19" hidden="1" x14ac:dyDescent="0.25">
      <c r="A5290">
        <v>21400282</v>
      </c>
      <c r="B5290" t="s">
        <v>18</v>
      </c>
      <c r="C5290" t="s">
        <v>23</v>
      </c>
      <c r="D5290">
        <v>10</v>
      </c>
      <c r="E5290">
        <v>2</v>
      </c>
      <c r="F5290">
        <v>8</v>
      </c>
      <c r="G5290">
        <v>1</v>
      </c>
      <c r="H5290" s="1">
        <v>5.6828703703703702E-3</v>
      </c>
      <c r="I5290">
        <v>2014</v>
      </c>
      <c r="J5290" t="s">
        <v>20</v>
      </c>
      <c r="K5290" s="2" t="str">
        <f>HYPERLINK("https://www.nba.com/stats/events?CFID=&amp;CFPARAMS=&amp;GameEventID=31&amp;GameID=0021400282&amp;Season=2014-15&amp;flag=1&amp;title=Leonard%20%20Dunk%20(5%20PTS)", "Leonard  Dunk (5 PTS)")</f>
        <v>Leonard  Dunk (5 PTS)</v>
      </c>
      <c r="L5290" s="2" t="str">
        <f>HYPERLINK("https://www.nba.com/game/...-vs-...-0021400282/play-by-play?watchFullGame=true", "SAS vs MEM - Q1 08:11.00")</f>
        <v>SAS vs MEM - Q1 08:11.00</v>
      </c>
      <c r="M5290">
        <v>0</v>
      </c>
      <c r="N5290">
        <v>0</v>
      </c>
      <c r="O5290">
        <v>1</v>
      </c>
      <c r="P5290">
        <v>0</v>
      </c>
      <c r="Q5290">
        <v>1</v>
      </c>
      <c r="R5290" t="s">
        <v>21</v>
      </c>
      <c r="S5290" t="s">
        <v>21</v>
      </c>
    </row>
    <row r="5291" spans="1:19" hidden="1" x14ac:dyDescent="0.25">
      <c r="A5291">
        <v>21600874</v>
      </c>
      <c r="B5291" t="s">
        <v>18</v>
      </c>
      <c r="C5291" t="s">
        <v>50</v>
      </c>
      <c r="D5291">
        <v>103</v>
      </c>
      <c r="E5291">
        <v>79</v>
      </c>
      <c r="F5291">
        <v>24</v>
      </c>
      <c r="G5291">
        <v>4</v>
      </c>
      <c r="H5291" s="1">
        <v>5.7175925925925927E-3</v>
      </c>
      <c r="I5291">
        <v>2016</v>
      </c>
      <c r="J5291" t="s">
        <v>20</v>
      </c>
      <c r="K5291" s="2" t="str">
        <f>HYPERLINK("https://www.nba.com/stats/events?CFID=&amp;CFPARAMS=&amp;GameEventID=419&amp;GameID=0021600874&amp;Season=2016-17&amp;flag=1&amp;title=Leonard%20%20Running%20Dunk%20(25%20PTS)%20(Murray%201%20AST)", "Leonard  Running Dunk (25 PTS) (Murray 1 AST)")</f>
        <v>Leonard  Running Dunk (25 PTS) (Murray 1 AST)</v>
      </c>
      <c r="L5291" s="2" t="str">
        <f>HYPERLINK("https://www.nba.com/game/...-vs-...-0021600874/play-by-play?watchFullGame=true", "SAS vs LAL - Q4 08:14.00")</f>
        <v>SAS vs LAL - Q4 08:14.00</v>
      </c>
      <c r="M5291">
        <v>0</v>
      </c>
      <c r="N5291">
        <v>0</v>
      </c>
      <c r="O5291">
        <v>1</v>
      </c>
      <c r="P5291">
        <v>0</v>
      </c>
      <c r="Q5291">
        <v>1</v>
      </c>
      <c r="R5291" t="s">
        <v>21</v>
      </c>
      <c r="S5291" t="s">
        <v>21</v>
      </c>
    </row>
    <row r="5292" spans="1:19" hidden="1" x14ac:dyDescent="0.25">
      <c r="A5292">
        <v>21501161</v>
      </c>
      <c r="B5292" t="s">
        <v>18</v>
      </c>
      <c r="C5292" t="s">
        <v>25</v>
      </c>
      <c r="D5292">
        <v>73</v>
      </c>
      <c r="E5292">
        <v>64</v>
      </c>
      <c r="F5292">
        <v>9</v>
      </c>
      <c r="G5292">
        <v>4</v>
      </c>
      <c r="H5292" s="1">
        <v>5.7175925925925927E-3</v>
      </c>
      <c r="I5292">
        <v>2015</v>
      </c>
      <c r="J5292" t="s">
        <v>20</v>
      </c>
      <c r="K5292" s="2" t="str">
        <f>HYPERLINK("https://www.nba.com/stats/events?CFID=&amp;CFPARAMS=&amp;GameEventID=380&amp;GameID=0021501161&amp;Season=2015-16&amp;flag=1&amp;title=Leonard%20%20Driving%20Dunk%20(14%20PTS)", "Leonard  Driving Dunk (14 PTS)")</f>
        <v>Leonard  Driving Dunk (14 PTS)</v>
      </c>
      <c r="L5292" s="2" t="str">
        <f>HYPERLINK("https://www.nba.com/game/...-vs-...-0021501161/play-by-play?watchFullGame=true", "SAS vs UTA - Q4 08:14.00")</f>
        <v>SAS vs UTA - Q4 08:14.00</v>
      </c>
      <c r="M5292">
        <v>0</v>
      </c>
      <c r="N5292">
        <v>0</v>
      </c>
      <c r="O5292">
        <v>1</v>
      </c>
      <c r="P5292">
        <v>0</v>
      </c>
      <c r="Q5292">
        <v>1</v>
      </c>
      <c r="R5292" t="s">
        <v>21</v>
      </c>
      <c r="S5292" t="s">
        <v>21</v>
      </c>
    </row>
    <row r="5293" spans="1:19" hidden="1" x14ac:dyDescent="0.25">
      <c r="A5293">
        <v>21500431</v>
      </c>
      <c r="B5293" t="s">
        <v>18</v>
      </c>
      <c r="C5293" t="s">
        <v>50</v>
      </c>
      <c r="D5293">
        <v>89</v>
      </c>
      <c r="E5293">
        <v>67</v>
      </c>
      <c r="F5293">
        <v>22</v>
      </c>
      <c r="G5293">
        <v>4</v>
      </c>
      <c r="H5293" s="1">
        <v>5.7291666666666663E-3</v>
      </c>
      <c r="I5293">
        <v>2015</v>
      </c>
      <c r="J5293" t="s">
        <v>20</v>
      </c>
      <c r="K5293" s="2" t="str">
        <f>HYPERLINK("https://www.nba.com/stats/events?CFID=&amp;CFPARAMS=&amp;GameEventID=394&amp;GameID=0021500431&amp;Season=2015-16&amp;flag=1&amp;title=Leonard%20%20Running%20Dunk%20(14%20PTS)%20(Parker%205%20AST)", "Leonard  Running Dunk (14 PTS) (Parker 5 AST)")</f>
        <v>Leonard  Running Dunk (14 PTS) (Parker 5 AST)</v>
      </c>
      <c r="L5293" s="2" t="str">
        <f>HYPERLINK("https://www.nba.com/game/...-vs-...-0021500431/play-by-play?watchFullGame=true", "SAS vs MIN - Q4 08:15.00")</f>
        <v>SAS vs MIN - Q4 08:15.00</v>
      </c>
      <c r="M5293">
        <v>0</v>
      </c>
      <c r="N5293">
        <v>0</v>
      </c>
      <c r="O5293">
        <v>1</v>
      </c>
      <c r="P5293">
        <v>0</v>
      </c>
      <c r="Q5293">
        <v>1</v>
      </c>
      <c r="R5293" t="s">
        <v>21</v>
      </c>
      <c r="S5293" t="s">
        <v>21</v>
      </c>
    </row>
    <row r="5294" spans="1:19" hidden="1" x14ac:dyDescent="0.25">
      <c r="A5294">
        <v>21500257</v>
      </c>
      <c r="B5294" t="s">
        <v>18</v>
      </c>
      <c r="C5294" t="s">
        <v>25</v>
      </c>
      <c r="D5294">
        <v>55</v>
      </c>
      <c r="E5294">
        <v>58</v>
      </c>
      <c r="F5294">
        <v>3</v>
      </c>
      <c r="G5294">
        <v>3</v>
      </c>
      <c r="H5294" s="1">
        <v>5.7291666666666663E-3</v>
      </c>
      <c r="I5294">
        <v>2015</v>
      </c>
      <c r="J5294" t="s">
        <v>20</v>
      </c>
      <c r="K5294" s="2" t="str">
        <f>HYPERLINK("https://www.nba.com/stats/events?CFID=&amp;CFPARAMS=&amp;GameEventID=265&amp;GameID=0021500257&amp;Season=2015-16&amp;flag=1&amp;title=Leonard%20%20Driving%20Dunk%20(11%20PTS)", "Leonard  Driving Dunk (11 PTS)")</f>
        <v>Leonard  Driving Dunk (11 PTS)</v>
      </c>
      <c r="L5294" s="2" t="str">
        <f>HYPERLINK("https://www.nba.com/game/...-vs-...-0021500257/play-by-play?watchFullGame=true", "SAS vs CHI - Q3 08:15.00")</f>
        <v>SAS vs CHI - Q3 08:15.00</v>
      </c>
      <c r="M5294">
        <v>0</v>
      </c>
      <c r="N5294">
        <v>0</v>
      </c>
      <c r="O5294">
        <v>1</v>
      </c>
      <c r="P5294">
        <v>0</v>
      </c>
      <c r="Q5294">
        <v>1</v>
      </c>
      <c r="R5294" t="s">
        <v>21</v>
      </c>
      <c r="S5294" t="s">
        <v>21</v>
      </c>
    </row>
    <row r="5295" spans="1:19" hidden="1" x14ac:dyDescent="0.25">
      <c r="A5295">
        <v>41500151</v>
      </c>
      <c r="B5295" t="s">
        <v>18</v>
      </c>
      <c r="C5295" t="s">
        <v>50</v>
      </c>
      <c r="D5295">
        <v>28</v>
      </c>
      <c r="E5295">
        <v>22</v>
      </c>
      <c r="F5295">
        <v>6</v>
      </c>
      <c r="G5295">
        <v>2</v>
      </c>
      <c r="H5295" s="1">
        <v>5.7523148148148151E-3</v>
      </c>
      <c r="I5295" t="s">
        <v>57</v>
      </c>
      <c r="J5295" t="s">
        <v>20</v>
      </c>
      <c r="K5295" s="2" t="str">
        <f>HYPERLINK("https://www.nba.com/stats/events?CFID=&amp;CFPARAMS=&amp;GameEventID=157&amp;GameID=0041500151&amp;Season=2015-16&amp;flag=1&amp;title=Leonard%20%20Running%20Dunk%20(7%20PTS)", "Leonard  Running Dunk (7 PTS)")</f>
        <v>Leonard  Running Dunk (7 PTS)</v>
      </c>
      <c r="L5295" s="2" t="str">
        <f>HYPERLINK("https://www.nba.com/game/...-vs-...-0041500151/play-by-play?watchFullGame=true", "SAS vs MEM - Q2 08:17.00")</f>
        <v>SAS vs MEM - Q2 08:17.00</v>
      </c>
      <c r="M5295">
        <v>0</v>
      </c>
      <c r="N5295">
        <v>0</v>
      </c>
      <c r="O5295">
        <v>1</v>
      </c>
      <c r="P5295">
        <v>0</v>
      </c>
      <c r="Q5295">
        <v>1</v>
      </c>
      <c r="R5295" t="s">
        <v>21</v>
      </c>
      <c r="S5295" t="s">
        <v>21</v>
      </c>
    </row>
    <row r="5296" spans="1:19" hidden="1" x14ac:dyDescent="0.25">
      <c r="A5296">
        <v>21500570</v>
      </c>
      <c r="B5296" t="s">
        <v>18</v>
      </c>
      <c r="C5296" t="s">
        <v>68</v>
      </c>
      <c r="D5296">
        <v>34</v>
      </c>
      <c r="E5296">
        <v>33</v>
      </c>
      <c r="F5296">
        <v>1</v>
      </c>
      <c r="G5296">
        <v>2</v>
      </c>
      <c r="H5296" s="1">
        <v>5.7638888888888887E-3</v>
      </c>
      <c r="I5296">
        <v>2015</v>
      </c>
      <c r="J5296" t="s">
        <v>20</v>
      </c>
      <c r="K5296" s="2" t="str">
        <f>HYPERLINK("https://www.nba.com/stats/events?CFID=&amp;CFPARAMS=&amp;GameEventID=187&amp;GameID=0021500570&amp;Season=2015-16&amp;flag=1&amp;title=Leonard%20%20Alley%20Oop%20Dunk%20(2%20PTS)%20(Duncan%201%20AST)", "Leonard  Alley Oop Dunk (2 PTS) (Duncan 1 AST)")</f>
        <v>Leonard  Alley Oop Dunk (2 PTS) (Duncan 1 AST)</v>
      </c>
      <c r="L5296" s="2" t="str">
        <f>HYPERLINK("https://www.nba.com/game/...-vs-...-0021500570/play-by-play?watchFullGame=true", "SAS vs DET - Q2 08:18.00")</f>
        <v>SAS vs DET - Q2 08:18.00</v>
      </c>
      <c r="M5296">
        <v>0</v>
      </c>
      <c r="N5296">
        <v>0</v>
      </c>
      <c r="O5296">
        <v>1</v>
      </c>
      <c r="P5296">
        <v>0</v>
      </c>
      <c r="Q5296">
        <v>1</v>
      </c>
      <c r="R5296" t="s">
        <v>21</v>
      </c>
      <c r="S5296" t="s">
        <v>21</v>
      </c>
    </row>
    <row r="5297" spans="1:19" hidden="1" x14ac:dyDescent="0.25">
      <c r="A5297">
        <v>21400867</v>
      </c>
      <c r="B5297" t="s">
        <v>18</v>
      </c>
      <c r="C5297" t="s">
        <v>23</v>
      </c>
      <c r="D5297">
        <v>84</v>
      </c>
      <c r="E5297">
        <v>80</v>
      </c>
      <c r="F5297">
        <v>4</v>
      </c>
      <c r="G5297">
        <v>4</v>
      </c>
      <c r="H5297" s="1">
        <v>5.7638888888888887E-3</v>
      </c>
      <c r="I5297">
        <v>2014</v>
      </c>
      <c r="J5297" t="s">
        <v>20</v>
      </c>
      <c r="K5297" s="2" t="str">
        <f>HYPERLINK("https://www.nba.com/stats/events?CFID=&amp;CFPARAMS=&amp;GameEventID=458&amp;GameID=0021400867&amp;Season=2014-15&amp;flag=1&amp;title=Leonard%20%20Dunk%20(17%20PTS)%20(Green%202%20AST)", "Leonard  Dunk (17 PTS) (Green 2 AST)")</f>
        <v>Leonard  Dunk (17 PTS) (Green 2 AST)</v>
      </c>
      <c r="L5297" s="2" t="str">
        <f>HYPERLINK("https://www.nba.com/game/...-vs-...-0021400867/play-by-play?watchFullGame=true", "SAS vs SAC - Q4 08:18.00")</f>
        <v>SAS vs SAC - Q4 08:18.00</v>
      </c>
      <c r="M5297">
        <v>0</v>
      </c>
      <c r="N5297">
        <v>0</v>
      </c>
      <c r="O5297">
        <v>1</v>
      </c>
      <c r="P5297">
        <v>0</v>
      </c>
      <c r="Q5297">
        <v>1</v>
      </c>
      <c r="R5297" t="s">
        <v>21</v>
      </c>
      <c r="S5297" t="s">
        <v>21</v>
      </c>
    </row>
    <row r="5298" spans="1:19" hidden="1" x14ac:dyDescent="0.25">
      <c r="A5298">
        <v>21500103</v>
      </c>
      <c r="B5298" t="s">
        <v>18</v>
      </c>
      <c r="C5298" t="s">
        <v>23</v>
      </c>
      <c r="D5298">
        <v>55</v>
      </c>
      <c r="E5298">
        <v>50</v>
      </c>
      <c r="F5298">
        <v>5</v>
      </c>
      <c r="G5298">
        <v>3</v>
      </c>
      <c r="H5298" s="1">
        <v>5.8449074074074072E-3</v>
      </c>
      <c r="I5298">
        <v>2015</v>
      </c>
      <c r="J5298" t="s">
        <v>20</v>
      </c>
      <c r="K5298" s="2" t="str">
        <f>HYPERLINK("https://www.nba.com/stats/events?CFID=&amp;CFPARAMS=&amp;GameEventID=289&amp;GameID=0021500103&amp;Season=2015-16&amp;flag=1&amp;title=Leonard%20%20Dunk%20(15%20PTS)%20(Duncan%201%20AST)", "Leonard  Dunk (15 PTS) (Duncan 1 AST)")</f>
        <v>Leonard  Dunk (15 PTS) (Duncan 1 AST)</v>
      </c>
      <c r="L5298" s="2" t="str">
        <f>HYPERLINK("https://www.nba.com/game/...-vs-...-0021500103/play-by-play?watchFullGame=true", "SAS vs SAC - Q3 08:25.00")</f>
        <v>SAS vs SAC - Q3 08:25.00</v>
      </c>
      <c r="M5298">
        <v>0</v>
      </c>
      <c r="N5298">
        <v>0</v>
      </c>
      <c r="O5298">
        <v>1</v>
      </c>
      <c r="P5298">
        <v>0</v>
      </c>
      <c r="Q5298">
        <v>1</v>
      </c>
      <c r="R5298" t="s">
        <v>21</v>
      </c>
      <c r="S5298" t="s">
        <v>21</v>
      </c>
    </row>
    <row r="5299" spans="1:19" hidden="1" x14ac:dyDescent="0.25">
      <c r="A5299">
        <v>21401110</v>
      </c>
      <c r="B5299" t="s">
        <v>18</v>
      </c>
      <c r="C5299" t="s">
        <v>23</v>
      </c>
      <c r="D5299">
        <v>79</v>
      </c>
      <c r="E5299">
        <v>62</v>
      </c>
      <c r="F5299">
        <v>17</v>
      </c>
      <c r="G5299">
        <v>4</v>
      </c>
      <c r="H5299" s="1">
        <v>5.8564814814814816E-3</v>
      </c>
      <c r="I5299">
        <v>2014</v>
      </c>
      <c r="J5299" t="s">
        <v>20</v>
      </c>
      <c r="K5299" s="2" t="str">
        <f>HYPERLINK("https://www.nba.com/stats/events?CFID=&amp;CFPARAMS=&amp;GameEventID=392&amp;GameID=0021401110&amp;Season=2014-15&amp;flag=1&amp;title=Leonard%20Dunk%20(20%20PTS)%20(Joseph%203%20AST)", "Leonard Dunk (20 PTS) (Joseph 3 AST)")</f>
        <v>Leonard Dunk (20 PTS) (Joseph 3 AST)</v>
      </c>
      <c r="L5299" s="2" t="str">
        <f>HYPERLINK("https://www.nba.com/game/...-vs-...-0021401110/play-by-play?watchFullGame=true", "SAS vs MIA - Q4 08:26.00")</f>
        <v>SAS vs MIA - Q4 08:26.00</v>
      </c>
      <c r="M5299">
        <v>0</v>
      </c>
      <c r="N5299">
        <v>0</v>
      </c>
      <c r="O5299">
        <v>1</v>
      </c>
      <c r="P5299">
        <v>0</v>
      </c>
      <c r="Q5299">
        <v>1</v>
      </c>
      <c r="R5299" t="s">
        <v>21</v>
      </c>
      <c r="S5299" t="s">
        <v>21</v>
      </c>
    </row>
    <row r="5300" spans="1:19" hidden="1" x14ac:dyDescent="0.25">
      <c r="A5300">
        <v>21601011</v>
      </c>
      <c r="B5300" t="s">
        <v>18</v>
      </c>
      <c r="C5300" t="s">
        <v>25</v>
      </c>
      <c r="D5300">
        <v>61</v>
      </c>
      <c r="E5300">
        <v>60</v>
      </c>
      <c r="F5300">
        <v>1</v>
      </c>
      <c r="G5300">
        <v>3</v>
      </c>
      <c r="H5300" s="1">
        <v>5.9722222222222225E-3</v>
      </c>
      <c r="I5300">
        <v>2016</v>
      </c>
      <c r="J5300" t="s">
        <v>20</v>
      </c>
      <c r="K5300" s="2" t="str">
        <f>HYPERLINK("https://www.nba.com/stats/events?CFID=&amp;CFPARAMS=&amp;GameEventID=254&amp;GameID=0021601011&amp;Season=2016-17&amp;flag=1&amp;title=Leonard%20%20Driving%20Dunk%20(21%20PTS)%20(Aldridge%203%20AST)", "Leonard  Driving Dunk (21 PTS) (Aldridge 3 AST)")</f>
        <v>Leonard  Driving Dunk (21 PTS) (Aldridge 3 AST)</v>
      </c>
      <c r="L5300" s="2" t="str">
        <f>HYPERLINK("https://www.nba.com/game/...-vs-...-0021601011/play-by-play?watchFullGame=true", "SAS vs POR - Q3 08:36.00")</f>
        <v>SAS vs POR - Q3 08:36.00</v>
      </c>
      <c r="M5300">
        <v>0</v>
      </c>
      <c r="N5300">
        <v>0</v>
      </c>
      <c r="O5300">
        <v>1</v>
      </c>
      <c r="P5300">
        <v>0</v>
      </c>
      <c r="Q5300">
        <v>1</v>
      </c>
      <c r="R5300" t="s">
        <v>21</v>
      </c>
      <c r="S5300" t="s">
        <v>21</v>
      </c>
    </row>
    <row r="5301" spans="1:19" hidden="1" x14ac:dyDescent="0.25">
      <c r="A5301">
        <v>21400921</v>
      </c>
      <c r="B5301" t="s">
        <v>18</v>
      </c>
      <c r="C5301" t="s">
        <v>23</v>
      </c>
      <c r="D5301">
        <v>73</v>
      </c>
      <c r="E5301">
        <v>66</v>
      </c>
      <c r="F5301">
        <v>7</v>
      </c>
      <c r="G5301">
        <v>3</v>
      </c>
      <c r="H5301" s="1">
        <v>5.9837962962962961E-3</v>
      </c>
      <c r="I5301">
        <v>2014</v>
      </c>
      <c r="J5301" t="s">
        <v>20</v>
      </c>
      <c r="K5301" s="2" t="str">
        <f>HYPERLINK("https://www.nba.com/stats/events?CFID=&amp;CFPARAMS=&amp;GameEventID=285&amp;GameID=0021400921&amp;Season=2014-15&amp;flag=1&amp;title=Leonard%20%20Dunk%20(15%20PTS)%20(Parker%206%20AST)", "Leonard  Dunk (15 PTS) (Parker 6 AST)")</f>
        <v>Leonard  Dunk (15 PTS) (Parker 6 AST)</v>
      </c>
      <c r="L5301" s="2" t="str">
        <f>HYPERLINK("https://www.nba.com/game/...-vs-...-0021400921/play-by-play?watchFullGame=true", "SAS vs DEN - Q3 08:37.00")</f>
        <v>SAS vs DEN - Q3 08:37.00</v>
      </c>
      <c r="M5301">
        <v>0</v>
      </c>
      <c r="N5301">
        <v>0</v>
      </c>
      <c r="O5301">
        <v>1</v>
      </c>
      <c r="P5301">
        <v>0</v>
      </c>
      <c r="Q5301">
        <v>1</v>
      </c>
      <c r="R5301" t="s">
        <v>21</v>
      </c>
      <c r="S5301" t="s">
        <v>21</v>
      </c>
    </row>
    <row r="5302" spans="1:19" hidden="1" x14ac:dyDescent="0.25">
      <c r="A5302">
        <v>21400867</v>
      </c>
      <c r="B5302" t="s">
        <v>18</v>
      </c>
      <c r="C5302" t="s">
        <v>23</v>
      </c>
      <c r="D5302">
        <v>59</v>
      </c>
      <c r="E5302">
        <v>54</v>
      </c>
      <c r="F5302">
        <v>5</v>
      </c>
      <c r="G5302">
        <v>3</v>
      </c>
      <c r="H5302" s="1">
        <v>6.1111111111111114E-3</v>
      </c>
      <c r="I5302">
        <v>2014</v>
      </c>
      <c r="J5302" t="s">
        <v>20</v>
      </c>
      <c r="K5302" s="2" t="str">
        <f>HYPERLINK("https://www.nba.com/stats/events?CFID=&amp;CFPARAMS=&amp;GameEventID=319&amp;GameID=0021400867&amp;Season=2014-15&amp;flag=1&amp;title=Leonard%20%20Dunk%20(15%20PTS)%20(Parker%202%20AST)", "Leonard  Dunk (15 PTS) (Parker 2 AST)")</f>
        <v>Leonard  Dunk (15 PTS) (Parker 2 AST)</v>
      </c>
      <c r="L5302" s="2" t="str">
        <f>HYPERLINK("https://www.nba.com/game/...-vs-...-0021400867/play-by-play?watchFullGame=true", "SAS vs SAC - Q3 08:48.00")</f>
        <v>SAS vs SAC - Q3 08:48.00</v>
      </c>
      <c r="M5302">
        <v>0</v>
      </c>
      <c r="N5302">
        <v>0</v>
      </c>
      <c r="O5302">
        <v>1</v>
      </c>
      <c r="P5302">
        <v>0</v>
      </c>
      <c r="Q5302">
        <v>1</v>
      </c>
      <c r="R5302" t="s">
        <v>21</v>
      </c>
      <c r="S5302" t="s">
        <v>21</v>
      </c>
    </row>
    <row r="5303" spans="1:19" hidden="1" x14ac:dyDescent="0.25">
      <c r="A5303">
        <v>21401168</v>
      </c>
      <c r="B5303" t="s">
        <v>18</v>
      </c>
      <c r="C5303" t="s">
        <v>23</v>
      </c>
      <c r="D5303">
        <v>65</v>
      </c>
      <c r="E5303">
        <v>57</v>
      </c>
      <c r="F5303">
        <v>8</v>
      </c>
      <c r="G5303">
        <v>3</v>
      </c>
      <c r="H5303" s="1">
        <v>6.1111111111111114E-3</v>
      </c>
      <c r="I5303">
        <v>2014</v>
      </c>
      <c r="J5303" t="s">
        <v>20</v>
      </c>
      <c r="K5303" s="2" t="str">
        <f>HYPERLINK("https://www.nba.com/stats/events?CFID=&amp;CFPARAMS=&amp;GameEventID=272&amp;GameID=0021401168&amp;Season=2014-15&amp;flag=1&amp;title=Leonard%20%20Dunk%20(10%20PTS)%20(Green%202%20AST)", "Leonard  Dunk (10 PTS) (Green 2 AST)")</f>
        <v>Leonard  Dunk (10 PTS) (Green 2 AST)</v>
      </c>
      <c r="L5303" s="2" t="str">
        <f>HYPERLINK("https://www.nba.com/game/...-vs-...-0021401168/play-by-play?watchFullGame=true", "SAS vs HOU - Q3 08:48.00")</f>
        <v>SAS vs HOU - Q3 08:48.00</v>
      </c>
      <c r="M5303">
        <v>0</v>
      </c>
      <c r="N5303">
        <v>0</v>
      </c>
      <c r="O5303">
        <v>1</v>
      </c>
      <c r="P5303">
        <v>0</v>
      </c>
      <c r="Q5303">
        <v>1</v>
      </c>
      <c r="R5303" t="s">
        <v>21</v>
      </c>
      <c r="S5303" t="s">
        <v>21</v>
      </c>
    </row>
    <row r="5304" spans="1:19" hidden="1" x14ac:dyDescent="0.25">
      <c r="A5304">
        <v>41500152</v>
      </c>
      <c r="B5304" t="s">
        <v>18</v>
      </c>
      <c r="C5304" t="s">
        <v>80</v>
      </c>
      <c r="D5304">
        <v>7</v>
      </c>
      <c r="E5304">
        <v>2</v>
      </c>
      <c r="F5304">
        <v>5</v>
      </c>
      <c r="G5304">
        <v>1</v>
      </c>
      <c r="H5304" s="1">
        <v>6.1342592592592594E-3</v>
      </c>
      <c r="I5304" t="s">
        <v>57</v>
      </c>
      <c r="J5304" t="s">
        <v>20</v>
      </c>
      <c r="K5304" s="2" t="str">
        <f>HYPERLINK("https://www.nba.com/stats/events?CFID=&amp;CFPARAMS=&amp;GameEventID=18&amp;GameID=0041500152&amp;Season=2015-16&amp;flag=1&amp;title=Leonard%20%20Reverse%20Dunk%20(2%20PTS)%20(Parker%202%20AST)", "Leonard  Reverse Dunk (2 PTS) (Parker 2 AST)")</f>
        <v>Leonard  Reverse Dunk (2 PTS) (Parker 2 AST)</v>
      </c>
      <c r="L5304" s="2" t="str">
        <f>HYPERLINK("https://www.nba.com/game/...-vs-...-0041500152/play-by-play?watchFullGame=true", "SAS vs MEM - Q1 08:50.00")</f>
        <v>SAS vs MEM - Q1 08:50.00</v>
      </c>
      <c r="M5304">
        <v>0</v>
      </c>
      <c r="N5304">
        <v>0</v>
      </c>
      <c r="O5304">
        <v>1</v>
      </c>
      <c r="P5304">
        <v>0</v>
      </c>
      <c r="Q5304">
        <v>1</v>
      </c>
      <c r="R5304" t="s">
        <v>21</v>
      </c>
      <c r="S5304" t="s">
        <v>21</v>
      </c>
    </row>
    <row r="5305" spans="1:19" hidden="1" x14ac:dyDescent="0.25">
      <c r="A5305">
        <v>21500644</v>
      </c>
      <c r="B5305" t="s">
        <v>18</v>
      </c>
      <c r="C5305" t="s">
        <v>50</v>
      </c>
      <c r="D5305">
        <v>34</v>
      </c>
      <c r="E5305">
        <v>22</v>
      </c>
      <c r="F5305">
        <v>12</v>
      </c>
      <c r="G5305">
        <v>2</v>
      </c>
      <c r="H5305" s="1">
        <v>6.145833333333333E-3</v>
      </c>
      <c r="I5305">
        <v>2015</v>
      </c>
      <c r="J5305" t="s">
        <v>20</v>
      </c>
      <c r="K5305" s="2" t="str">
        <f>HYPERLINK("https://www.nba.com/stats/events?CFID=&amp;CFPARAMS=&amp;GameEventID=148&amp;GameID=0021500644&amp;Season=2015-16&amp;flag=1&amp;title=Leonard%20%20Running%20Dunk%20(5%20PTS)%20(Mills%201%20AST)", "Leonard  Running Dunk (5 PTS) (Mills 1 AST)")</f>
        <v>Leonard  Running Dunk (5 PTS) (Mills 1 AST)</v>
      </c>
      <c r="L5305" s="2" t="str">
        <f>HYPERLINK("https://www.nba.com/game/...-vs-...-0021500644/play-by-play?watchFullGame=true", "SAS vs PHX - Q2 08:51.00")</f>
        <v>SAS vs PHX - Q2 08:51.00</v>
      </c>
      <c r="M5305">
        <v>0</v>
      </c>
      <c r="N5305">
        <v>0</v>
      </c>
      <c r="O5305">
        <v>1</v>
      </c>
      <c r="P5305">
        <v>0</v>
      </c>
      <c r="Q5305">
        <v>1</v>
      </c>
      <c r="R5305" t="s">
        <v>21</v>
      </c>
      <c r="S5305" t="s">
        <v>21</v>
      </c>
    </row>
    <row r="5306" spans="1:19" hidden="1" x14ac:dyDescent="0.25">
      <c r="A5306">
        <v>41500235</v>
      </c>
      <c r="B5306" t="s">
        <v>18</v>
      </c>
      <c r="C5306" t="s">
        <v>23</v>
      </c>
      <c r="D5306">
        <v>22</v>
      </c>
      <c r="E5306">
        <v>26</v>
      </c>
      <c r="F5306">
        <v>4</v>
      </c>
      <c r="G5306">
        <v>2</v>
      </c>
      <c r="H5306" s="1">
        <v>6.1574074074074074E-3</v>
      </c>
      <c r="I5306" t="s">
        <v>57</v>
      </c>
      <c r="J5306" t="s">
        <v>20</v>
      </c>
      <c r="K5306" s="2" t="str">
        <f>HYPERLINK("https://www.nba.com/stats/events?CFID=&amp;CFPARAMS=&amp;GameEventID=151&amp;GameID=0041500235&amp;Season=2015-16&amp;flag=1&amp;title=Leonard%20%20Dunk%20(6%20PTS)%20(Mills%201%20AST)", "Leonard  Dunk (6 PTS) (Mills 1 AST)")</f>
        <v>Leonard  Dunk (6 PTS) (Mills 1 AST)</v>
      </c>
      <c r="L5306" s="2" t="str">
        <f>HYPERLINK("https://www.nba.com/game/...-vs-...-0041500235/play-by-play?watchFullGame=true", "SAS vs OKC - Q2 08:52.00")</f>
        <v>SAS vs OKC - Q2 08:52.00</v>
      </c>
      <c r="M5306">
        <v>0</v>
      </c>
      <c r="N5306">
        <v>0</v>
      </c>
      <c r="O5306">
        <v>1</v>
      </c>
      <c r="P5306">
        <v>0</v>
      </c>
      <c r="Q5306">
        <v>1</v>
      </c>
      <c r="R5306" t="s">
        <v>21</v>
      </c>
      <c r="S5306" t="s">
        <v>21</v>
      </c>
    </row>
    <row r="5307" spans="1:19" hidden="1" x14ac:dyDescent="0.25">
      <c r="A5307">
        <v>21500742</v>
      </c>
      <c r="B5307" t="s">
        <v>18</v>
      </c>
      <c r="C5307" t="s">
        <v>68</v>
      </c>
      <c r="D5307">
        <v>8</v>
      </c>
      <c r="E5307">
        <v>6</v>
      </c>
      <c r="F5307">
        <v>2</v>
      </c>
      <c r="G5307">
        <v>1</v>
      </c>
      <c r="H5307" s="1">
        <v>6.1689814814814819E-3</v>
      </c>
      <c r="I5307">
        <v>2015</v>
      </c>
      <c r="J5307" t="s">
        <v>20</v>
      </c>
      <c r="K5307" s="2" t="str">
        <f>HYPERLINK("https://www.nba.com/stats/events?CFID=&amp;CFPARAMS=&amp;GameEventID=22&amp;GameID=0021500742&amp;Season=2015-16&amp;flag=1&amp;title=Leonard%20%20Alley%20Oop%20Dunk%20(2%20PTS)%20(West%201%20AST)", "Leonard  Alley Oop Dunk (2 PTS) (West 1 AST)")</f>
        <v>Leonard  Alley Oop Dunk (2 PTS) (West 1 AST)</v>
      </c>
      <c r="L5307" s="2" t="str">
        <f>HYPERLINK("https://www.nba.com/game/...-vs-...-0021500742/play-by-play?watchFullGame=true", "SAS vs NOP - Q1 08:53.00")</f>
        <v>SAS vs NOP - Q1 08:53.00</v>
      </c>
      <c r="M5307">
        <v>0</v>
      </c>
      <c r="N5307">
        <v>0</v>
      </c>
      <c r="O5307">
        <v>1</v>
      </c>
      <c r="P5307">
        <v>0</v>
      </c>
      <c r="Q5307">
        <v>1</v>
      </c>
      <c r="R5307" t="s">
        <v>21</v>
      </c>
      <c r="S5307" t="s">
        <v>21</v>
      </c>
    </row>
    <row r="5308" spans="1:19" hidden="1" x14ac:dyDescent="0.25">
      <c r="A5308">
        <v>21501201</v>
      </c>
      <c r="B5308" t="s">
        <v>18</v>
      </c>
      <c r="C5308" t="s">
        <v>25</v>
      </c>
      <c r="D5308">
        <v>45</v>
      </c>
      <c r="E5308">
        <v>37</v>
      </c>
      <c r="F5308">
        <v>8</v>
      </c>
      <c r="G5308">
        <v>3</v>
      </c>
      <c r="H5308" s="1">
        <v>6.1689814814814819E-3</v>
      </c>
      <c r="I5308">
        <v>2015</v>
      </c>
      <c r="J5308" t="s">
        <v>20</v>
      </c>
      <c r="K5308" s="2" t="str">
        <f>HYPERLINK("https://www.nba.com/stats/events?CFID=&amp;CFPARAMS=&amp;GameEventID=299&amp;GameID=0021501201&amp;Season=2015-16&amp;flag=1&amp;title=Leonard%20%20Driving%20Dunk%20(11%20PTS)%20(West%202%20AST)", "Leonard  Driving Dunk (11 PTS) (West 2 AST)")</f>
        <v>Leonard  Driving Dunk (11 PTS) (West 2 AST)</v>
      </c>
      <c r="L5308" s="2" t="str">
        <f>HYPERLINK("https://www.nba.com/game/...-vs-...-0021501201/play-by-play?watchFullGame=true", "SAS vs GSW - Q3 08:53.00")</f>
        <v>SAS vs GSW - Q3 08:53.00</v>
      </c>
      <c r="M5308">
        <v>0</v>
      </c>
      <c r="N5308">
        <v>0</v>
      </c>
      <c r="O5308">
        <v>1</v>
      </c>
      <c r="P5308">
        <v>0</v>
      </c>
      <c r="Q5308">
        <v>1</v>
      </c>
      <c r="R5308" t="s">
        <v>21</v>
      </c>
      <c r="S5308" t="s">
        <v>21</v>
      </c>
    </row>
    <row r="5309" spans="1:19" hidden="1" x14ac:dyDescent="0.25">
      <c r="A5309">
        <v>21400875</v>
      </c>
      <c r="B5309" t="s">
        <v>18</v>
      </c>
      <c r="C5309" t="s">
        <v>25</v>
      </c>
      <c r="D5309">
        <v>32</v>
      </c>
      <c r="E5309">
        <v>13</v>
      </c>
      <c r="F5309">
        <v>19</v>
      </c>
      <c r="G5309">
        <v>2</v>
      </c>
      <c r="H5309" s="1">
        <v>6.1805555555555555E-3</v>
      </c>
      <c r="I5309">
        <v>2014</v>
      </c>
      <c r="J5309" t="s">
        <v>20</v>
      </c>
      <c r="K5309" s="2" t="str">
        <f>HYPERLINK("https://www.nba.com/stats/events?CFID=&amp;CFPARAMS=&amp;GameEventID=173&amp;GameID=0021400875&amp;Season=2014-15&amp;flag=1&amp;title=Leonard%20%20Driving%20Dunk%20(6%20PTS)", "Leonard  Driving Dunk (6 PTS)")</f>
        <v>Leonard  Driving Dunk (6 PTS)</v>
      </c>
      <c r="L5309" s="2" t="str">
        <f>HYPERLINK("https://www.nba.com/game/...-vs-...-0021400875/play-by-play?watchFullGame=true", "SAS vs PHX - Q2 08:54.00")</f>
        <v>SAS vs PHX - Q2 08:54.00</v>
      </c>
      <c r="M5309">
        <v>0</v>
      </c>
      <c r="N5309">
        <v>0</v>
      </c>
      <c r="O5309">
        <v>1</v>
      </c>
      <c r="P5309">
        <v>0</v>
      </c>
      <c r="Q5309">
        <v>1</v>
      </c>
      <c r="R5309" t="s">
        <v>21</v>
      </c>
      <c r="S5309" t="s">
        <v>21</v>
      </c>
    </row>
    <row r="5310" spans="1:19" hidden="1" x14ac:dyDescent="0.25">
      <c r="A5310">
        <v>21600575</v>
      </c>
      <c r="B5310" t="s">
        <v>18</v>
      </c>
      <c r="C5310" t="s">
        <v>46</v>
      </c>
      <c r="D5310">
        <v>64</v>
      </c>
      <c r="E5310">
        <v>58</v>
      </c>
      <c r="F5310">
        <v>6</v>
      </c>
      <c r="G5310">
        <v>3</v>
      </c>
      <c r="H5310" s="1">
        <v>6.2268518518518515E-3</v>
      </c>
      <c r="I5310">
        <v>2016</v>
      </c>
      <c r="J5310" t="s">
        <v>20</v>
      </c>
      <c r="K5310" s="2" t="str">
        <f>HYPERLINK("https://www.nba.com/stats/events?CFID=&amp;CFPARAMS=&amp;GameEventID=279&amp;GameID=0021600575&amp;Season=2016-17&amp;flag=1&amp;title=Leonard%20%20Cutting%20Dunk%20Shot%20(18%20PTS)%20(Gasol%204%20AST)", "Leonard  Cutting Dunk Shot (18 PTS) (Gasol 4 AST)")</f>
        <v>Leonard  Cutting Dunk Shot (18 PTS) (Gasol 4 AST)</v>
      </c>
      <c r="L5310" s="2" t="str">
        <f>HYPERLINK("https://www.nba.com/game/...-vs-...-0021600575/play-by-play?watchFullGame=true", "SAS vs MIL - Q3 08:58.00")</f>
        <v>SAS vs MIL - Q3 08:58.00</v>
      </c>
      <c r="M5310">
        <v>0</v>
      </c>
      <c r="N5310">
        <v>0</v>
      </c>
      <c r="O5310">
        <v>1</v>
      </c>
      <c r="P5310">
        <v>0</v>
      </c>
      <c r="Q5310">
        <v>1</v>
      </c>
      <c r="R5310" t="s">
        <v>21</v>
      </c>
      <c r="S5310" t="s">
        <v>21</v>
      </c>
    </row>
    <row r="5311" spans="1:19" hidden="1" x14ac:dyDescent="0.25">
      <c r="A5311">
        <v>21600588</v>
      </c>
      <c r="B5311" t="s">
        <v>18</v>
      </c>
      <c r="C5311" t="s">
        <v>68</v>
      </c>
      <c r="D5311">
        <v>80</v>
      </c>
      <c r="E5311">
        <v>57</v>
      </c>
      <c r="F5311">
        <v>23</v>
      </c>
      <c r="G5311">
        <v>3</v>
      </c>
      <c r="H5311" s="1">
        <v>6.2384259259259259E-3</v>
      </c>
      <c r="I5311">
        <v>2016</v>
      </c>
      <c r="J5311" t="s">
        <v>20</v>
      </c>
      <c r="K5311" s="2" t="str">
        <f>HYPERLINK("https://www.nba.com/stats/events?CFID=&amp;CFPARAMS=&amp;GameEventID=325&amp;GameID=0021600588&amp;Season=2016-17&amp;flag=1&amp;title=Leonard%20%20Alley%20Oop%20Dunk%20(27%20PTS)%20(Gasol%206%20AST)", "Leonard  Alley Oop Dunk (27 PTS) (Gasol 6 AST)")</f>
        <v>Leonard  Alley Oop Dunk (27 PTS) (Gasol 6 AST)</v>
      </c>
      <c r="L5311" s="2" t="str">
        <f>HYPERLINK("https://www.nba.com/game/...-vs-...-0021600588/play-by-play?watchFullGame=true", "SAS vs LAL - Q3 08:59.00")</f>
        <v>SAS vs LAL - Q3 08:59.00</v>
      </c>
      <c r="M5311">
        <v>0</v>
      </c>
      <c r="N5311">
        <v>0</v>
      </c>
      <c r="O5311">
        <v>1</v>
      </c>
      <c r="P5311">
        <v>0</v>
      </c>
      <c r="Q5311">
        <v>1</v>
      </c>
      <c r="R5311" t="s">
        <v>21</v>
      </c>
      <c r="S5311" t="s">
        <v>21</v>
      </c>
    </row>
    <row r="5312" spans="1:19" hidden="1" x14ac:dyDescent="0.25">
      <c r="A5312">
        <v>21601099</v>
      </c>
      <c r="B5312" t="s">
        <v>18</v>
      </c>
      <c r="C5312" t="s">
        <v>23</v>
      </c>
      <c r="D5312">
        <v>34</v>
      </c>
      <c r="E5312">
        <v>24</v>
      </c>
      <c r="F5312">
        <v>10</v>
      </c>
      <c r="G5312">
        <v>2</v>
      </c>
      <c r="H5312" s="1">
        <v>6.3773148148148148E-3</v>
      </c>
      <c r="I5312">
        <v>2016</v>
      </c>
      <c r="J5312" t="s">
        <v>20</v>
      </c>
      <c r="K5312" s="2" t="str">
        <f>HYPERLINK("https://www.nba.com/stats/events?CFID=&amp;CFPARAMS=&amp;GameEventID=147&amp;GameID=0021601099&amp;Season=2016-17&amp;flag=1&amp;title=Leonard%20Dunk%20(6%20PTS)", "Leonard Dunk (6 PTS)")</f>
        <v>Leonard Dunk (6 PTS)</v>
      </c>
      <c r="L5312" s="2" t="str">
        <f>HYPERLINK("https://www.nba.com/game/...-vs-...-0021601099/play-by-play?watchFullGame=true", "SAS vs CLE - Q2 09:11.00")</f>
        <v>SAS vs CLE - Q2 09:11.00</v>
      </c>
      <c r="M5312">
        <v>0</v>
      </c>
      <c r="N5312">
        <v>0</v>
      </c>
      <c r="O5312">
        <v>1</v>
      </c>
      <c r="P5312">
        <v>0</v>
      </c>
      <c r="Q5312">
        <v>1</v>
      </c>
      <c r="R5312" t="s">
        <v>21</v>
      </c>
      <c r="S5312" t="s">
        <v>21</v>
      </c>
    </row>
    <row r="5313" spans="1:19" hidden="1" x14ac:dyDescent="0.25">
      <c r="A5313">
        <v>21401150</v>
      </c>
      <c r="B5313" t="s">
        <v>18</v>
      </c>
      <c r="C5313" t="s">
        <v>23</v>
      </c>
      <c r="D5313">
        <v>8</v>
      </c>
      <c r="E5313">
        <v>1</v>
      </c>
      <c r="F5313">
        <v>7</v>
      </c>
      <c r="G5313">
        <v>1</v>
      </c>
      <c r="H5313" s="1">
        <v>6.4236111111111108E-3</v>
      </c>
      <c r="I5313">
        <v>2014</v>
      </c>
      <c r="J5313" t="s">
        <v>20</v>
      </c>
      <c r="K5313" s="2" t="str">
        <f>HYPERLINK("https://www.nba.com/stats/events?CFID=&amp;CFPARAMS=&amp;GameEventID=23&amp;GameID=0021401150&amp;Season=2014-15&amp;flag=1&amp;title=Leonard%20%20Dunk%20(6%20PTS)%20(Green%201%20AST)", "Leonard  Dunk (6 PTS) (Green 1 AST)")</f>
        <v>Leonard  Dunk (6 PTS) (Green 1 AST)</v>
      </c>
      <c r="L5313" s="2" t="str">
        <f>HYPERLINK("https://www.nba.com/game/...-vs-...-0021401150/play-by-play?watchFullGame=true", "SAS vs GSW - Q1 09:15.00")</f>
        <v>SAS vs GSW - Q1 09:15.00</v>
      </c>
      <c r="M5313">
        <v>0</v>
      </c>
      <c r="N5313">
        <v>0</v>
      </c>
      <c r="O5313">
        <v>1</v>
      </c>
      <c r="P5313">
        <v>0</v>
      </c>
      <c r="Q5313">
        <v>1</v>
      </c>
      <c r="R5313" t="s">
        <v>21</v>
      </c>
      <c r="S5313" t="s">
        <v>21</v>
      </c>
    </row>
    <row r="5314" spans="1:19" hidden="1" x14ac:dyDescent="0.25">
      <c r="A5314">
        <v>21500123</v>
      </c>
      <c r="B5314" t="s">
        <v>18</v>
      </c>
      <c r="C5314" t="s">
        <v>25</v>
      </c>
      <c r="D5314">
        <v>88</v>
      </c>
      <c r="E5314">
        <v>81</v>
      </c>
      <c r="F5314">
        <v>7</v>
      </c>
      <c r="G5314">
        <v>4</v>
      </c>
      <c r="H5314" s="1">
        <v>6.5046296296296293E-3</v>
      </c>
      <c r="I5314">
        <v>2015</v>
      </c>
      <c r="J5314" t="s">
        <v>20</v>
      </c>
      <c r="K5314" s="2" t="str">
        <f>HYPERLINK("https://www.nba.com/stats/events?CFID=&amp;CFPARAMS=&amp;GameEventID=381&amp;GameID=0021500123&amp;Season=2015-16&amp;flag=1&amp;title=Leonard%20%20Driving%20Dunk%20(18%20PTS)%20(Green%202%20AST)", "Leonard  Driving Dunk (18 PTS) (Green 2 AST)")</f>
        <v>Leonard  Driving Dunk (18 PTS) (Green 2 AST)</v>
      </c>
      <c r="L5314" s="2" t="str">
        <f>HYPERLINK("https://www.nba.com/game/...-vs-...-0021500123/play-by-play?watchFullGame=true", "SAS vs POR - Q4 09:22.00")</f>
        <v>SAS vs POR - Q4 09:22.00</v>
      </c>
      <c r="M5314">
        <v>0</v>
      </c>
      <c r="N5314">
        <v>0</v>
      </c>
      <c r="O5314">
        <v>1</v>
      </c>
      <c r="P5314">
        <v>0</v>
      </c>
      <c r="Q5314">
        <v>1</v>
      </c>
      <c r="R5314" t="s">
        <v>21</v>
      </c>
      <c r="S5314" t="s">
        <v>21</v>
      </c>
    </row>
    <row r="5315" spans="1:19" hidden="1" x14ac:dyDescent="0.25">
      <c r="A5315">
        <v>21500945</v>
      </c>
      <c r="B5315" t="s">
        <v>18</v>
      </c>
      <c r="C5315" t="s">
        <v>80</v>
      </c>
      <c r="D5315">
        <v>65</v>
      </c>
      <c r="E5315">
        <v>53</v>
      </c>
      <c r="F5315">
        <v>12</v>
      </c>
      <c r="G5315">
        <v>3</v>
      </c>
      <c r="H5315" s="1">
        <v>6.7013888888888887E-3</v>
      </c>
      <c r="I5315">
        <v>2015</v>
      </c>
      <c r="J5315" t="s">
        <v>20</v>
      </c>
      <c r="K5315" s="2" t="str">
        <f>HYPERLINK("https://www.nba.com/stats/events?CFID=&amp;CFPARAMS=&amp;GameEventID=276&amp;GameID=0021500945&amp;Season=2015-16&amp;flag=1&amp;title=Leonard%20%20Reverse%20Dunk%20(11%20PTS)", "Leonard  Reverse Dunk (11 PTS)")</f>
        <v>Leonard  Reverse Dunk (11 PTS)</v>
      </c>
      <c r="L5315" s="2" t="str">
        <f>HYPERLINK("https://www.nba.com/game/...-vs-...-0021500945/play-by-play?watchFullGame=true", "SAS vs MIN - Q3 09:39.00")</f>
        <v>SAS vs MIN - Q3 09:39.00</v>
      </c>
      <c r="M5315">
        <v>0</v>
      </c>
      <c r="N5315">
        <v>0</v>
      </c>
      <c r="O5315">
        <v>1</v>
      </c>
      <c r="P5315">
        <v>0</v>
      </c>
      <c r="Q5315">
        <v>1</v>
      </c>
      <c r="R5315" t="s">
        <v>21</v>
      </c>
      <c r="S5315" t="s">
        <v>21</v>
      </c>
    </row>
    <row r="5316" spans="1:19" hidden="1" x14ac:dyDescent="0.25">
      <c r="A5316">
        <v>21401001</v>
      </c>
      <c r="B5316" t="s">
        <v>18</v>
      </c>
      <c r="C5316" t="s">
        <v>68</v>
      </c>
      <c r="D5316">
        <v>8</v>
      </c>
      <c r="E5316">
        <v>2</v>
      </c>
      <c r="F5316">
        <v>6</v>
      </c>
      <c r="G5316">
        <v>1</v>
      </c>
      <c r="H5316" s="1">
        <v>6.7708333333333336E-3</v>
      </c>
      <c r="I5316">
        <v>2014</v>
      </c>
      <c r="J5316" t="s">
        <v>20</v>
      </c>
      <c r="K5316" s="2" t="str">
        <f>HYPERLINK("https://www.nba.com/stats/events?CFID=&amp;CFPARAMS=&amp;GameEventID=26&amp;GameID=0021401001&amp;Season=2014-15&amp;flag=1&amp;title=Leonard%20%20Alley%20Oop%20Dunk%20(4%20PTS)%20(Duncan%201%20AST)", "Leonard  Alley Oop Dunk (4 PTS) (Duncan 1 AST)")</f>
        <v>Leonard  Alley Oop Dunk (4 PTS) (Duncan 1 AST)</v>
      </c>
      <c r="L5316" s="2" t="str">
        <f>HYPERLINK("https://www.nba.com/game/...-vs-...-0021401001/play-by-play?watchFullGame=true", "SAS vs NYK - Q1 09:45.00")</f>
        <v>SAS vs NYK - Q1 09:45.00</v>
      </c>
      <c r="M5316">
        <v>0</v>
      </c>
      <c r="N5316">
        <v>0</v>
      </c>
      <c r="O5316">
        <v>1</v>
      </c>
      <c r="P5316">
        <v>0</v>
      </c>
      <c r="Q5316">
        <v>1</v>
      </c>
      <c r="R5316" t="s">
        <v>21</v>
      </c>
      <c r="S5316" t="s">
        <v>21</v>
      </c>
    </row>
    <row r="5317" spans="1:19" hidden="1" x14ac:dyDescent="0.25">
      <c r="A5317">
        <v>21500379</v>
      </c>
      <c r="B5317" t="s">
        <v>18</v>
      </c>
      <c r="C5317" t="s">
        <v>23</v>
      </c>
      <c r="D5317">
        <v>61</v>
      </c>
      <c r="E5317">
        <v>54</v>
      </c>
      <c r="F5317">
        <v>7</v>
      </c>
      <c r="G5317">
        <v>3</v>
      </c>
      <c r="H5317" s="1">
        <v>6.7824074074074071E-3</v>
      </c>
      <c r="I5317">
        <v>2015</v>
      </c>
      <c r="J5317" t="s">
        <v>20</v>
      </c>
      <c r="K5317" s="2" t="str">
        <f>HYPERLINK("https://www.nba.com/stats/events?CFID=&amp;CFPARAMS=&amp;GameEventID=302&amp;GameID=0021500379&amp;Season=2015-16&amp;flag=1&amp;title=Leonard%20%20Dunk%20(15%20PTS)", "Leonard  Dunk (15 PTS)")</f>
        <v>Leonard  Dunk (15 PTS)</v>
      </c>
      <c r="L5317" s="2" t="str">
        <f>HYPERLINK("https://www.nba.com/game/...-vs-...-0021500379/play-by-play?watchFullGame=true", "SAS vs WAS - Q3 09:46.00")</f>
        <v>SAS vs WAS - Q3 09:46.00</v>
      </c>
      <c r="M5317">
        <v>0</v>
      </c>
      <c r="N5317">
        <v>0</v>
      </c>
      <c r="O5317">
        <v>1</v>
      </c>
      <c r="P5317">
        <v>0</v>
      </c>
      <c r="Q5317">
        <v>1</v>
      </c>
      <c r="R5317" t="s">
        <v>21</v>
      </c>
      <c r="S5317" t="s">
        <v>21</v>
      </c>
    </row>
    <row r="5318" spans="1:19" hidden="1" x14ac:dyDescent="0.25">
      <c r="A5318">
        <v>21601056</v>
      </c>
      <c r="B5318" t="s">
        <v>18</v>
      </c>
      <c r="C5318" t="s">
        <v>25</v>
      </c>
      <c r="D5318">
        <v>46</v>
      </c>
      <c r="E5318">
        <v>53</v>
      </c>
      <c r="F5318">
        <v>7</v>
      </c>
      <c r="G5318">
        <v>3</v>
      </c>
      <c r="H5318" s="1">
        <v>6.8402777777777776E-3</v>
      </c>
      <c r="I5318">
        <v>2016</v>
      </c>
      <c r="J5318" t="s">
        <v>20</v>
      </c>
      <c r="K5318" s="2" t="str">
        <f>HYPERLINK("https://www.nba.com/stats/events?CFID=&amp;CFPARAMS=&amp;GameEventID=243&amp;GameID=0021601056&amp;Season=2016-17&amp;flag=1&amp;title=Leonard%20%20Driving%20Dunk%20(4%20PTS)", "Leonard  Driving Dunk (4 PTS)")</f>
        <v>Leonard  Driving Dunk (4 PTS)</v>
      </c>
      <c r="L5318" s="2" t="str">
        <f>HYPERLINK("https://www.nba.com/game/...-vs-...-0021601056/play-by-play?watchFullGame=true", "SAS vs MIN - Q3 09:51.00")</f>
        <v>SAS vs MIN - Q3 09:51.00</v>
      </c>
      <c r="M5318">
        <v>0</v>
      </c>
      <c r="N5318">
        <v>0</v>
      </c>
      <c r="O5318">
        <v>1</v>
      </c>
      <c r="P5318">
        <v>0</v>
      </c>
      <c r="Q5318">
        <v>1</v>
      </c>
      <c r="R5318" t="s">
        <v>21</v>
      </c>
      <c r="S5318" t="s">
        <v>21</v>
      </c>
    </row>
    <row r="5319" spans="1:19" hidden="1" x14ac:dyDescent="0.25">
      <c r="A5319">
        <v>21600387</v>
      </c>
      <c r="B5319" t="s">
        <v>18</v>
      </c>
      <c r="C5319" t="s">
        <v>68</v>
      </c>
      <c r="D5319">
        <v>78</v>
      </c>
      <c r="E5319">
        <v>77</v>
      </c>
      <c r="F5319">
        <v>1</v>
      </c>
      <c r="G5319">
        <v>4</v>
      </c>
      <c r="H5319" s="1">
        <v>6.8402777777777776E-3</v>
      </c>
      <c r="I5319">
        <v>2016</v>
      </c>
      <c r="J5319" t="s">
        <v>20</v>
      </c>
      <c r="K5319" s="2" t="str">
        <f>HYPERLINK("https://www.nba.com/stats/events?CFID=&amp;CFPARAMS=&amp;GameEventID=410&amp;GameID=0021600387&amp;Season=2016-17&amp;flag=1&amp;title=Leonard%20%20Alley%20Oop%20Dunk%20(16%20PTS)%20(Gasol%202%20AST)", "Leonard  Alley Oop Dunk (16 PTS) (Gasol 2 AST)")</f>
        <v>Leonard  Alley Oop Dunk (16 PTS) (Gasol 2 AST)</v>
      </c>
      <c r="L5319" s="2" t="str">
        <f>HYPERLINK("https://www.nba.com/game/...-vs-...-0021600387/play-by-play?watchFullGame=true", "SAS vs PHX - Q4 09:51.00")</f>
        <v>SAS vs PHX - Q4 09:51.00</v>
      </c>
      <c r="M5319">
        <v>0</v>
      </c>
      <c r="N5319">
        <v>0</v>
      </c>
      <c r="O5319">
        <v>1</v>
      </c>
      <c r="P5319">
        <v>0</v>
      </c>
      <c r="Q5319">
        <v>1</v>
      </c>
      <c r="R5319" t="s">
        <v>21</v>
      </c>
      <c r="S5319" t="s">
        <v>21</v>
      </c>
    </row>
    <row r="5320" spans="1:19" hidden="1" x14ac:dyDescent="0.25">
      <c r="A5320">
        <v>21500516</v>
      </c>
      <c r="B5320" t="s">
        <v>18</v>
      </c>
      <c r="C5320" t="s">
        <v>46</v>
      </c>
      <c r="D5320">
        <v>64</v>
      </c>
      <c r="E5320">
        <v>53</v>
      </c>
      <c r="F5320">
        <v>11</v>
      </c>
      <c r="G5320">
        <v>3</v>
      </c>
      <c r="H5320" s="1">
        <v>6.9560185185185185E-3</v>
      </c>
      <c r="I5320">
        <v>2015</v>
      </c>
      <c r="J5320" t="s">
        <v>20</v>
      </c>
      <c r="K5320" s="2" t="str">
        <f>HYPERLINK("https://www.nba.com/stats/events?CFID=&amp;CFPARAMS=&amp;GameEventID=299&amp;GameID=0021500516&amp;Season=2015-16&amp;flag=1&amp;title=Leonard%20%20Cutting%20Dunk%20Shot%20(13%20PTS)%20(Duncan%203%20AST)", "Leonard  Cutting Dunk Shot (13 PTS) (Duncan 3 AST)")</f>
        <v>Leonard  Cutting Dunk Shot (13 PTS) (Duncan 3 AST)</v>
      </c>
      <c r="L5320" s="2" t="str">
        <f>HYPERLINK("https://www.nba.com/game/...-vs-...-0021500516/play-by-play?watchFullGame=true", "SAS vs MIL - Q3 10:01.00")</f>
        <v>SAS vs MIL - Q3 10:01.00</v>
      </c>
      <c r="M5320">
        <v>0</v>
      </c>
      <c r="N5320">
        <v>0</v>
      </c>
      <c r="O5320">
        <v>1</v>
      </c>
      <c r="P5320">
        <v>0</v>
      </c>
      <c r="Q5320">
        <v>1</v>
      </c>
      <c r="R5320" t="s">
        <v>21</v>
      </c>
      <c r="S5320" t="s">
        <v>21</v>
      </c>
    </row>
    <row r="5321" spans="1:19" hidden="1" x14ac:dyDescent="0.25">
      <c r="A5321">
        <v>21400964</v>
      </c>
      <c r="B5321" t="s">
        <v>18</v>
      </c>
      <c r="C5321" t="s">
        <v>25</v>
      </c>
      <c r="D5321">
        <v>35</v>
      </c>
      <c r="E5321">
        <v>37</v>
      </c>
      <c r="F5321">
        <v>2</v>
      </c>
      <c r="G5321">
        <v>2</v>
      </c>
      <c r="H5321" s="1">
        <v>6.9907407407407409E-3</v>
      </c>
      <c r="I5321">
        <v>2014</v>
      </c>
      <c r="J5321" t="s">
        <v>20</v>
      </c>
      <c r="K5321" s="2" t="str">
        <f>HYPERLINK("https://www.nba.com/stats/events?CFID=&amp;CFPARAMS=&amp;GameEventID=143&amp;GameID=0021400964&amp;Season=2014-15&amp;flag=1&amp;title=Leonard%20%20Driving%20Dunk%20(6%20PTS)%20(Mills%201%20AST)", "Leonard  Driving Dunk (6 PTS) (Mills 1 AST)")</f>
        <v>Leonard  Driving Dunk (6 PTS) (Mills 1 AST)</v>
      </c>
      <c r="L5321" s="2" t="str">
        <f>HYPERLINK("https://www.nba.com/game/...-vs-...-0021400964/play-by-play?watchFullGame=true", "SAS vs CLE - Q2 10:04.00")</f>
        <v>SAS vs CLE - Q2 10:04.00</v>
      </c>
      <c r="M5321">
        <v>0</v>
      </c>
      <c r="N5321">
        <v>0</v>
      </c>
      <c r="O5321">
        <v>1</v>
      </c>
      <c r="P5321">
        <v>0</v>
      </c>
      <c r="Q5321">
        <v>1</v>
      </c>
      <c r="R5321" t="s">
        <v>21</v>
      </c>
      <c r="S5321" t="s">
        <v>21</v>
      </c>
    </row>
    <row r="5322" spans="1:19" hidden="1" x14ac:dyDescent="0.25">
      <c r="A5322">
        <v>21500532</v>
      </c>
      <c r="B5322" t="s">
        <v>18</v>
      </c>
      <c r="C5322" t="s">
        <v>25</v>
      </c>
      <c r="D5322">
        <v>102</v>
      </c>
      <c r="E5322">
        <v>79</v>
      </c>
      <c r="F5322">
        <v>23</v>
      </c>
      <c r="G5322">
        <v>4</v>
      </c>
      <c r="H5322" s="1">
        <v>7.013888888888889E-3</v>
      </c>
      <c r="I5322">
        <v>2015</v>
      </c>
      <c r="J5322" t="s">
        <v>20</v>
      </c>
      <c r="K5322" s="2" t="str">
        <f>HYPERLINK("https://www.nba.com/stats/events?CFID=&amp;CFPARAMS=&amp;GameEventID=366&amp;GameID=0021500532&amp;Season=2015-16&amp;flag=1&amp;title=Leonard%20%20Driving%20Dunk%20(15%20PTS)", "Leonard  Driving Dunk (15 PTS)")</f>
        <v>Leonard  Driving Dunk (15 PTS)</v>
      </c>
      <c r="L5322" s="2" t="str">
        <f>HYPERLINK("https://www.nba.com/game/...-vs-...-0021500532/play-by-play?watchFullGame=true", "SAS vs UTA - Q4 10:06.00")</f>
        <v>SAS vs UTA - Q4 10:06.00</v>
      </c>
      <c r="M5322">
        <v>0</v>
      </c>
      <c r="N5322">
        <v>0</v>
      </c>
      <c r="O5322">
        <v>1</v>
      </c>
      <c r="P5322">
        <v>0</v>
      </c>
      <c r="Q5322">
        <v>1</v>
      </c>
      <c r="R5322" t="s">
        <v>21</v>
      </c>
      <c r="S5322" t="s">
        <v>21</v>
      </c>
    </row>
    <row r="5323" spans="1:19" hidden="1" x14ac:dyDescent="0.25">
      <c r="A5323">
        <v>41400164</v>
      </c>
      <c r="B5323" t="s">
        <v>18</v>
      </c>
      <c r="C5323" t="s">
        <v>68</v>
      </c>
      <c r="D5323">
        <v>2</v>
      </c>
      <c r="E5323">
        <v>6</v>
      </c>
      <c r="F5323">
        <v>4</v>
      </c>
      <c r="G5323">
        <v>1</v>
      </c>
      <c r="H5323" s="1">
        <v>7.013888888888889E-3</v>
      </c>
      <c r="I5323" t="s">
        <v>56</v>
      </c>
      <c r="J5323" t="s">
        <v>20</v>
      </c>
      <c r="K5323" s="2" t="str">
        <f>HYPERLINK("https://www.nba.com/stats/events?CFID=&amp;CFPARAMS=&amp;GameEventID=18&amp;GameID=0041400164&amp;Season=2014-15&amp;flag=1&amp;title=Leonard%20%20Alley%20Oop%20Dunk%20(2%20PTS)%20(Duncan%201%20AST)", "Leonard  Alley Oop Dunk (2 PTS) (Duncan 1 AST)")</f>
        <v>Leonard  Alley Oop Dunk (2 PTS) (Duncan 1 AST)</v>
      </c>
      <c r="L5323" s="2" t="str">
        <f>HYPERLINK("https://www.nba.com/game/...-vs-...-0041400164/play-by-play?watchFullGame=true", "SAS vs LAC - Q1 10:06.00")</f>
        <v>SAS vs LAC - Q1 10:06.00</v>
      </c>
      <c r="M5323">
        <v>0</v>
      </c>
      <c r="N5323">
        <v>0</v>
      </c>
      <c r="O5323">
        <v>1</v>
      </c>
      <c r="P5323">
        <v>0</v>
      </c>
      <c r="Q5323">
        <v>1</v>
      </c>
      <c r="R5323" t="s">
        <v>21</v>
      </c>
      <c r="S5323" t="s">
        <v>21</v>
      </c>
    </row>
    <row r="5324" spans="1:19" hidden="1" x14ac:dyDescent="0.25">
      <c r="A5324">
        <v>21600309</v>
      </c>
      <c r="B5324" t="s">
        <v>18</v>
      </c>
      <c r="C5324" t="s">
        <v>25</v>
      </c>
      <c r="D5324">
        <v>74</v>
      </c>
      <c r="E5324">
        <v>75</v>
      </c>
      <c r="F5324">
        <v>1</v>
      </c>
      <c r="G5324">
        <v>4</v>
      </c>
      <c r="H5324" s="1">
        <v>7.0717592592592594E-3</v>
      </c>
      <c r="I5324">
        <v>2016</v>
      </c>
      <c r="J5324" t="s">
        <v>20</v>
      </c>
      <c r="K5324" s="2" t="str">
        <f>HYPERLINK("https://www.nba.com/stats/events?CFID=&amp;CFPARAMS=&amp;GameEventID=458&amp;GameID=0021600309&amp;Season=2016-17&amp;flag=1&amp;title=Leonard%20%20Driving%20Dunk%20(7%20PTS)", "Leonard  Driving Dunk (7 PTS)")</f>
        <v>Leonard  Driving Dunk (7 PTS)</v>
      </c>
      <c r="L5324" s="2" t="str">
        <f>HYPERLINK("https://www.nba.com/game/...-vs-...-0021600309/play-by-play?watchFullGame=true", "SAS vs MIL - Q4 10:11.00")</f>
        <v>SAS vs MIL - Q4 10:11.00</v>
      </c>
      <c r="M5324">
        <v>0</v>
      </c>
      <c r="N5324">
        <v>0</v>
      </c>
      <c r="O5324">
        <v>1</v>
      </c>
      <c r="P5324">
        <v>0</v>
      </c>
      <c r="Q5324">
        <v>1</v>
      </c>
      <c r="R5324" t="s">
        <v>21</v>
      </c>
      <c r="S5324" t="s">
        <v>21</v>
      </c>
    </row>
    <row r="5325" spans="1:19" hidden="1" x14ac:dyDescent="0.25">
      <c r="A5325">
        <v>21401157</v>
      </c>
      <c r="B5325" t="s">
        <v>18</v>
      </c>
      <c r="C5325" t="s">
        <v>23</v>
      </c>
      <c r="D5325">
        <v>5</v>
      </c>
      <c r="E5325">
        <v>0</v>
      </c>
      <c r="F5325">
        <v>5</v>
      </c>
      <c r="G5325">
        <v>1</v>
      </c>
      <c r="H5325" s="1">
        <v>7.0949074074074074E-3</v>
      </c>
      <c r="I5325">
        <v>2014</v>
      </c>
      <c r="J5325" t="s">
        <v>20</v>
      </c>
      <c r="K5325" s="2" t="str">
        <f>HYPERLINK("https://www.nba.com/stats/events?CFID=&amp;CFPARAMS=&amp;GameEventID=19&amp;GameID=0021401157&amp;Season=2014-15&amp;flag=1&amp;title=Leonard%20%20Dunk%20(5%20PTS)", "Leonard  Dunk (5 PTS)")</f>
        <v>Leonard  Dunk (5 PTS)</v>
      </c>
      <c r="L5325" s="2" t="str">
        <f>HYPERLINK("https://www.nba.com/game/...-vs-...-0021401157/play-by-play?watchFullGame=true", "SAS vs OKC - Q1 10:13.00")</f>
        <v>SAS vs OKC - Q1 10:13.00</v>
      </c>
      <c r="M5325">
        <v>0</v>
      </c>
      <c r="N5325">
        <v>0</v>
      </c>
      <c r="O5325">
        <v>1</v>
      </c>
      <c r="P5325">
        <v>0</v>
      </c>
      <c r="Q5325">
        <v>1</v>
      </c>
      <c r="R5325" t="s">
        <v>21</v>
      </c>
      <c r="S5325" t="s">
        <v>21</v>
      </c>
    </row>
    <row r="5326" spans="1:19" hidden="1" x14ac:dyDescent="0.25">
      <c r="A5326">
        <v>21400108</v>
      </c>
      <c r="B5326" t="s">
        <v>18</v>
      </c>
      <c r="C5326" t="s">
        <v>78</v>
      </c>
      <c r="D5326">
        <v>57</v>
      </c>
      <c r="E5326">
        <v>49</v>
      </c>
      <c r="F5326">
        <v>8</v>
      </c>
      <c r="G5326">
        <v>3</v>
      </c>
      <c r="H5326" s="1">
        <v>7.3379629629629628E-3</v>
      </c>
      <c r="I5326">
        <v>2014</v>
      </c>
      <c r="J5326" t="s">
        <v>20</v>
      </c>
      <c r="K5326" s="2" t="str">
        <f>HYPERLINK("https://www.nba.com/stats/events?CFID=&amp;CFPARAMS=&amp;GameEventID=254&amp;GameID=0021400108&amp;Season=2014-15&amp;flag=1&amp;title=Leonard%20%20Driving%20Slam%20Dunk%20(11%20PTS)%20(Parker%204%20AST)", "Leonard  Driving Slam Dunk (11 PTS) (Parker 4 AST)")</f>
        <v>Leonard  Driving Slam Dunk (11 PTS) (Parker 4 AST)</v>
      </c>
      <c r="L5326" s="2" t="str">
        <f>HYPERLINK("https://www.nba.com/game/...-vs-...-0021400108/play-by-play?watchFullGame=true", "SAS vs GSW - Q3 10:34.00")</f>
        <v>SAS vs GSW - Q3 10:34.00</v>
      </c>
      <c r="M5326">
        <v>0</v>
      </c>
      <c r="N5326">
        <v>0</v>
      </c>
      <c r="O5326">
        <v>1</v>
      </c>
      <c r="P5326">
        <v>0</v>
      </c>
      <c r="Q5326">
        <v>1</v>
      </c>
      <c r="R5326" t="s">
        <v>21</v>
      </c>
      <c r="S5326" t="s">
        <v>21</v>
      </c>
    </row>
    <row r="5327" spans="1:19" hidden="1" x14ac:dyDescent="0.25">
      <c r="A5327">
        <v>21400790</v>
      </c>
      <c r="B5327" t="s">
        <v>18</v>
      </c>
      <c r="C5327" t="s">
        <v>25</v>
      </c>
      <c r="D5327">
        <v>52</v>
      </c>
      <c r="E5327">
        <v>39</v>
      </c>
      <c r="F5327">
        <v>13</v>
      </c>
      <c r="G5327">
        <v>3</v>
      </c>
      <c r="H5327" s="1">
        <v>7.3611111111111108E-3</v>
      </c>
      <c r="I5327">
        <v>2014</v>
      </c>
      <c r="J5327" t="s">
        <v>20</v>
      </c>
      <c r="K5327" s="2" t="str">
        <f>HYPERLINK("https://www.nba.com/stats/events?CFID=&amp;CFPARAMS=&amp;GameEventID=257&amp;GameID=0021400790&amp;Season=2014-15&amp;flag=1&amp;title=Leonard%20%20Driving%20Dunk%20(6%20PTS)", "Leonard  Driving Dunk (6 PTS)")</f>
        <v>Leonard  Driving Dunk (6 PTS)</v>
      </c>
      <c r="L5327" s="2" t="str">
        <f>HYPERLINK("https://www.nba.com/game/...-vs-...-0021400790/play-by-play?watchFullGame=true", "SAS vs DET - Q3 10:36.00")</f>
        <v>SAS vs DET - Q3 10:36.00</v>
      </c>
      <c r="M5327">
        <v>0</v>
      </c>
      <c r="N5327">
        <v>0</v>
      </c>
      <c r="O5327">
        <v>1</v>
      </c>
      <c r="P5327">
        <v>0</v>
      </c>
      <c r="Q5327">
        <v>1</v>
      </c>
      <c r="R5327" t="s">
        <v>21</v>
      </c>
      <c r="S5327" t="s">
        <v>21</v>
      </c>
    </row>
    <row r="5328" spans="1:19" hidden="1" x14ac:dyDescent="0.25">
      <c r="A5328">
        <v>21400739</v>
      </c>
      <c r="B5328" t="s">
        <v>18</v>
      </c>
      <c r="C5328" t="s">
        <v>23</v>
      </c>
      <c r="D5328">
        <v>56</v>
      </c>
      <c r="E5328">
        <v>49</v>
      </c>
      <c r="F5328">
        <v>7</v>
      </c>
      <c r="G5328">
        <v>3</v>
      </c>
      <c r="H5328" s="1">
        <v>7.3726851851851852E-3</v>
      </c>
      <c r="I5328">
        <v>2014</v>
      </c>
      <c r="J5328" t="s">
        <v>20</v>
      </c>
      <c r="K5328" s="2" t="str">
        <f>HYPERLINK("https://www.nba.com/stats/events?CFID=&amp;CFPARAMS=&amp;GameEventID=231&amp;GameID=0021400739&amp;Season=2014-15&amp;flag=1&amp;title=Leonard%20%20Dunk%20(12%20PTS)%20(Diaw%201%20AST)", "Leonard  Dunk (12 PTS) (Diaw 1 AST)")</f>
        <v>Leonard  Dunk (12 PTS) (Diaw 1 AST)</v>
      </c>
      <c r="L5328" s="2" t="str">
        <f>HYPERLINK("https://www.nba.com/game/...-vs-...-0021400739/play-by-play?watchFullGame=true", "SAS vs ORL - Q3 10:37.00")</f>
        <v>SAS vs ORL - Q3 10:37.00</v>
      </c>
      <c r="M5328">
        <v>0</v>
      </c>
      <c r="N5328">
        <v>0</v>
      </c>
      <c r="O5328">
        <v>1</v>
      </c>
      <c r="P5328">
        <v>0</v>
      </c>
      <c r="Q5328">
        <v>1</v>
      </c>
      <c r="R5328" t="s">
        <v>21</v>
      </c>
      <c r="S5328" t="s">
        <v>21</v>
      </c>
    </row>
    <row r="5329" spans="1:19" hidden="1" x14ac:dyDescent="0.25">
      <c r="A5329">
        <v>21500532</v>
      </c>
      <c r="B5329" t="s">
        <v>18</v>
      </c>
      <c r="C5329" t="s">
        <v>50</v>
      </c>
      <c r="D5329">
        <v>4</v>
      </c>
      <c r="E5329">
        <v>2</v>
      </c>
      <c r="F5329">
        <v>2</v>
      </c>
      <c r="G5329">
        <v>1</v>
      </c>
      <c r="H5329" s="1">
        <v>7.4999999999999997E-3</v>
      </c>
      <c r="I5329">
        <v>2015</v>
      </c>
      <c r="J5329" t="s">
        <v>20</v>
      </c>
      <c r="K5329" s="2" t="str">
        <f>HYPERLINK("https://www.nba.com/stats/events?CFID=&amp;CFPARAMS=&amp;GameEventID=7&amp;GameID=0021500532&amp;Season=2015-16&amp;flag=1&amp;title=Leonard%20%20Running%20Dunk%20(2%20PTS)%20(West%201%20AST)", "Leonard  Running Dunk (2 PTS) (West 1 AST)")</f>
        <v>Leonard  Running Dunk (2 PTS) (West 1 AST)</v>
      </c>
      <c r="L5329" s="2" t="str">
        <f>HYPERLINK("https://www.nba.com/game/...-vs-...-0021500532/play-by-play?watchFullGame=true", "SAS vs UTA - Q1 10:48.00")</f>
        <v>SAS vs UTA - Q1 10:48.00</v>
      </c>
      <c r="M5329">
        <v>0</v>
      </c>
      <c r="N5329">
        <v>0</v>
      </c>
      <c r="O5329">
        <v>1</v>
      </c>
      <c r="P5329">
        <v>0</v>
      </c>
      <c r="Q5329">
        <v>1</v>
      </c>
      <c r="R5329" t="s">
        <v>21</v>
      </c>
      <c r="S5329" t="s">
        <v>21</v>
      </c>
    </row>
    <row r="5330" spans="1:19" hidden="1" x14ac:dyDescent="0.25">
      <c r="A5330">
        <v>41600311</v>
      </c>
      <c r="B5330" t="s">
        <v>18</v>
      </c>
      <c r="C5330" t="s">
        <v>25</v>
      </c>
      <c r="D5330">
        <v>32</v>
      </c>
      <c r="E5330">
        <v>18</v>
      </c>
      <c r="F5330">
        <v>14</v>
      </c>
      <c r="G5330">
        <v>2</v>
      </c>
      <c r="H5330" s="1">
        <v>7.5578703703703702E-3</v>
      </c>
      <c r="I5330" t="s">
        <v>58</v>
      </c>
      <c r="J5330" t="s">
        <v>20</v>
      </c>
      <c r="K5330" s="2" t="str">
        <f>HYPERLINK("https://www.nba.com/stats/events?CFID=&amp;CFPARAMS=&amp;GameEventID=131&amp;GameID=0041600311&amp;Season=2016-17&amp;flag=1&amp;title=Leonard%20%20Driving%20Dunk%20(6%20PTS)", "Leonard  Driving Dunk (6 PTS)")</f>
        <v>Leonard  Driving Dunk (6 PTS)</v>
      </c>
      <c r="L5330" s="2" t="str">
        <f>HYPERLINK("https://www.nba.com/game/...-vs-...-0041600311/play-by-play?watchFullGame=true", "SAS vs GSW - Q2 10:53.00")</f>
        <v>SAS vs GSW - Q2 10:53.00</v>
      </c>
      <c r="M5330">
        <v>0</v>
      </c>
      <c r="N5330">
        <v>0</v>
      </c>
      <c r="O5330">
        <v>1</v>
      </c>
      <c r="P5330">
        <v>0</v>
      </c>
      <c r="Q5330">
        <v>1</v>
      </c>
      <c r="R5330" t="s">
        <v>21</v>
      </c>
      <c r="S5330" t="s">
        <v>21</v>
      </c>
    </row>
    <row r="5331" spans="1:19" hidden="1" x14ac:dyDescent="0.25">
      <c r="A5331">
        <v>21500713</v>
      </c>
      <c r="B5331" t="s">
        <v>18</v>
      </c>
      <c r="C5331" t="s">
        <v>46</v>
      </c>
      <c r="D5331">
        <v>4</v>
      </c>
      <c r="E5331">
        <v>1</v>
      </c>
      <c r="F5331">
        <v>3</v>
      </c>
      <c r="G5331">
        <v>1</v>
      </c>
      <c r="H5331" s="1">
        <v>7.5925925925925926E-3</v>
      </c>
      <c r="I5331">
        <v>2015</v>
      </c>
      <c r="J5331" t="s">
        <v>20</v>
      </c>
      <c r="K5331" s="2" t="str">
        <f>HYPERLINK("https://www.nba.com/stats/events?CFID=&amp;CFPARAMS=&amp;GameEventID=12&amp;GameID=0021500713&amp;Season=2015-16&amp;flag=1&amp;title=Leonard%20%20Cutting%20Dunk%20Shot%20(2%20PTS)%20(West%201%20AST)", "Leonard  Cutting Dunk Shot (2 PTS) (West 1 AST)")</f>
        <v>Leonard  Cutting Dunk Shot (2 PTS) (West 1 AST)</v>
      </c>
      <c r="L5331" s="2" t="str">
        <f>HYPERLINK("https://www.nba.com/game/...-vs-...-0021500713/play-by-play?watchFullGame=true", "SAS vs CLE - Q1 10:56.00")</f>
        <v>SAS vs CLE - Q1 10:56.00</v>
      </c>
      <c r="M5331">
        <v>0</v>
      </c>
      <c r="N5331">
        <v>0</v>
      </c>
      <c r="O5331">
        <v>1</v>
      </c>
      <c r="P5331">
        <v>0</v>
      </c>
      <c r="Q5331">
        <v>1</v>
      </c>
      <c r="R5331" t="s">
        <v>21</v>
      </c>
      <c r="S5331" t="s">
        <v>21</v>
      </c>
    </row>
    <row r="5332" spans="1:19" hidden="1" x14ac:dyDescent="0.25">
      <c r="A5332">
        <v>21600639</v>
      </c>
      <c r="B5332" t="s">
        <v>18</v>
      </c>
      <c r="C5332" t="s">
        <v>50</v>
      </c>
      <c r="D5332">
        <v>65</v>
      </c>
      <c r="E5332">
        <v>58</v>
      </c>
      <c r="F5332">
        <v>7</v>
      </c>
      <c r="G5332">
        <v>3</v>
      </c>
      <c r="H5332" s="1">
        <v>7.6041666666666671E-3</v>
      </c>
      <c r="I5332">
        <v>2016</v>
      </c>
      <c r="J5332" t="s">
        <v>20</v>
      </c>
      <c r="K5332" s="2" t="str">
        <f>HYPERLINK("https://www.nba.com/stats/events?CFID=&amp;CFPARAMS=&amp;GameEventID=277&amp;GameID=0021600639&amp;Season=2016-17&amp;flag=1&amp;title=Leonard%20%20Running%20Dunk%20(15%20PTS)%20(Lee%201%20AST)", "Leonard  Running Dunk (15 PTS) (Lee 1 AST)")</f>
        <v>Leonard  Running Dunk (15 PTS) (Lee 1 AST)</v>
      </c>
      <c r="L5332" s="2" t="str">
        <f>HYPERLINK("https://www.nba.com/game/...-vs-...-0021600639/play-by-play?watchFullGame=true", "SAS vs DEN - Q3 10:57.00")</f>
        <v>SAS vs DEN - Q3 10:57.00</v>
      </c>
      <c r="M5332">
        <v>0</v>
      </c>
      <c r="N5332">
        <v>0</v>
      </c>
      <c r="O5332">
        <v>1</v>
      </c>
      <c r="P5332">
        <v>0</v>
      </c>
      <c r="Q5332">
        <v>1</v>
      </c>
      <c r="R5332" t="s">
        <v>21</v>
      </c>
      <c r="S5332" t="s">
        <v>21</v>
      </c>
    </row>
    <row r="5333" spans="1:19" hidden="1" x14ac:dyDescent="0.25">
      <c r="A5333">
        <v>21600086</v>
      </c>
      <c r="B5333" t="s">
        <v>18</v>
      </c>
      <c r="C5333" t="s">
        <v>25</v>
      </c>
      <c r="D5333">
        <v>5</v>
      </c>
      <c r="E5333">
        <v>0</v>
      </c>
      <c r="F5333">
        <v>5</v>
      </c>
      <c r="G5333">
        <v>1</v>
      </c>
      <c r="H5333" s="1">
        <v>7.6273148148148151E-3</v>
      </c>
      <c r="I5333">
        <v>2016</v>
      </c>
      <c r="J5333" t="s">
        <v>20</v>
      </c>
      <c r="K5333" s="2" t="str">
        <f>HYPERLINK("https://www.nba.com/stats/events?CFID=&amp;CFPARAMS=&amp;GameEventID=7&amp;GameID=0021600086&amp;Season=2016-17&amp;flag=1&amp;title=Leonard%20%20Driving%20Dunk%20(2%20PTS)", "Leonard  Driving Dunk (2 PTS)")</f>
        <v>Leonard  Driving Dunk (2 PTS)</v>
      </c>
      <c r="L5333" s="2" t="str">
        <f>HYPERLINK("https://www.nba.com/game/...-vs-...-0021600086/play-by-play?watchFullGame=true", "SAS vs LAC - Q1 10:59.00")</f>
        <v>SAS vs LAC - Q1 10:59.00</v>
      </c>
      <c r="M5333">
        <v>0</v>
      </c>
      <c r="N5333">
        <v>0</v>
      </c>
      <c r="O5333">
        <v>1</v>
      </c>
      <c r="P5333">
        <v>0</v>
      </c>
      <c r="Q5333">
        <v>1</v>
      </c>
      <c r="R5333" t="s">
        <v>21</v>
      </c>
      <c r="S5333" t="s">
        <v>21</v>
      </c>
    </row>
    <row r="5334" spans="1:19" hidden="1" x14ac:dyDescent="0.25">
      <c r="A5334">
        <v>41500151</v>
      </c>
      <c r="B5334" t="s">
        <v>18</v>
      </c>
      <c r="C5334" t="s">
        <v>50</v>
      </c>
      <c r="D5334">
        <v>2</v>
      </c>
      <c r="E5334">
        <v>0</v>
      </c>
      <c r="F5334">
        <v>2</v>
      </c>
      <c r="G5334">
        <v>1</v>
      </c>
      <c r="H5334" s="1">
        <v>7.7199074074074071E-3</v>
      </c>
      <c r="I5334" t="s">
        <v>57</v>
      </c>
      <c r="J5334" t="s">
        <v>20</v>
      </c>
      <c r="K5334" s="2" t="str">
        <f>HYPERLINK("https://www.nba.com/stats/events?CFID=&amp;CFPARAMS=&amp;GameEventID=6&amp;GameID=0041500151&amp;Season=2015-16&amp;flag=1&amp;title=Leonard%20%20Running%20Dunk%20(2%20PTS)", "Leonard  Running Dunk (2 PTS)")</f>
        <v>Leonard  Running Dunk (2 PTS)</v>
      </c>
      <c r="L5334" s="2" t="str">
        <f>HYPERLINK("https://www.nba.com/game/...-vs-...-0041500151/play-by-play?watchFullGame=true", "SAS vs MEM - Q1 11:07.00")</f>
        <v>SAS vs MEM - Q1 11:07.00</v>
      </c>
      <c r="M5334">
        <v>0</v>
      </c>
      <c r="N5334">
        <v>0</v>
      </c>
      <c r="O5334">
        <v>1</v>
      </c>
      <c r="P5334">
        <v>0</v>
      </c>
      <c r="Q5334">
        <v>1</v>
      </c>
      <c r="R5334" t="s">
        <v>21</v>
      </c>
      <c r="S5334" t="s">
        <v>21</v>
      </c>
    </row>
    <row r="5335" spans="1:19" hidden="1" x14ac:dyDescent="0.25">
      <c r="A5335">
        <v>21400152</v>
      </c>
      <c r="B5335" t="s">
        <v>18</v>
      </c>
      <c r="C5335" t="s">
        <v>23</v>
      </c>
      <c r="D5335">
        <v>2</v>
      </c>
      <c r="E5335">
        <v>0</v>
      </c>
      <c r="F5335">
        <v>2</v>
      </c>
      <c r="G5335">
        <v>1</v>
      </c>
      <c r="H5335" s="1">
        <v>7.7546296296296295E-3</v>
      </c>
      <c r="I5335">
        <v>2014</v>
      </c>
      <c r="J5335" t="s">
        <v>20</v>
      </c>
      <c r="K5335" s="2" t="str">
        <f>HYPERLINK("https://www.nba.com/stats/events?CFID=&amp;CFPARAMS=&amp;GameEventID=8&amp;GameID=0021400152&amp;Season=2014-15&amp;flag=1&amp;title=Leonard%20%20Dunk%20(2%20PTS)%20(Green%201%20AST)", "Leonard  Dunk (2 PTS) (Green 1 AST)")</f>
        <v>Leonard  Dunk (2 PTS) (Green 1 AST)</v>
      </c>
      <c r="L5335" s="2" t="str">
        <f>HYPERLINK("https://www.nba.com/game/...-vs-...-0021400152/play-by-play?watchFullGame=true", "SAS vs PHI - Q1 11:10.00")</f>
        <v>SAS vs PHI - Q1 11:10.00</v>
      </c>
      <c r="M5335">
        <v>0</v>
      </c>
      <c r="N5335">
        <v>0</v>
      </c>
      <c r="O5335">
        <v>1</v>
      </c>
      <c r="P5335">
        <v>0</v>
      </c>
      <c r="Q5335">
        <v>1</v>
      </c>
      <c r="R5335" t="s">
        <v>21</v>
      </c>
      <c r="S5335" t="s">
        <v>21</v>
      </c>
    </row>
    <row r="5336" spans="1:19" hidden="1" x14ac:dyDescent="0.25">
      <c r="A5336">
        <v>21400931</v>
      </c>
      <c r="B5336" t="s">
        <v>18</v>
      </c>
      <c r="C5336" t="s">
        <v>23</v>
      </c>
      <c r="D5336">
        <v>91</v>
      </c>
      <c r="E5336">
        <v>77</v>
      </c>
      <c r="F5336">
        <v>14</v>
      </c>
      <c r="G5336">
        <v>4</v>
      </c>
      <c r="H5336" s="1">
        <v>7.8240740740740736E-3</v>
      </c>
      <c r="I5336">
        <v>2014</v>
      </c>
      <c r="J5336" t="s">
        <v>20</v>
      </c>
      <c r="K5336" s="2" t="str">
        <f>HYPERLINK("https://www.nba.com/stats/events?CFID=&amp;CFPARAMS=&amp;GameEventID=401&amp;GameID=0021400931&amp;Season=2014-15&amp;flag=1&amp;title=Leonard%20%20Dunk%20(18%20PTS)", "Leonard  Dunk (18 PTS)")</f>
        <v>Leonard  Dunk (18 PTS)</v>
      </c>
      <c r="L5336" s="2" t="str">
        <f>HYPERLINK("https://www.nba.com/game/...-vs-...-0021400931/play-by-play?watchFullGame=true", "SAS vs CHI - Q4 11:16.00")</f>
        <v>SAS vs CHI - Q4 11:16.00</v>
      </c>
      <c r="M5336">
        <v>0</v>
      </c>
      <c r="N5336">
        <v>0</v>
      </c>
      <c r="O5336">
        <v>1</v>
      </c>
      <c r="P5336">
        <v>0</v>
      </c>
      <c r="Q5336">
        <v>1</v>
      </c>
      <c r="R5336" t="s">
        <v>21</v>
      </c>
      <c r="S5336" t="s">
        <v>21</v>
      </c>
    </row>
    <row r="5337" spans="1:19" hidden="1" x14ac:dyDescent="0.25">
      <c r="A5337">
        <v>21601099</v>
      </c>
      <c r="B5337" t="s">
        <v>18</v>
      </c>
      <c r="C5337" t="s">
        <v>46</v>
      </c>
      <c r="D5337">
        <v>85</v>
      </c>
      <c r="E5337">
        <v>58</v>
      </c>
      <c r="F5337">
        <v>27</v>
      </c>
      <c r="G5337">
        <v>4</v>
      </c>
      <c r="H5337" s="1">
        <v>7.8240740740740736E-3</v>
      </c>
      <c r="I5337">
        <v>2016</v>
      </c>
      <c r="J5337" t="s">
        <v>20</v>
      </c>
      <c r="K5337" s="2" t="str">
        <f>HYPERLINK("https://www.nba.com/stats/events?CFID=&amp;CFPARAMS=&amp;GameEventID=407&amp;GameID=0021601099&amp;Season=2016-17&amp;flag=1&amp;title=Leonard%20Cutting%20Dunk%20Shot%20(21%20PTS)%20(Mills%207%20AST)", "Leonard Cutting Dunk Shot (21 PTS) (Mills 7 AST)")</f>
        <v>Leonard Cutting Dunk Shot (21 PTS) (Mills 7 AST)</v>
      </c>
      <c r="L5337" s="2" t="str">
        <f>HYPERLINK("https://www.nba.com/game/...-vs-...-0021601099/play-by-play?watchFullGame=true", "SAS vs CLE - Q4 11:16.00")</f>
        <v>SAS vs CLE - Q4 11:16.00</v>
      </c>
      <c r="M5337">
        <v>0</v>
      </c>
      <c r="N5337">
        <v>0</v>
      </c>
      <c r="O5337">
        <v>1</v>
      </c>
      <c r="P5337">
        <v>0</v>
      </c>
      <c r="Q5337">
        <v>1</v>
      </c>
      <c r="R5337" t="s">
        <v>21</v>
      </c>
      <c r="S5337" t="s">
        <v>21</v>
      </c>
    </row>
    <row r="5338" spans="1:19" hidden="1" x14ac:dyDescent="0.25">
      <c r="A5338">
        <v>21500416</v>
      </c>
      <c r="B5338" t="s">
        <v>18</v>
      </c>
      <c r="C5338" t="s">
        <v>25</v>
      </c>
      <c r="D5338">
        <v>2</v>
      </c>
      <c r="E5338">
        <v>0</v>
      </c>
      <c r="F5338">
        <v>2</v>
      </c>
      <c r="G5338">
        <v>1</v>
      </c>
      <c r="H5338" s="1">
        <v>7.8240740740740736E-3</v>
      </c>
      <c r="I5338">
        <v>2015</v>
      </c>
      <c r="J5338" t="s">
        <v>20</v>
      </c>
      <c r="K5338" s="2" t="str">
        <f>HYPERLINK("https://www.nba.com/stats/events?CFID=&amp;CFPARAMS=&amp;GameEventID=6&amp;GameID=0021500416&amp;Season=2015-16&amp;flag=1&amp;title=Leonard%20Driving%20Dunk%20(2%20PTS)", "Leonard Driving Dunk (2 PTS)")</f>
        <v>Leonard Driving Dunk (2 PTS)</v>
      </c>
      <c r="L5338" s="2" t="str">
        <f>HYPERLINK("https://www.nba.com/game/...-vs-...-0021500416/play-by-play?watchFullGame=true", "SAS vs IND - Q1 11:16.00")</f>
        <v>SAS vs IND - Q1 11:16.00</v>
      </c>
      <c r="M5338">
        <v>0</v>
      </c>
      <c r="N5338">
        <v>0</v>
      </c>
      <c r="O5338">
        <v>1</v>
      </c>
      <c r="P5338">
        <v>0</v>
      </c>
      <c r="Q5338">
        <v>1</v>
      </c>
      <c r="R5338" t="s">
        <v>21</v>
      </c>
      <c r="S5338" t="s">
        <v>21</v>
      </c>
    </row>
    <row r="5339" spans="1:19" hidden="1" x14ac:dyDescent="0.25">
      <c r="A5339">
        <v>21600240</v>
      </c>
      <c r="B5339" t="s">
        <v>18</v>
      </c>
      <c r="C5339" t="s">
        <v>23</v>
      </c>
      <c r="D5339">
        <v>59</v>
      </c>
      <c r="E5339">
        <v>44</v>
      </c>
      <c r="F5339">
        <v>15</v>
      </c>
      <c r="G5339">
        <v>3</v>
      </c>
      <c r="H5339" s="1">
        <v>7.858796296296296E-3</v>
      </c>
      <c r="I5339">
        <v>2016</v>
      </c>
      <c r="J5339" t="s">
        <v>20</v>
      </c>
      <c r="K5339" s="2" t="str">
        <f>HYPERLINK("https://www.nba.com/stats/events?CFID=&amp;CFPARAMS=&amp;GameEventID=266&amp;GameID=0021600240&amp;Season=2016-17&amp;flag=1&amp;title=Leonard%20%20Dunk%20(10%20PTS)", "Leonard  Dunk (10 PTS)")</f>
        <v>Leonard  Dunk (10 PTS)</v>
      </c>
      <c r="L5339" s="2" t="str">
        <f>HYPERLINK("https://www.nba.com/game/...-vs-...-0021600240/play-by-play?watchFullGame=true", "SAS vs WAS - Q3 11:19.00")</f>
        <v>SAS vs WAS - Q3 11:19.00</v>
      </c>
      <c r="M5339">
        <v>0</v>
      </c>
      <c r="N5339">
        <v>0</v>
      </c>
      <c r="O5339">
        <v>1</v>
      </c>
      <c r="P5339">
        <v>0</v>
      </c>
      <c r="Q5339">
        <v>1</v>
      </c>
      <c r="R5339" t="s">
        <v>21</v>
      </c>
      <c r="S5339" t="s">
        <v>21</v>
      </c>
    </row>
    <row r="5340" spans="1:19" hidden="1" x14ac:dyDescent="0.25">
      <c r="A5340">
        <v>41600153</v>
      </c>
      <c r="B5340" t="s">
        <v>18</v>
      </c>
      <c r="C5340" t="s">
        <v>25</v>
      </c>
      <c r="D5340">
        <v>65</v>
      </c>
      <c r="E5340">
        <v>81</v>
      </c>
      <c r="F5340">
        <v>16</v>
      </c>
      <c r="G5340">
        <v>4</v>
      </c>
      <c r="H5340" s="1">
        <v>7.9398148148148145E-3</v>
      </c>
      <c r="I5340" t="s">
        <v>58</v>
      </c>
      <c r="J5340" t="s">
        <v>20</v>
      </c>
      <c r="K5340" s="2" t="str">
        <f>HYPERLINK("https://www.nba.com/stats/events?CFID=&amp;CFPARAMS=&amp;GameEventID=359&amp;GameID=0041600153&amp;Season=2016-17&amp;flag=1&amp;title=Leonard%20%20Driving%20Dunk%20(18%20PTS)", "Leonard  Driving Dunk (18 PTS)")</f>
        <v>Leonard  Driving Dunk (18 PTS)</v>
      </c>
      <c r="L5340" s="2" t="str">
        <f>HYPERLINK("https://www.nba.com/game/...-vs-...-0041600153/play-by-play?watchFullGame=true", "SAS vs MEM - Q4 11:26.00")</f>
        <v>SAS vs MEM - Q4 11:26.00</v>
      </c>
      <c r="M5340">
        <v>0</v>
      </c>
      <c r="N5340">
        <v>0</v>
      </c>
      <c r="O5340">
        <v>1</v>
      </c>
      <c r="P5340">
        <v>0</v>
      </c>
      <c r="Q5340">
        <v>1</v>
      </c>
      <c r="R5340" t="s">
        <v>21</v>
      </c>
      <c r="S5340" t="s">
        <v>21</v>
      </c>
    </row>
    <row r="5341" spans="1:19" hidden="1" x14ac:dyDescent="0.25">
      <c r="A5341">
        <v>21500590</v>
      </c>
      <c r="B5341" t="s">
        <v>18</v>
      </c>
      <c r="C5341" t="s">
        <v>46</v>
      </c>
      <c r="D5341">
        <v>2</v>
      </c>
      <c r="E5341">
        <v>2</v>
      </c>
      <c r="F5341">
        <v>0</v>
      </c>
      <c r="G5341">
        <v>1</v>
      </c>
      <c r="H5341" s="1">
        <v>8.0092592592592594E-3</v>
      </c>
      <c r="I5341">
        <v>2015</v>
      </c>
      <c r="J5341" t="s">
        <v>20</v>
      </c>
      <c r="K5341" s="2" t="str">
        <f>HYPERLINK("https://www.nba.com/stats/events?CFID=&amp;CFPARAMS=&amp;GameEventID=3&amp;GameID=0021500590&amp;Season=2015-16&amp;flag=1&amp;title=Leonard%20%20Cutting%20Dunk%20Shot%20(2%20PTS)%20(Parker%201%20AST)", "Leonard  Cutting Dunk Shot (2 PTS) (Parker 1 AST)")</f>
        <v>Leonard  Cutting Dunk Shot (2 PTS) (Parker 1 AST)</v>
      </c>
      <c r="L5341" s="2" t="str">
        <f>HYPERLINK("https://www.nba.com/game/...-vs-...-0021500590/play-by-play?watchFullGame=true", "SAS vs CLE - Q1 11:32.00")</f>
        <v>SAS vs CLE - Q1 11:32.00</v>
      </c>
      <c r="M5341">
        <v>0</v>
      </c>
      <c r="N5341">
        <v>0</v>
      </c>
      <c r="O5341">
        <v>1</v>
      </c>
      <c r="P5341">
        <v>0</v>
      </c>
      <c r="Q5341">
        <v>1</v>
      </c>
      <c r="R5341" t="s">
        <v>21</v>
      </c>
      <c r="S5341" t="s">
        <v>21</v>
      </c>
    </row>
    <row r="5342" spans="1:19" hidden="1" x14ac:dyDescent="0.25">
      <c r="A5342">
        <v>21500195</v>
      </c>
      <c r="B5342" t="s">
        <v>18</v>
      </c>
      <c r="C5342" t="s">
        <v>50</v>
      </c>
      <c r="D5342">
        <v>55</v>
      </c>
      <c r="E5342">
        <v>39</v>
      </c>
      <c r="F5342">
        <v>16</v>
      </c>
      <c r="G5342">
        <v>3</v>
      </c>
      <c r="H5342" s="1">
        <v>8.067129629629629E-3</v>
      </c>
      <c r="I5342">
        <v>2015</v>
      </c>
      <c r="J5342" t="s">
        <v>20</v>
      </c>
      <c r="K5342" s="2" t="str">
        <f>HYPERLINK("https://www.nba.com/stats/events?CFID=&amp;CFPARAMS=&amp;GameEventID=257&amp;GameID=0021500195&amp;Season=2015-16&amp;flag=1&amp;title=Leonard%20Running%20Dunk%20(9%20PTS)%20(Duncan%202%20AST)", "Leonard Running Dunk (9 PTS) (Duncan 2 AST)")</f>
        <v>Leonard Running Dunk (9 PTS) (Duncan 2 AST)</v>
      </c>
      <c r="L5342" s="2" t="str">
        <f>HYPERLINK("https://www.nba.com/game/...-vs-...-0021500195/play-by-play?watchFullGame=true", "SAS vs MEM - Q3 11:37.00")</f>
        <v>SAS vs MEM - Q3 11:37.00</v>
      </c>
      <c r="M5342">
        <v>0</v>
      </c>
      <c r="N5342">
        <v>0</v>
      </c>
      <c r="O5342">
        <v>1</v>
      </c>
      <c r="P5342">
        <v>0</v>
      </c>
      <c r="Q5342">
        <v>1</v>
      </c>
      <c r="R5342" t="s">
        <v>21</v>
      </c>
      <c r="S5342" t="s">
        <v>21</v>
      </c>
    </row>
    <row r="5343" spans="1:19" hidden="1" x14ac:dyDescent="0.25">
      <c r="A5343">
        <v>21601151</v>
      </c>
      <c r="B5343" t="s">
        <v>18</v>
      </c>
      <c r="C5343" t="s">
        <v>23</v>
      </c>
      <c r="D5343">
        <v>56</v>
      </c>
      <c r="E5343">
        <v>52</v>
      </c>
      <c r="F5343">
        <v>4</v>
      </c>
      <c r="G5343">
        <v>3</v>
      </c>
      <c r="H5343" s="1">
        <v>8.067129629629629E-3</v>
      </c>
      <c r="I5343">
        <v>2016</v>
      </c>
      <c r="J5343" t="s">
        <v>20</v>
      </c>
      <c r="K5343" s="2" t="str">
        <f>HYPERLINK("https://www.nba.com/stats/events?CFID=&amp;CFPARAMS=&amp;GameEventID=222&amp;GameID=0021601151&amp;Season=2016-17&amp;flag=1&amp;title=Leonard%20%20Dunk%20(8%20PTS)%20(Parker%204%20AST)", "Leonard  Dunk (8 PTS) (Parker 4 AST)")</f>
        <v>Leonard  Dunk (8 PTS) (Parker 4 AST)</v>
      </c>
      <c r="L5343" s="2" t="str">
        <f>HYPERLINK("https://www.nba.com/game/...-vs-...-0021601151/play-by-play?watchFullGame=true", "SAS vs UTA - Q3 11:37.00")</f>
        <v>SAS vs UTA - Q3 11:37.00</v>
      </c>
      <c r="M5343">
        <v>0</v>
      </c>
      <c r="N5343">
        <v>0</v>
      </c>
      <c r="O5343">
        <v>1</v>
      </c>
      <c r="P5343">
        <v>0</v>
      </c>
      <c r="Q5343">
        <v>1</v>
      </c>
      <c r="R5343" t="s">
        <v>21</v>
      </c>
      <c r="S5343" t="s">
        <v>21</v>
      </c>
    </row>
    <row r="5344" spans="1:19" hidden="1" x14ac:dyDescent="0.25">
      <c r="A5344">
        <v>41600152</v>
      </c>
      <c r="B5344" t="s">
        <v>18</v>
      </c>
      <c r="C5344" t="s">
        <v>25</v>
      </c>
      <c r="D5344">
        <v>2</v>
      </c>
      <c r="E5344">
        <v>0</v>
      </c>
      <c r="F5344">
        <v>2</v>
      </c>
      <c r="G5344">
        <v>1</v>
      </c>
      <c r="H5344" s="1">
        <v>8.1134259259259267E-3</v>
      </c>
      <c r="I5344" t="s">
        <v>58</v>
      </c>
      <c r="J5344" t="s">
        <v>20</v>
      </c>
      <c r="K5344" s="2" t="str">
        <f>HYPERLINK("https://www.nba.com/stats/events?CFID=&amp;CFPARAMS=&amp;GameEventID=2&amp;GameID=0041600152&amp;Season=2016-17&amp;flag=1&amp;title=Leonard%20%20Driving%20Dunk%20(2%20PTS)", "Leonard  Driving Dunk (2 PTS)")</f>
        <v>Leonard  Driving Dunk (2 PTS)</v>
      </c>
      <c r="L5344" s="2" t="str">
        <f>HYPERLINK("https://www.nba.com/game/...-vs-...-0041600152/play-by-play?watchFullGame=true", "SAS vs MEM - Q1 11:41.00")</f>
        <v>SAS vs MEM - Q1 11:41.00</v>
      </c>
      <c r="M5344">
        <v>0</v>
      </c>
      <c r="N5344">
        <v>0</v>
      </c>
      <c r="O5344">
        <v>1</v>
      </c>
      <c r="P5344">
        <v>0</v>
      </c>
      <c r="Q5344">
        <v>1</v>
      </c>
      <c r="R5344" t="s">
        <v>21</v>
      </c>
      <c r="S5344" t="s">
        <v>21</v>
      </c>
    </row>
    <row r="5345" spans="1:19" hidden="1" x14ac:dyDescent="0.25">
      <c r="A5345">
        <v>41500231</v>
      </c>
      <c r="B5345" t="s">
        <v>18</v>
      </c>
      <c r="C5345" t="s">
        <v>25</v>
      </c>
      <c r="D5345">
        <v>2</v>
      </c>
      <c r="E5345">
        <v>0</v>
      </c>
      <c r="F5345">
        <v>2</v>
      </c>
      <c r="G5345">
        <v>1</v>
      </c>
      <c r="H5345" s="1">
        <v>8.1134259259259267E-3</v>
      </c>
      <c r="I5345" t="s">
        <v>57</v>
      </c>
      <c r="J5345" t="s">
        <v>20</v>
      </c>
      <c r="K5345" s="2" t="str">
        <f>HYPERLINK("https://www.nba.com/stats/events?CFID=&amp;CFPARAMS=&amp;GameEventID=2&amp;GameID=0041500231&amp;Season=2015-16&amp;flag=1&amp;title=Leonard%20%20Driving%20Dunk%20(2%20PTS)", "Leonard  Driving Dunk (2 PTS)")</f>
        <v>Leonard  Driving Dunk (2 PTS)</v>
      </c>
      <c r="L5345" s="2" t="str">
        <f>HYPERLINK("https://www.nba.com/game/...-vs-...-0041500231/play-by-play?watchFullGame=true", "SAS vs OKC - Q1 11:41.00")</f>
        <v>SAS vs OKC - Q1 11:41.00</v>
      </c>
      <c r="M5345">
        <v>0</v>
      </c>
      <c r="N5345">
        <v>0</v>
      </c>
      <c r="O5345">
        <v>1</v>
      </c>
      <c r="P5345">
        <v>0</v>
      </c>
      <c r="Q5345">
        <v>1</v>
      </c>
      <c r="R5345" t="s">
        <v>21</v>
      </c>
      <c r="S5345" t="s">
        <v>21</v>
      </c>
    </row>
    <row r="5346" spans="1:19" hidden="1" x14ac:dyDescent="0.25">
      <c r="A5346">
        <v>21300965</v>
      </c>
      <c r="B5346" t="s">
        <v>18</v>
      </c>
      <c r="C5346" t="s">
        <v>25</v>
      </c>
      <c r="D5346">
        <v>2</v>
      </c>
      <c r="E5346">
        <v>0</v>
      </c>
      <c r="F5346">
        <v>2</v>
      </c>
      <c r="G5346">
        <v>1</v>
      </c>
      <c r="H5346" s="1">
        <v>8.1365740740740738E-3</v>
      </c>
      <c r="I5346">
        <v>2013</v>
      </c>
      <c r="J5346" t="s">
        <v>20</v>
      </c>
      <c r="K5346" s="2" t="str">
        <f>HYPERLINK("https://www.nba.com/stats/events?CFID=&amp;CFPARAMS=&amp;GameEventID=2&amp;GameID=0021300965&amp;Season=2013-14&amp;flag=1&amp;title=Leonard%20%20Driving%20Dunk%20(2%20PTS)%20(Parker%201%20AST)", "Leonard  Driving Dunk (2 PTS) (Parker 1 AST)")</f>
        <v>Leonard  Driving Dunk (2 PTS) (Parker 1 AST)</v>
      </c>
      <c r="L5346" s="2" t="str">
        <f>HYPERLINK("https://www.nba.com/game/...-vs-...-0021300965/play-by-play?watchFullGame=true", "SAS vs POR - Q1 11:43.00")</f>
        <v>SAS vs POR - Q1 11:43.00</v>
      </c>
      <c r="M5346">
        <v>0</v>
      </c>
      <c r="N5346">
        <v>0</v>
      </c>
      <c r="O5346">
        <v>1</v>
      </c>
      <c r="P5346">
        <v>0</v>
      </c>
      <c r="Q5346">
        <v>1</v>
      </c>
      <c r="R5346" t="s">
        <v>21</v>
      </c>
      <c r="S5346" t="s">
        <v>21</v>
      </c>
    </row>
    <row r="5347" spans="1:19" hidden="1" x14ac:dyDescent="0.25">
      <c r="A5347">
        <v>21600383</v>
      </c>
      <c r="B5347" t="s">
        <v>18</v>
      </c>
      <c r="C5347" t="s">
        <v>50</v>
      </c>
      <c r="D5347">
        <v>58</v>
      </c>
      <c r="E5347">
        <v>47</v>
      </c>
      <c r="F5347">
        <v>11</v>
      </c>
      <c r="G5347">
        <v>3</v>
      </c>
      <c r="H5347" s="1">
        <v>8.1828703703703699E-3</v>
      </c>
      <c r="I5347">
        <v>2016</v>
      </c>
      <c r="J5347" t="s">
        <v>20</v>
      </c>
      <c r="K5347" s="2" t="str">
        <f>HYPERLINK("https://www.nba.com/stats/events?CFID=&amp;CFPARAMS=&amp;GameEventID=241&amp;GameID=0021600383&amp;Season=2016-17&amp;flag=1&amp;title=Leonard%20%20Running%20Dunk%20(16%20PTS)", "Leonard  Running Dunk (16 PTS)")</f>
        <v>Leonard  Running Dunk (16 PTS)</v>
      </c>
      <c r="L5347" s="2" t="str">
        <f>HYPERLINK("https://www.nba.com/game/...-vs-...-0021600383/play-by-play?watchFullGame=true", "SAS vs BOS - Q3 11:47.00")</f>
        <v>SAS vs BOS - Q3 11:47.00</v>
      </c>
      <c r="M5347">
        <v>0</v>
      </c>
      <c r="N5347">
        <v>0</v>
      </c>
      <c r="O5347">
        <v>1</v>
      </c>
      <c r="P5347">
        <v>0</v>
      </c>
      <c r="Q5347">
        <v>1</v>
      </c>
      <c r="R5347" t="s">
        <v>21</v>
      </c>
      <c r="S5347" t="s">
        <v>21</v>
      </c>
    </row>
    <row r="5348" spans="1:19" hidden="1" x14ac:dyDescent="0.25">
      <c r="A5348">
        <v>21300057</v>
      </c>
      <c r="B5348" t="s">
        <v>18</v>
      </c>
      <c r="C5348" t="s">
        <v>25</v>
      </c>
      <c r="D5348">
        <v>62</v>
      </c>
      <c r="E5348">
        <v>69</v>
      </c>
      <c r="F5348">
        <v>7</v>
      </c>
      <c r="G5348">
        <v>3</v>
      </c>
      <c r="H5348" s="1">
        <v>4.3055555555555555E-3</v>
      </c>
      <c r="I5348">
        <v>2013</v>
      </c>
      <c r="J5348" t="s">
        <v>20</v>
      </c>
      <c r="K5348" s="2" t="str">
        <f>HYPERLINK("https://www.nba.com/stats/events?CFID=&amp;CFPARAMS=&amp;GameEventID=319&amp;GameID=0021300057&amp;Season=2013-14&amp;flag=1&amp;title=Leonard%202'%20Driving%20Dunk%20(8%20PTS)%20(Ginobili%203%20AST)", "Leonard 2' Driving Dunk (8 PTS) (Ginobili 3 AST)")</f>
        <v>Leonard 2' Driving Dunk (8 PTS) (Ginobili 3 AST)</v>
      </c>
      <c r="L5348" s="2" t="str">
        <f>HYPERLINK("https://www.nba.com/game/...-vs-...-0021300057/play-by-play?watchFullGame=true", "SAS vs DEN - Q3 06:12.00")</f>
        <v>SAS vs DEN - Q3 06:12.00</v>
      </c>
      <c r="M5348">
        <v>2</v>
      </c>
      <c r="N5348">
        <v>1</v>
      </c>
      <c r="O5348">
        <v>19</v>
      </c>
      <c r="P5348">
        <v>1</v>
      </c>
      <c r="Q5348">
        <v>19</v>
      </c>
      <c r="R5348" t="s">
        <v>21</v>
      </c>
      <c r="S5348" t="s">
        <v>21</v>
      </c>
    </row>
    <row r="5349" spans="1:19" hidden="1" x14ac:dyDescent="0.25">
      <c r="A5349">
        <v>21400102</v>
      </c>
      <c r="B5349" t="s">
        <v>18</v>
      </c>
      <c r="C5349" t="s">
        <v>23</v>
      </c>
      <c r="D5349">
        <v>22</v>
      </c>
      <c r="E5349">
        <v>28</v>
      </c>
      <c r="F5349">
        <v>6</v>
      </c>
      <c r="G5349">
        <v>2</v>
      </c>
      <c r="H5349" s="1">
        <v>5.4513888888888893E-3</v>
      </c>
      <c r="I5349">
        <v>2014</v>
      </c>
      <c r="J5349" t="s">
        <v>20</v>
      </c>
      <c r="K5349" s="2" t="str">
        <f>HYPERLINK("https://www.nba.com/stats/events?CFID=&amp;CFPARAMS=&amp;GameEventID=147&amp;GameID=0021400102&amp;Season=2014-15&amp;flag=1&amp;title=Leonard%202'%20Dunk%20(8%20PTS)%20(Duncan%202%20AST)", "Leonard 2' Dunk (8 PTS) (Duncan 2 AST)")</f>
        <v>Leonard 2' Dunk (8 PTS) (Duncan 2 AST)</v>
      </c>
      <c r="L5349" s="2" t="str">
        <f>HYPERLINK("https://www.nba.com/game/...-vs-...-0021400102/play-by-play?watchFullGame=true", "SAS vs LAC - Q2 07:51.00")</f>
        <v>SAS vs LAC - Q2 07:51.00</v>
      </c>
      <c r="M5349">
        <v>2</v>
      </c>
      <c r="N5349">
        <v>1</v>
      </c>
      <c r="O5349">
        <v>17</v>
      </c>
      <c r="P5349">
        <v>1</v>
      </c>
      <c r="Q5349">
        <v>17</v>
      </c>
      <c r="R5349" t="s">
        <v>21</v>
      </c>
      <c r="S5349" t="s">
        <v>21</v>
      </c>
    </row>
    <row r="5350" spans="1:19" hidden="1" x14ac:dyDescent="0.25">
      <c r="A5350">
        <v>21300057</v>
      </c>
      <c r="B5350" t="s">
        <v>18</v>
      </c>
      <c r="C5350" t="s">
        <v>23</v>
      </c>
      <c r="D5350">
        <v>68</v>
      </c>
      <c r="E5350">
        <v>74</v>
      </c>
      <c r="F5350">
        <v>6</v>
      </c>
      <c r="G5350">
        <v>3</v>
      </c>
      <c r="H5350" s="1">
        <v>2.8472222222222223E-3</v>
      </c>
      <c r="I5350">
        <v>2013</v>
      </c>
      <c r="J5350" t="s">
        <v>20</v>
      </c>
      <c r="K5350" s="2" t="str">
        <f>HYPERLINK("https://www.nba.com/stats/events?CFID=&amp;CFPARAMS=&amp;GameEventID=347&amp;GameID=0021300057&amp;Season=2013-14&amp;flag=1&amp;title=Leonard%201'%20Dunk%20(10%20PTS)%20(Duncan%207%20AST)", "Leonard 1' Dunk (10 PTS) (Duncan 7 AST)")</f>
        <v>Leonard 1' Dunk (10 PTS) (Duncan 7 AST)</v>
      </c>
      <c r="L5350" s="2" t="str">
        <f>HYPERLINK("https://www.nba.com/game/...-vs-...-0021300057/play-by-play?watchFullGame=true", "SAS vs DEN - Q3 04:06.00")</f>
        <v>SAS vs DEN - Q3 04:06.00</v>
      </c>
      <c r="M5350">
        <v>1</v>
      </c>
      <c r="N5350">
        <v>1</v>
      </c>
      <c r="O5350">
        <v>14</v>
      </c>
      <c r="P5350">
        <v>1</v>
      </c>
      <c r="Q5350">
        <v>14</v>
      </c>
      <c r="R5350" t="s">
        <v>21</v>
      </c>
      <c r="S5350" t="s">
        <v>21</v>
      </c>
    </row>
    <row r="5351" spans="1:19" hidden="1" x14ac:dyDescent="0.25">
      <c r="A5351">
        <v>41800212</v>
      </c>
      <c r="B5351" t="s">
        <v>18</v>
      </c>
      <c r="C5351" t="s">
        <v>50</v>
      </c>
      <c r="D5351">
        <v>24</v>
      </c>
      <c r="E5351">
        <v>36</v>
      </c>
      <c r="F5351">
        <v>12</v>
      </c>
      <c r="G5351">
        <v>2</v>
      </c>
      <c r="H5351" s="1">
        <v>4.9768518518518521E-3</v>
      </c>
      <c r="I5351" t="s">
        <v>60</v>
      </c>
      <c r="J5351" t="s">
        <v>48</v>
      </c>
      <c r="K5351" s="2" t="str">
        <f>HYPERLINK("https://www.nba.com/stats/events?CFID=&amp;CFPARAMS=&amp;GameEventID=220&amp;GameID=0041800212&amp;Season=2018-19&amp;flag=1&amp;title=Leonard%201'%20Running%20Dunk%20(11%20PTS)%20(Lowry%201%20AST)", "Leonard 1' Running Dunk (11 PTS) (Lowry 1 AST)")</f>
        <v>Leonard 1' Running Dunk (11 PTS) (Lowry 1 AST)</v>
      </c>
      <c r="L5351" s="2" t="str">
        <f>HYPERLINK("https://www.nba.com/game/...-vs-...-0041800212/play-by-play?watchFullGame=true", "TOR vs PHI - Q2 07:10.00")</f>
        <v>TOR vs PHI - Q2 07:10.00</v>
      </c>
      <c r="M5351">
        <v>1</v>
      </c>
      <c r="N5351">
        <v>1</v>
      </c>
      <c r="O5351">
        <v>-6</v>
      </c>
      <c r="P5351">
        <v>1</v>
      </c>
      <c r="Q5351">
        <v>-6</v>
      </c>
      <c r="R5351" t="s">
        <v>21</v>
      </c>
      <c r="S5351" t="s">
        <v>21</v>
      </c>
    </row>
    <row r="5352" spans="1:19" hidden="1" x14ac:dyDescent="0.25">
      <c r="A5352">
        <v>41200235</v>
      </c>
      <c r="B5352" t="s">
        <v>18</v>
      </c>
      <c r="C5352" t="s">
        <v>23</v>
      </c>
      <c r="D5352">
        <v>64</v>
      </c>
      <c r="E5352">
        <v>58</v>
      </c>
      <c r="F5352">
        <v>6</v>
      </c>
      <c r="G5352">
        <v>3</v>
      </c>
      <c r="H5352" s="1">
        <v>5.7870370370370367E-3</v>
      </c>
      <c r="I5352" t="s">
        <v>53</v>
      </c>
      <c r="J5352" t="s">
        <v>20</v>
      </c>
      <c r="K5352" s="2" t="str">
        <f>HYPERLINK("https://www.nba.com/stats/events?CFID=&amp;CFPARAMS=&amp;GameEventID=272&amp;GameID=0041200235&amp;Season=2012-13&amp;flag=1&amp;title=Leonard%201'%20Dunk%20(11%20PTS)%20(Green%203%20AST)", "Leonard 1' Dunk (11 PTS) (Green 3 AST)")</f>
        <v>Leonard 1' Dunk (11 PTS) (Green 3 AST)</v>
      </c>
      <c r="L5352" s="2" t="str">
        <f>HYPERLINK("https://www.nba.com/game/...-vs-...-0041200235/play-by-play?watchFullGame=true", "SAS vs GSW - Q3 08:20.00")</f>
        <v>SAS vs GSW - Q3 08:20.00</v>
      </c>
      <c r="M5352">
        <v>1</v>
      </c>
      <c r="N5352">
        <v>1</v>
      </c>
      <c r="O5352">
        <v>12</v>
      </c>
      <c r="P5352">
        <v>1</v>
      </c>
      <c r="Q5352">
        <v>12</v>
      </c>
      <c r="R5352" t="s">
        <v>21</v>
      </c>
      <c r="S5352" t="s">
        <v>21</v>
      </c>
    </row>
    <row r="5353" spans="1:19" hidden="1" x14ac:dyDescent="0.25">
      <c r="A5353">
        <v>21800100</v>
      </c>
      <c r="B5353" t="s">
        <v>18</v>
      </c>
      <c r="C5353" t="s">
        <v>50</v>
      </c>
      <c r="D5353">
        <v>71</v>
      </c>
      <c r="E5353">
        <v>56</v>
      </c>
      <c r="F5353">
        <v>15</v>
      </c>
      <c r="G5353">
        <v>3</v>
      </c>
      <c r="H5353" s="1">
        <v>7.5810185185185182E-3</v>
      </c>
      <c r="I5353">
        <v>2018</v>
      </c>
      <c r="J5353" t="s">
        <v>48</v>
      </c>
      <c r="K5353" s="2" t="str">
        <f>HYPERLINK("https://www.nba.com/stats/events?CFID=&amp;CFPARAMS=&amp;GameEventID=415&amp;GameID=0021800100&amp;Season=2018-19&amp;flag=1&amp;title=Leonard%201'%20Running%20Dunk%20(14%20PTS)%20(Green%202%20AST)", "Leonard 1' Running Dunk (14 PTS) (Green 2 AST)")</f>
        <v>Leonard 1' Running Dunk (14 PTS) (Green 2 AST)</v>
      </c>
      <c r="L5353" s="2" t="str">
        <f>HYPERLINK("https://www.nba.com/game/...-vs-...-0021800100/play-by-play?watchFullGame=true", "TOR vs PHI - Q3 10:55.00")</f>
        <v>TOR vs PHI - Q3 10:55.00</v>
      </c>
      <c r="M5353">
        <v>1</v>
      </c>
      <c r="N5353">
        <v>1</v>
      </c>
      <c r="O5353">
        <v>6</v>
      </c>
      <c r="P5353">
        <v>1</v>
      </c>
      <c r="Q5353">
        <v>6</v>
      </c>
      <c r="R5353" t="s">
        <v>21</v>
      </c>
      <c r="S5353" t="s">
        <v>21</v>
      </c>
    </row>
    <row r="5354" spans="1:19" hidden="1" x14ac:dyDescent="0.25">
      <c r="A5354">
        <v>41800112</v>
      </c>
      <c r="B5354" t="s">
        <v>18</v>
      </c>
      <c r="C5354" t="s">
        <v>25</v>
      </c>
      <c r="D5354">
        <v>83</v>
      </c>
      <c r="E5354">
        <v>62</v>
      </c>
      <c r="F5354">
        <v>21</v>
      </c>
      <c r="G5354">
        <v>3</v>
      </c>
      <c r="H5354" s="1">
        <v>1.6898148148148148E-3</v>
      </c>
      <c r="I5354" t="s">
        <v>60</v>
      </c>
      <c r="J5354" t="s">
        <v>48</v>
      </c>
      <c r="K5354" s="2" t="str">
        <f>HYPERLINK("https://www.nba.com/stats/events?CFID=&amp;CFPARAMS=&amp;GameEventID=448&amp;GameID=0041800112&amp;Season=2018-19&amp;flag=1&amp;title=Leonard%20Driving%20Dunk%20(31%20PTS)%20(Gasol%205%20AST)", "Leonard Driving Dunk (31 PTS) (Gasol 5 AST)")</f>
        <v>Leonard Driving Dunk (31 PTS) (Gasol 5 AST)</v>
      </c>
      <c r="L5354" s="2" t="str">
        <f>HYPERLINK("https://www.nba.com/game/...-vs-...-0041800112/play-by-play?watchFullGame=true", "TOR vs ORL - Q3 02:26.00")</f>
        <v>TOR vs ORL - Q3 02:26.00</v>
      </c>
      <c r="M5354">
        <v>0</v>
      </c>
      <c r="N5354">
        <v>1</v>
      </c>
      <c r="O5354">
        <v>-1</v>
      </c>
      <c r="P5354">
        <v>1</v>
      </c>
      <c r="Q5354">
        <v>-1</v>
      </c>
      <c r="R5354" t="s">
        <v>21</v>
      </c>
      <c r="S5354" t="s">
        <v>21</v>
      </c>
    </row>
    <row r="5355" spans="1:19" hidden="1" x14ac:dyDescent="0.25">
      <c r="A5355">
        <v>21300898</v>
      </c>
      <c r="B5355" t="s">
        <v>18</v>
      </c>
      <c r="C5355" t="s">
        <v>25</v>
      </c>
      <c r="D5355">
        <v>42</v>
      </c>
      <c r="E5355">
        <v>36</v>
      </c>
      <c r="F5355">
        <v>6</v>
      </c>
      <c r="G5355">
        <v>2</v>
      </c>
      <c r="H5355" s="1">
        <v>2.8009259259259259E-3</v>
      </c>
      <c r="I5355">
        <v>2013</v>
      </c>
      <c r="J5355" t="s">
        <v>20</v>
      </c>
      <c r="K5355" s="2" t="str">
        <f>HYPERLINK("https://www.nba.com/stats/events?CFID=&amp;CFPARAMS=&amp;GameEventID=231&amp;GameID=0021300898&amp;Season=2013-14&amp;flag=1&amp;title=Leonard%20%20Driving%20Dunk%20(9%20PTS)%20(Mills%203%20AST)", "Leonard  Driving Dunk (9 PTS) (Mills 3 AST)")</f>
        <v>Leonard  Driving Dunk (9 PTS) (Mills 3 AST)</v>
      </c>
      <c r="L5355" s="2" t="str">
        <f>HYPERLINK("https://www.nba.com/game/...-vs-...-0021300898/play-by-play?watchFullGame=true", "SAS vs CLE - Q2 04:02.00")</f>
        <v>SAS vs CLE - Q2 04:02.00</v>
      </c>
      <c r="M5355">
        <v>0</v>
      </c>
      <c r="N5355">
        <v>1</v>
      </c>
      <c r="O5355">
        <v>0</v>
      </c>
      <c r="P5355">
        <v>1</v>
      </c>
      <c r="Q5355">
        <v>0</v>
      </c>
      <c r="R5355" t="s">
        <v>21</v>
      </c>
      <c r="S5355" t="s">
        <v>21</v>
      </c>
    </row>
    <row r="5356" spans="1:19" hidden="1" x14ac:dyDescent="0.25">
      <c r="A5356">
        <v>41200403</v>
      </c>
      <c r="B5356" t="s">
        <v>18</v>
      </c>
      <c r="C5356" t="s">
        <v>23</v>
      </c>
      <c r="D5356">
        <v>40</v>
      </c>
      <c r="E5356">
        <v>30</v>
      </c>
      <c r="F5356">
        <v>10</v>
      </c>
      <c r="G5356">
        <v>2</v>
      </c>
      <c r="H5356" s="1">
        <v>3.2060185185185186E-3</v>
      </c>
      <c r="I5356" t="s">
        <v>53</v>
      </c>
      <c r="J5356" t="s">
        <v>20</v>
      </c>
      <c r="K5356" s="2" t="str">
        <f>HYPERLINK("https://www.nba.com/stats/events?CFID=&amp;CFPARAMS=&amp;GameEventID=192&amp;GameID=0041200403&amp;Season=2012-13&amp;flag=1&amp;title=Leonard%20%20Dunk%20(7%20PTS)%20(Duncan%201%20AST)", "Leonard  Dunk (7 PTS) (Duncan 1 AST)")</f>
        <v>Leonard  Dunk (7 PTS) (Duncan 1 AST)</v>
      </c>
      <c r="L5356" s="2" t="str">
        <f>HYPERLINK("https://www.nba.com/game/...-vs-...-0041200403/play-by-play?watchFullGame=true", "SAS vs MIA - Q2 04:37.00")</f>
        <v>SAS vs MIA - Q2 04:37.00</v>
      </c>
      <c r="M5356">
        <v>0</v>
      </c>
      <c r="N5356">
        <v>1</v>
      </c>
      <c r="O5356">
        <v>1</v>
      </c>
      <c r="P5356">
        <v>1</v>
      </c>
      <c r="Q5356">
        <v>1</v>
      </c>
      <c r="R5356" t="s">
        <v>21</v>
      </c>
      <c r="S5356" t="s">
        <v>21</v>
      </c>
    </row>
    <row r="5357" spans="1:19" hidden="1" x14ac:dyDescent="0.25">
      <c r="A5357">
        <v>21300068</v>
      </c>
      <c r="B5357" t="s">
        <v>18</v>
      </c>
      <c r="C5357" t="s">
        <v>70</v>
      </c>
      <c r="D5357">
        <v>18</v>
      </c>
      <c r="E5357">
        <v>11</v>
      </c>
      <c r="F5357">
        <v>7</v>
      </c>
      <c r="G5357">
        <v>1</v>
      </c>
      <c r="H5357" s="1">
        <v>3.4953703703703705E-3</v>
      </c>
      <c r="I5357">
        <v>2013</v>
      </c>
      <c r="J5357" t="s">
        <v>20</v>
      </c>
      <c r="K5357" s="2" t="str">
        <f>HYPERLINK("https://www.nba.com/stats/events?CFID=&amp;CFPARAMS=&amp;GameEventID=63&amp;GameID=0021300068&amp;Season=2013-14&amp;flag=1&amp;title=Leonard%20%20Slam%20Dunk%20(2%20PTS)%20(Ginobili%201%20AST)", "Leonard  Slam Dunk (2 PTS) (Ginobili 1 AST)")</f>
        <v>Leonard  Slam Dunk (2 PTS) (Ginobili 1 AST)</v>
      </c>
      <c r="L5357" s="2" t="str">
        <f>HYPERLINK("https://www.nba.com/game/...-vs-...-0021300068/play-by-play?watchFullGame=true", "SAS vs PHX - Q1 05:02.00")</f>
        <v>SAS vs PHX - Q1 05:02.00</v>
      </c>
      <c r="M5357">
        <v>0</v>
      </c>
      <c r="N5357">
        <v>1</v>
      </c>
      <c r="O5357">
        <v>0</v>
      </c>
      <c r="P5357">
        <v>1</v>
      </c>
      <c r="Q5357">
        <v>0</v>
      </c>
      <c r="R5357" t="s">
        <v>21</v>
      </c>
      <c r="S5357" t="s">
        <v>21</v>
      </c>
    </row>
    <row r="5358" spans="1:19" hidden="1" x14ac:dyDescent="0.25">
      <c r="A5358">
        <v>21300057</v>
      </c>
      <c r="B5358" t="s">
        <v>18</v>
      </c>
      <c r="C5358" t="s">
        <v>25</v>
      </c>
      <c r="D5358">
        <v>34</v>
      </c>
      <c r="E5358">
        <v>41</v>
      </c>
      <c r="F5358">
        <v>7</v>
      </c>
      <c r="G5358">
        <v>2</v>
      </c>
      <c r="H5358" s="1">
        <v>3.7037037037037038E-3</v>
      </c>
      <c r="I5358">
        <v>2013</v>
      </c>
      <c r="J5358" t="s">
        <v>20</v>
      </c>
      <c r="K5358" s="2" t="str">
        <f>HYPERLINK("https://www.nba.com/stats/events?CFID=&amp;CFPARAMS=&amp;GameEventID=205&amp;GameID=0021300057&amp;Season=2013-14&amp;flag=1&amp;title=Leonard%20Driving%20Dunk%20(2%20PTS)%20(Parker%203%20AST)", "Leonard Driving Dunk (2 PTS) (Parker 3 AST)")</f>
        <v>Leonard Driving Dunk (2 PTS) (Parker 3 AST)</v>
      </c>
      <c r="L5358" s="2" t="str">
        <f>HYPERLINK("https://www.nba.com/game/...-vs-...-0021300057/play-by-play?watchFullGame=true", "SAS vs DEN - Q2 05:20.00")</f>
        <v>SAS vs DEN - Q2 05:20.00</v>
      </c>
      <c r="M5358">
        <v>0</v>
      </c>
      <c r="N5358">
        <v>1</v>
      </c>
      <c r="O5358">
        <v>1</v>
      </c>
      <c r="P5358">
        <v>1</v>
      </c>
      <c r="Q5358">
        <v>1</v>
      </c>
      <c r="R5358" t="s">
        <v>21</v>
      </c>
      <c r="S5358" t="s">
        <v>21</v>
      </c>
    </row>
    <row r="5359" spans="1:19" hidden="1" x14ac:dyDescent="0.25">
      <c r="A5359">
        <v>21300296</v>
      </c>
      <c r="B5359" t="s">
        <v>18</v>
      </c>
      <c r="C5359" t="s">
        <v>23</v>
      </c>
      <c r="D5359">
        <v>56</v>
      </c>
      <c r="E5359">
        <v>68</v>
      </c>
      <c r="F5359">
        <v>12</v>
      </c>
      <c r="G5359">
        <v>3</v>
      </c>
      <c r="H5359" s="1">
        <v>4.2361111111111115E-3</v>
      </c>
      <c r="I5359">
        <v>2013</v>
      </c>
      <c r="J5359" t="s">
        <v>20</v>
      </c>
      <c r="K5359" s="2" t="str">
        <f>HYPERLINK("https://www.nba.com/stats/events?CFID=&amp;CFPARAMS=&amp;GameEventID=257&amp;GameID=0021300296&amp;Season=2013-14&amp;flag=1&amp;title=Leonard%20Dunk%20(11%20PTS)%20(Duncan%204%20AST)", "Leonard Dunk (11 PTS) (Duncan 4 AST)")</f>
        <v>Leonard Dunk (11 PTS) (Duncan 4 AST)</v>
      </c>
      <c r="L5359" s="2" t="str">
        <f>HYPERLINK("https://www.nba.com/game/...-vs-...-0021300296/play-by-play?watchFullGame=true", "SAS vs IND - Q3 06:06.00")</f>
        <v>SAS vs IND - Q3 06:06.00</v>
      </c>
      <c r="M5359">
        <v>0</v>
      </c>
      <c r="N5359">
        <v>1</v>
      </c>
      <c r="O5359">
        <v>1</v>
      </c>
      <c r="P5359">
        <v>1</v>
      </c>
      <c r="Q5359">
        <v>1</v>
      </c>
      <c r="R5359" t="s">
        <v>21</v>
      </c>
      <c r="S5359" t="s">
        <v>21</v>
      </c>
    </row>
    <row r="5360" spans="1:19" hidden="1" x14ac:dyDescent="0.25">
      <c r="A5360">
        <v>21300039</v>
      </c>
      <c r="B5360" t="s">
        <v>18</v>
      </c>
      <c r="C5360" t="s">
        <v>23</v>
      </c>
      <c r="D5360">
        <v>52</v>
      </c>
      <c r="E5360">
        <v>60</v>
      </c>
      <c r="F5360">
        <v>8</v>
      </c>
      <c r="G5360">
        <v>3</v>
      </c>
      <c r="H5360" s="1">
        <v>4.9652777777777777E-3</v>
      </c>
      <c r="I5360">
        <v>2013</v>
      </c>
      <c r="J5360" t="s">
        <v>20</v>
      </c>
      <c r="K5360" s="2" t="str">
        <f>HYPERLINK("https://www.nba.com/stats/events?CFID=&amp;CFPARAMS=&amp;GameEventID=279&amp;GameID=0021300039&amp;Season=2013-14&amp;flag=1&amp;title=Leonard%20%20Dunk%20(9%20PTS)%20(Parker%207%20AST)", "Leonard  Dunk (9 PTS) (Parker 7 AST)")</f>
        <v>Leonard  Dunk (9 PTS) (Parker 7 AST)</v>
      </c>
      <c r="L5360" s="2" t="str">
        <f>HYPERLINK("https://www.nba.com/game/...-vs-...-0021300039/play-by-play?watchFullGame=true", "SAS vs POR - Q3 07:09.00")</f>
        <v>SAS vs POR - Q3 07:09.00</v>
      </c>
      <c r="M5360">
        <v>0</v>
      </c>
      <c r="N5360">
        <v>1</v>
      </c>
      <c r="O5360">
        <v>3</v>
      </c>
      <c r="P5360">
        <v>1</v>
      </c>
      <c r="Q5360">
        <v>3</v>
      </c>
      <c r="R5360" t="s">
        <v>21</v>
      </c>
      <c r="S5360" t="s">
        <v>21</v>
      </c>
    </row>
    <row r="5361" spans="1:19" hidden="1" x14ac:dyDescent="0.25">
      <c r="A5361">
        <v>21800290</v>
      </c>
      <c r="B5361" t="s">
        <v>18</v>
      </c>
      <c r="C5361" t="s">
        <v>25</v>
      </c>
      <c r="D5361">
        <v>81</v>
      </c>
      <c r="E5361">
        <v>61</v>
      </c>
      <c r="F5361">
        <v>20</v>
      </c>
      <c r="G5361">
        <v>3</v>
      </c>
      <c r="H5361" s="1">
        <v>5.9143518518518521E-3</v>
      </c>
      <c r="I5361">
        <v>2018</v>
      </c>
      <c r="J5361" t="s">
        <v>48</v>
      </c>
      <c r="K5361" s="2" t="str">
        <f>HYPERLINK("https://www.nba.com/stats/events?CFID=&amp;CFPARAMS=&amp;GameEventID=380&amp;GameID=0021800290&amp;Season=2018-19&amp;flag=1&amp;title=Leonard%20Driving%20Dunk%20(21%20PTS)", "Leonard Driving Dunk (21 PTS)")</f>
        <v>Leonard Driving Dunk (21 PTS)</v>
      </c>
      <c r="L5361" s="2" t="str">
        <f>HYPERLINK("https://www.nba.com/game/...-vs-...-0021800290/play-by-play?watchFullGame=true", "TOR vs MIA - Q3 08:31.00")</f>
        <v>TOR vs MIA - Q3 08:31.00</v>
      </c>
      <c r="M5361">
        <v>0</v>
      </c>
      <c r="N5361">
        <v>1</v>
      </c>
      <c r="O5361">
        <v>-1</v>
      </c>
      <c r="P5361">
        <v>1</v>
      </c>
      <c r="Q5361">
        <v>-1</v>
      </c>
      <c r="R5361" t="s">
        <v>21</v>
      </c>
      <c r="S5361" t="s">
        <v>21</v>
      </c>
    </row>
    <row r="5362" spans="1:19" hidden="1" x14ac:dyDescent="0.25">
      <c r="A5362">
        <v>21300554</v>
      </c>
      <c r="B5362" t="s">
        <v>18</v>
      </c>
      <c r="C5362" t="s">
        <v>23</v>
      </c>
      <c r="D5362">
        <v>58</v>
      </c>
      <c r="E5362">
        <v>51</v>
      </c>
      <c r="F5362">
        <v>7</v>
      </c>
      <c r="G5362">
        <v>3</v>
      </c>
      <c r="H5362" s="1">
        <v>6.5509259259259262E-3</v>
      </c>
      <c r="I5362">
        <v>2013</v>
      </c>
      <c r="J5362" t="s">
        <v>20</v>
      </c>
      <c r="K5362" s="2" t="str">
        <f>HYPERLINK("https://www.nba.com/stats/events?CFID=&amp;CFPARAMS=&amp;GameEventID=259&amp;GameID=0021300554&amp;Season=2013-14&amp;flag=1&amp;title=Leonard%20%20Dunk%20(6%20PTS)%20(Duncan%205%20AST)", "Leonard  Dunk (6 PTS) (Duncan 5 AST)")</f>
        <v>Leonard  Dunk (6 PTS) (Duncan 5 AST)</v>
      </c>
      <c r="L5362" s="2" t="str">
        <f>HYPERLINK("https://www.nba.com/game/...-vs-...-0021300554/play-by-play?watchFullGame=true", "SAS vs MIN - Q3 09:26.00")</f>
        <v>SAS vs MIN - Q3 09:26.00</v>
      </c>
      <c r="M5362">
        <v>0</v>
      </c>
      <c r="N5362">
        <v>1</v>
      </c>
      <c r="O5362">
        <v>1</v>
      </c>
      <c r="P5362">
        <v>1</v>
      </c>
      <c r="Q5362">
        <v>1</v>
      </c>
      <c r="R5362" t="s">
        <v>21</v>
      </c>
      <c r="S5362" t="s">
        <v>21</v>
      </c>
    </row>
    <row r="5363" spans="1:19" hidden="1" x14ac:dyDescent="0.25">
      <c r="A5363">
        <v>21300349</v>
      </c>
      <c r="B5363" t="s">
        <v>18</v>
      </c>
      <c r="C5363" t="s">
        <v>23</v>
      </c>
      <c r="D5363">
        <v>57</v>
      </c>
      <c r="E5363">
        <v>45</v>
      </c>
      <c r="F5363">
        <v>12</v>
      </c>
      <c r="G5363">
        <v>3</v>
      </c>
      <c r="H5363" s="1">
        <v>6.8634259259259256E-3</v>
      </c>
      <c r="I5363">
        <v>2013</v>
      </c>
      <c r="J5363" t="s">
        <v>20</v>
      </c>
      <c r="K5363" s="2" t="str">
        <f>HYPERLINK("https://www.nba.com/stats/events?CFID=&amp;CFPARAMS=&amp;GameEventID=239&amp;GameID=0021300349&amp;Season=2013-14&amp;flag=1&amp;title=Leonard%20%20Dunk%20(8%20PTS)%20(Ayres%201%20AST)", "Leonard  Dunk (8 PTS) (Ayres 1 AST)")</f>
        <v>Leonard  Dunk (8 PTS) (Ayres 1 AST)</v>
      </c>
      <c r="L5363" s="2" t="str">
        <f>HYPERLINK("https://www.nba.com/game/...-vs-...-0021300349/play-by-play?watchFullGame=true", "SAS vs UTA - Q3 09:53.00")</f>
        <v>SAS vs UTA - Q3 09:53.00</v>
      </c>
      <c r="M5363">
        <v>0</v>
      </c>
      <c r="N5363">
        <v>1</v>
      </c>
      <c r="O5363">
        <v>0</v>
      </c>
      <c r="P5363">
        <v>1</v>
      </c>
      <c r="Q5363">
        <v>0</v>
      </c>
      <c r="R5363" t="s">
        <v>21</v>
      </c>
      <c r="S5363" t="s">
        <v>21</v>
      </c>
    </row>
    <row r="5364" spans="1:19" hidden="1" x14ac:dyDescent="0.25">
      <c r="A5364">
        <v>21301174</v>
      </c>
      <c r="B5364" t="s">
        <v>18</v>
      </c>
      <c r="C5364" t="s">
        <v>79</v>
      </c>
      <c r="D5364">
        <v>55</v>
      </c>
      <c r="E5364">
        <v>51</v>
      </c>
      <c r="F5364">
        <v>4</v>
      </c>
      <c r="G5364">
        <v>3</v>
      </c>
      <c r="H5364" s="1">
        <v>7.3148148148148148E-3</v>
      </c>
      <c r="I5364">
        <v>2013</v>
      </c>
      <c r="J5364" t="s">
        <v>20</v>
      </c>
      <c r="K5364" s="2" t="str">
        <f>HYPERLINK("https://www.nba.com/stats/events?CFID=&amp;CFPARAMS=&amp;GameEventID=299&amp;GameID=0021301174&amp;Season=2013-14&amp;flag=1&amp;title=Leonard%20%20Running%20Slam%20Dunk%20(13%20PTS)", "Leonard  Running Slam Dunk (13 PTS)")</f>
        <v>Leonard  Running Slam Dunk (13 PTS)</v>
      </c>
      <c r="L5364" s="2" t="str">
        <f>HYPERLINK("https://www.nba.com/game/...-vs-...-0021301174/play-by-play?watchFullGame=true", "SAS vs DAL - Q3 10:32.00")</f>
        <v>SAS vs DAL - Q3 10:32.00</v>
      </c>
      <c r="M5364">
        <v>0</v>
      </c>
      <c r="N5364">
        <v>1</v>
      </c>
      <c r="O5364">
        <v>1</v>
      </c>
      <c r="P5364">
        <v>1</v>
      </c>
      <c r="Q5364">
        <v>1</v>
      </c>
      <c r="R5364" t="s">
        <v>21</v>
      </c>
      <c r="S5364" t="s">
        <v>21</v>
      </c>
    </row>
    <row r="5365" spans="1:19" hidden="1" x14ac:dyDescent="0.25">
      <c r="A5365">
        <v>21301092</v>
      </c>
      <c r="B5365" t="s">
        <v>18</v>
      </c>
      <c r="C5365" t="s">
        <v>23</v>
      </c>
      <c r="D5365">
        <v>55</v>
      </c>
      <c r="E5365">
        <v>37</v>
      </c>
      <c r="F5365">
        <v>18</v>
      </c>
      <c r="G5365">
        <v>3</v>
      </c>
      <c r="H5365" s="1">
        <v>7.6388888888888886E-3</v>
      </c>
      <c r="I5365">
        <v>2013</v>
      </c>
      <c r="J5365" t="s">
        <v>20</v>
      </c>
      <c r="K5365" s="2" t="str">
        <f>HYPERLINK("https://www.nba.com/stats/events?CFID=&amp;CFPARAMS=&amp;GameEventID=222&amp;GameID=0021301092&amp;Season=2013-14&amp;flag=1&amp;title=Leonard%20%20Dunk%20(14%20PTS)%20(Duncan%205%20AST)", "Leonard  Dunk (14 PTS) (Duncan 5 AST)")</f>
        <v>Leonard  Dunk (14 PTS) (Duncan 5 AST)</v>
      </c>
      <c r="L5365" s="2" t="str">
        <f>HYPERLINK("https://www.nba.com/game/...-vs-...-0021301092/play-by-play?watchFullGame=true", "SAS vs NOP - Q3 11:00.00")</f>
        <v>SAS vs NOP - Q3 11:00.00</v>
      </c>
      <c r="M5365">
        <v>0</v>
      </c>
      <c r="N5365">
        <v>1</v>
      </c>
      <c r="O5365">
        <v>1</v>
      </c>
      <c r="P5365">
        <v>1</v>
      </c>
      <c r="Q5365">
        <v>1</v>
      </c>
      <c r="R5365" t="s">
        <v>21</v>
      </c>
      <c r="S5365" t="s">
        <v>21</v>
      </c>
    </row>
    <row r="5366" spans="1:19" hidden="1" x14ac:dyDescent="0.25">
      <c r="A5366">
        <v>41200313</v>
      </c>
      <c r="B5366" t="s">
        <v>18</v>
      </c>
      <c r="C5366" t="s">
        <v>23</v>
      </c>
      <c r="D5366">
        <v>15</v>
      </c>
      <c r="E5366">
        <v>29</v>
      </c>
      <c r="F5366">
        <v>14</v>
      </c>
      <c r="G5366">
        <v>2</v>
      </c>
      <c r="H5366" s="1">
        <v>8.0787037037037043E-3</v>
      </c>
      <c r="I5366" t="s">
        <v>53</v>
      </c>
      <c r="J5366" t="s">
        <v>20</v>
      </c>
      <c r="K5366" s="2" t="str">
        <f>HYPERLINK("https://www.nba.com/stats/events?CFID=&amp;CFPARAMS=&amp;GameEventID=126&amp;GameID=0041200313&amp;Season=2012-13&amp;flag=1&amp;title=Leonard%20%20Dunk%20(2%20PTS)", "Leonard  Dunk (2 PTS)")</f>
        <v>Leonard  Dunk (2 PTS)</v>
      </c>
      <c r="L5366" s="2" t="str">
        <f>HYPERLINK("https://www.nba.com/game/...-vs-...-0041200313/play-by-play?watchFullGame=true", "SAS vs MEM - Q2 11:38.00")</f>
        <v>SAS vs MEM - Q2 11:38.00</v>
      </c>
      <c r="M5366">
        <v>0</v>
      </c>
      <c r="N5366">
        <v>1</v>
      </c>
      <c r="O5366">
        <v>3</v>
      </c>
      <c r="P5366">
        <v>1</v>
      </c>
      <c r="Q5366">
        <v>3</v>
      </c>
      <c r="R5366" t="s">
        <v>21</v>
      </c>
      <c r="S5366" t="s">
        <v>21</v>
      </c>
    </row>
    <row r="5367" spans="1:19" hidden="1" x14ac:dyDescent="0.25">
      <c r="A5367">
        <v>21401071</v>
      </c>
      <c r="B5367" t="s">
        <v>26</v>
      </c>
      <c r="C5367" t="s">
        <v>19</v>
      </c>
      <c r="D5367">
        <v>71</v>
      </c>
      <c r="E5367">
        <v>50</v>
      </c>
      <c r="F5367">
        <v>21</v>
      </c>
      <c r="G5367">
        <v>2</v>
      </c>
      <c r="H5367" s="1">
        <v>0</v>
      </c>
      <c r="I5367">
        <v>2014</v>
      </c>
      <c r="J5367" t="s">
        <v>20</v>
      </c>
      <c r="K5367" s="2" t="str">
        <f>HYPERLINK("https://www.nba.com/stats/events?CFID=&amp;CFPARAMS=&amp;GameEventID=244&amp;GameID=0021401071&amp;Season=2014-15&amp;flag=1&amp;title=Leonard%20%203PT%20Jump%20Shot%20(12%20PTS)%20(Diaw%201%20AST)", "Leonard  3PT Jump Shot (12 PTS) (Diaw 1 AST)")</f>
        <v>Leonard  3PT Jump Shot (12 PTS) (Diaw 1 AST)</v>
      </c>
      <c r="L5367" s="2" t="str">
        <f>HYPERLINK("https://www.nba.com/game/...-vs-...-0021401071/play-by-play?watchFullGame=true", "SAS vs OKC - Q2 00:00.00")</f>
        <v>SAS vs OKC - Q2 00:00.00</v>
      </c>
      <c r="M5367">
        <v>0</v>
      </c>
      <c r="N5367">
        <v>-232</v>
      </c>
      <c r="O5367">
        <v>-3</v>
      </c>
      <c r="P5367">
        <v>-232</v>
      </c>
      <c r="Q5367">
        <v>-3</v>
      </c>
      <c r="R5367" t="s">
        <v>21</v>
      </c>
      <c r="S5367" t="s">
        <v>21</v>
      </c>
    </row>
    <row r="5368" spans="1:19" hidden="1" x14ac:dyDescent="0.25">
      <c r="A5368">
        <v>21401039</v>
      </c>
      <c r="B5368" t="s">
        <v>18</v>
      </c>
      <c r="C5368" t="s">
        <v>33</v>
      </c>
      <c r="D5368">
        <v>83</v>
      </c>
      <c r="E5368">
        <v>65</v>
      </c>
      <c r="F5368">
        <v>18</v>
      </c>
      <c r="G5368">
        <v>3</v>
      </c>
      <c r="H5368" s="1">
        <v>2.3148148148148147E-5</v>
      </c>
      <c r="I5368">
        <v>2014</v>
      </c>
      <c r="J5368" t="s">
        <v>20</v>
      </c>
      <c r="K5368" s="2" t="str">
        <f>HYPERLINK("https://www.nba.com/stats/events?CFID=&amp;CFPARAMS=&amp;GameEventID=379&amp;GameID=0021401039&amp;Season=2014-15&amp;flag=1&amp;title=Leonard%20%20Putback%20Layup%20(17%20PTS)", "Leonard  Putback Layup (17 PTS)")</f>
        <v>Leonard  Putback Layup (17 PTS)</v>
      </c>
      <c r="L5368" s="2" t="str">
        <f>HYPERLINK("https://www.nba.com/game/...-vs-...-0021401039/play-by-play?watchFullGame=true", "SAS vs ATL - Q3 00:02.00")</f>
        <v>SAS vs ATL - Q3 00:02.00</v>
      </c>
      <c r="M5368">
        <v>0</v>
      </c>
      <c r="N5368">
        <v>-2</v>
      </c>
      <c r="O5368">
        <v>0</v>
      </c>
      <c r="P5368">
        <v>-2</v>
      </c>
      <c r="Q5368">
        <v>0</v>
      </c>
      <c r="R5368" t="s">
        <v>21</v>
      </c>
      <c r="S5368" t="s">
        <v>21</v>
      </c>
    </row>
    <row r="5369" spans="1:19" hidden="1" x14ac:dyDescent="0.25">
      <c r="A5369">
        <v>41200405</v>
      </c>
      <c r="B5369" t="s">
        <v>26</v>
      </c>
      <c r="C5369" t="s">
        <v>19</v>
      </c>
      <c r="D5369">
        <v>32</v>
      </c>
      <c r="E5369">
        <v>19</v>
      </c>
      <c r="F5369">
        <v>13</v>
      </c>
      <c r="G5369">
        <v>1</v>
      </c>
      <c r="H5369" s="1">
        <v>5.4398148148148151E-5</v>
      </c>
      <c r="I5369" t="s">
        <v>53</v>
      </c>
      <c r="J5369" t="s">
        <v>20</v>
      </c>
      <c r="K5369" s="2" t="str">
        <f>HYPERLINK("https://www.nba.com/stats/events?CFID=&amp;CFPARAMS=&amp;GameEventID=122&amp;GameID=0041200405&amp;Season=2012-13&amp;flag=1&amp;title=Leonard%20%203PT%20Jump%20Shot%20(7%20PTS)%20(Ginobili%204%20AST)", "Leonard  3PT Jump Shot (7 PTS) (Ginobili 4 AST)")</f>
        <v>Leonard  3PT Jump Shot (7 PTS) (Ginobili 4 AST)</v>
      </c>
      <c r="L5369" s="2" t="str">
        <f>HYPERLINK("https://www.nba.com/game/...-vs-...-0041200405/play-by-play?watchFullGame=true", "SAS vs MIA - Q1 00:04.70")</f>
        <v>SAS vs MIA - Q1 00:04.70</v>
      </c>
      <c r="M5369">
        <v>0</v>
      </c>
      <c r="N5369">
        <v>233</v>
      </c>
      <c r="O5369">
        <v>-3</v>
      </c>
      <c r="P5369">
        <v>233</v>
      </c>
      <c r="Q5369">
        <v>-3</v>
      </c>
      <c r="R5369" t="s">
        <v>21</v>
      </c>
      <c r="S5369" t="s">
        <v>21</v>
      </c>
    </row>
    <row r="5370" spans="1:19" hidden="1" x14ac:dyDescent="0.25">
      <c r="A5370">
        <v>21300382</v>
      </c>
      <c r="B5370" t="s">
        <v>26</v>
      </c>
      <c r="C5370" t="s">
        <v>36</v>
      </c>
      <c r="D5370">
        <v>53</v>
      </c>
      <c r="E5370">
        <v>51</v>
      </c>
      <c r="F5370">
        <v>2</v>
      </c>
      <c r="G5370">
        <v>2</v>
      </c>
      <c r="H5370" s="1">
        <v>8.2175925925925917E-5</v>
      </c>
      <c r="I5370">
        <v>2013</v>
      </c>
      <c r="J5370" t="s">
        <v>20</v>
      </c>
      <c r="K5370" s="2" t="str">
        <f>HYPERLINK("https://www.nba.com/stats/events?CFID=&amp;CFPARAMS=&amp;GameEventID=235&amp;GameID=0021300382&amp;Season=2013-14&amp;flag=1&amp;title=Leonard%20%203PT%20Pullup%20Jump%20Shot%20(16%20PTS)%20(Diaw%206%20AST)", "Leonard  3PT Pullup Jump Shot (16 PTS) (Diaw 6 AST)")</f>
        <v>Leonard  3PT Pullup Jump Shot (16 PTS) (Diaw 6 AST)</v>
      </c>
      <c r="L5370" s="2" t="str">
        <f>HYPERLINK("https://www.nba.com/game/...-vs-...-0021300382/play-by-play?watchFullGame=true", "SAS vs GSW - Q2 00:07.10")</f>
        <v>SAS vs GSW - Q2 00:07.10</v>
      </c>
      <c r="M5370">
        <v>0</v>
      </c>
      <c r="N5370">
        <v>230</v>
      </c>
      <c r="O5370">
        <v>22</v>
      </c>
      <c r="P5370">
        <v>230</v>
      </c>
      <c r="Q5370">
        <v>22</v>
      </c>
      <c r="R5370" t="s">
        <v>21</v>
      </c>
      <c r="S5370" t="s">
        <v>21</v>
      </c>
    </row>
    <row r="5371" spans="1:19" hidden="1" x14ac:dyDescent="0.25">
      <c r="A5371">
        <v>41600154</v>
      </c>
      <c r="B5371" t="s">
        <v>26</v>
      </c>
      <c r="C5371" t="s">
        <v>19</v>
      </c>
      <c r="D5371">
        <v>108</v>
      </c>
      <c r="E5371">
        <v>108</v>
      </c>
      <c r="F5371">
        <v>0</v>
      </c>
      <c r="G5371">
        <v>5</v>
      </c>
      <c r="H5371" s="1">
        <v>1.3888888888888889E-4</v>
      </c>
      <c r="I5371" t="s">
        <v>58</v>
      </c>
      <c r="J5371" t="s">
        <v>20</v>
      </c>
      <c r="K5371" s="2" t="str">
        <f>HYPERLINK("https://www.nba.com/stats/events?CFID=&amp;CFPARAMS=&amp;GameEventID=583&amp;GameID=0041600154&amp;Season=2016-17&amp;flag=1&amp;title=Leonard%20%203PT%20Jump%20Shot%20(43%20PTS)%20(Mills%204%20AST)", "Leonard  3PT Jump Shot (43 PTS) (Mills 4 AST)")</f>
        <v>Leonard  3PT Jump Shot (43 PTS) (Mills 4 AST)</v>
      </c>
      <c r="L5371" s="2" t="str">
        <f>HYPERLINK("https://www.nba.com/game/...-vs-...-0041600154/play-by-play?watchFullGame=true", "SAS vs MEM - Q5 00:12.00")</f>
        <v>SAS vs MEM - Q5 00:12.00</v>
      </c>
      <c r="M5371">
        <v>0</v>
      </c>
      <c r="N5371">
        <v>-232</v>
      </c>
      <c r="O5371">
        <v>2</v>
      </c>
      <c r="P5371">
        <v>-232</v>
      </c>
      <c r="Q5371">
        <v>2</v>
      </c>
      <c r="R5371" t="s">
        <v>21</v>
      </c>
      <c r="S5371" t="s">
        <v>21</v>
      </c>
    </row>
    <row r="5372" spans="1:19" hidden="1" x14ac:dyDescent="0.25">
      <c r="A5372">
        <v>21801180</v>
      </c>
      <c r="B5372" t="s">
        <v>18</v>
      </c>
      <c r="C5372" t="s">
        <v>22</v>
      </c>
      <c r="D5372">
        <v>111</v>
      </c>
      <c r="E5372">
        <v>110</v>
      </c>
      <c r="F5372">
        <v>1</v>
      </c>
      <c r="G5372">
        <v>4</v>
      </c>
      <c r="H5372" s="1">
        <v>1.7361111111111112E-4</v>
      </c>
      <c r="I5372">
        <v>2018</v>
      </c>
      <c r="J5372" t="s">
        <v>48</v>
      </c>
      <c r="K5372" s="2" t="str">
        <f>HYPERLINK("https://www.nba.com/stats/events?CFID=&amp;CFPARAMS=&amp;GameEventID=610&amp;GameID=0021801180&amp;Season=2018-19&amp;flag=1&amp;title=Leonard%20Driving%20Layup%20(29%20PTS)%20(Lowry%2011%20AST)", "Leonard Driving Layup (29 PTS) (Lowry 11 AST)")</f>
        <v>Leonard Driving Layup (29 PTS) (Lowry 11 AST)</v>
      </c>
      <c r="L5372" s="2" t="str">
        <f>HYPERLINK("https://www.nba.com/game/...-vs-...-0021801180/play-by-play?watchFullGame=true", "TOR vs CHA - Q4 00:15.00")</f>
        <v>TOR vs CHA - Q4 00:15.00</v>
      </c>
      <c r="M5372">
        <v>0</v>
      </c>
      <c r="N5372">
        <v>0</v>
      </c>
      <c r="O5372">
        <v>4</v>
      </c>
      <c r="P5372">
        <v>0</v>
      </c>
      <c r="Q5372">
        <v>4</v>
      </c>
      <c r="R5372" t="s">
        <v>21</v>
      </c>
      <c r="S5372" t="s">
        <v>21</v>
      </c>
    </row>
    <row r="5373" spans="1:19" hidden="1" x14ac:dyDescent="0.25">
      <c r="A5373">
        <v>41300401</v>
      </c>
      <c r="B5373" t="s">
        <v>26</v>
      </c>
      <c r="C5373" t="s">
        <v>19</v>
      </c>
      <c r="D5373">
        <v>110</v>
      </c>
      <c r="E5373">
        <v>95</v>
      </c>
      <c r="F5373">
        <v>15</v>
      </c>
      <c r="G5373">
        <v>4</v>
      </c>
      <c r="H5373" s="1">
        <v>2.0254629629629629E-4</v>
      </c>
      <c r="I5373" t="s">
        <v>55</v>
      </c>
      <c r="J5373" t="s">
        <v>20</v>
      </c>
      <c r="K5373" s="2" t="str">
        <f>HYPERLINK("https://www.nba.com/stats/events?CFID=&amp;CFPARAMS=&amp;GameEventID=463&amp;GameID=0041300401&amp;Season=2013-14&amp;flag=1&amp;title=Leonard%20%203PT%20Jump%20Shot%20(9%20PTS)%20(Ginobili%2011%20AST)", "Leonard  3PT Jump Shot (9 PTS) (Ginobili 11 AST)")</f>
        <v>Leonard  3PT Jump Shot (9 PTS) (Ginobili 11 AST)</v>
      </c>
      <c r="L5373" s="2" t="str">
        <f>HYPERLINK("https://www.nba.com/game/...-vs-...-0041300401/play-by-play?watchFullGame=true", "SAS vs MIA - Q4 00:17.50")</f>
        <v>SAS vs MIA - Q4 00:17.50</v>
      </c>
      <c r="M5373">
        <v>0</v>
      </c>
      <c r="N5373">
        <v>228</v>
      </c>
      <c r="O5373">
        <v>0</v>
      </c>
      <c r="P5373">
        <v>228</v>
      </c>
      <c r="Q5373">
        <v>0</v>
      </c>
      <c r="R5373" t="s">
        <v>21</v>
      </c>
      <c r="S5373" t="s">
        <v>21</v>
      </c>
    </row>
    <row r="5374" spans="1:19" hidden="1" x14ac:dyDescent="0.25">
      <c r="A5374">
        <v>21801083</v>
      </c>
      <c r="B5374" t="s">
        <v>26</v>
      </c>
      <c r="C5374" t="s">
        <v>19</v>
      </c>
      <c r="D5374">
        <v>109</v>
      </c>
      <c r="E5374">
        <v>114</v>
      </c>
      <c r="F5374">
        <v>5</v>
      </c>
      <c r="G5374">
        <v>4</v>
      </c>
      <c r="H5374" s="1">
        <v>2.4074074074074075E-4</v>
      </c>
      <c r="I5374">
        <v>2018</v>
      </c>
      <c r="J5374" t="s">
        <v>48</v>
      </c>
      <c r="K5374" s="2" t="str">
        <f>HYPERLINK("https://www.nba.com/stats/events?CFID=&amp;CFPARAMS=&amp;GameEventID=629&amp;GameID=0021801083&amp;Season=2018-19&amp;flag=1&amp;title=Leonard%203PT%20Jump%20Shot%20(37%20PTS)%20(VanVleet%205%20AST)", "Leonard 3PT Jump Shot (37 PTS) (VanVleet 5 AST)")</f>
        <v>Leonard 3PT Jump Shot (37 PTS) (VanVleet 5 AST)</v>
      </c>
      <c r="L5374" s="2" t="str">
        <f>HYPERLINK("https://www.nba.com/game/...-vs-...-0021801083/play-by-play?watchFullGame=true", "TOR vs OKC - Q4 00:20.80")</f>
        <v>TOR vs OKC - Q4 00:20.80</v>
      </c>
      <c r="M5374">
        <v>0</v>
      </c>
      <c r="N5374">
        <v>229</v>
      </c>
      <c r="O5374">
        <v>11</v>
      </c>
      <c r="P5374">
        <v>229</v>
      </c>
      <c r="Q5374">
        <v>11</v>
      </c>
      <c r="R5374" t="s">
        <v>21</v>
      </c>
      <c r="S5374" t="s">
        <v>21</v>
      </c>
    </row>
    <row r="5375" spans="1:19" hidden="1" x14ac:dyDescent="0.25">
      <c r="A5375">
        <v>41200233</v>
      </c>
      <c r="B5375" t="s">
        <v>26</v>
      </c>
      <c r="C5375" t="s">
        <v>36</v>
      </c>
      <c r="D5375">
        <v>79</v>
      </c>
      <c r="E5375">
        <v>69</v>
      </c>
      <c r="F5375">
        <v>10</v>
      </c>
      <c r="G5375">
        <v>3</v>
      </c>
      <c r="H5375" s="1">
        <v>3.6111111111111109E-4</v>
      </c>
      <c r="I5375" t="s">
        <v>53</v>
      </c>
      <c r="J5375" t="s">
        <v>20</v>
      </c>
      <c r="K5375" s="2" t="str">
        <f>HYPERLINK("https://www.nba.com/stats/events?CFID=&amp;CFPARAMS=&amp;GameEventID=352&amp;GameID=0041200233&amp;Season=2012-13&amp;flag=1&amp;title=Leonard%20%203PT%20Pullup%20Jump%20Shot%20(9%20PTS)%20(Ginobili%203%20AST)", "Leonard  3PT Pullup Jump Shot (9 PTS) (Ginobili 3 AST)")</f>
        <v>Leonard  3PT Pullup Jump Shot (9 PTS) (Ginobili 3 AST)</v>
      </c>
      <c r="L5375" s="2" t="str">
        <f>HYPERLINK("https://www.nba.com/game/...-vs-...-0041200233/play-by-play?watchFullGame=true", "SAS vs GSW - Q3 00:31.20")</f>
        <v>SAS vs GSW - Q3 00:31.20</v>
      </c>
      <c r="M5375">
        <v>0</v>
      </c>
      <c r="N5375">
        <v>-231</v>
      </c>
      <c r="O5375">
        <v>6</v>
      </c>
      <c r="P5375">
        <v>-231</v>
      </c>
      <c r="Q5375">
        <v>6</v>
      </c>
      <c r="R5375" t="s">
        <v>21</v>
      </c>
      <c r="S5375" t="s">
        <v>21</v>
      </c>
    </row>
    <row r="5376" spans="1:19" hidden="1" x14ac:dyDescent="0.25">
      <c r="A5376">
        <v>41800303</v>
      </c>
      <c r="B5376" t="s">
        <v>18</v>
      </c>
      <c r="C5376" t="s">
        <v>69</v>
      </c>
      <c r="D5376">
        <v>114</v>
      </c>
      <c r="E5376">
        <v>110</v>
      </c>
      <c r="F5376">
        <v>4</v>
      </c>
      <c r="G5376">
        <v>6</v>
      </c>
      <c r="H5376" s="1">
        <v>3.7500000000000001E-4</v>
      </c>
      <c r="I5376" t="s">
        <v>60</v>
      </c>
      <c r="J5376" t="s">
        <v>48</v>
      </c>
      <c r="K5376" s="2" t="str">
        <f>HYPERLINK("https://www.nba.com/stats/events?CFID=&amp;CFPARAMS=&amp;GameEventID=860&amp;GameID=0041800303&amp;Season=2018-19&amp;flag=1&amp;title=Leonard%20Driving%20Bank%20Hook%20Shot%20(34%20PTS)", "Leonard Driving Bank Hook Shot (34 PTS)")</f>
        <v>Leonard Driving Bank Hook Shot (34 PTS)</v>
      </c>
      <c r="L5376" s="2" t="str">
        <f>HYPERLINK("https://www.nba.com/game/...-vs-...-0041800303/play-by-play?watchFullGame=true", "TOR vs MIL - Q6 00:32.40")</f>
        <v>TOR vs MIL - Q6 00:32.40</v>
      </c>
      <c r="M5376">
        <v>0</v>
      </c>
      <c r="N5376">
        <v>-3</v>
      </c>
      <c r="O5376">
        <v>2</v>
      </c>
      <c r="P5376">
        <v>-3</v>
      </c>
      <c r="Q5376">
        <v>2</v>
      </c>
      <c r="R5376" t="s">
        <v>21</v>
      </c>
      <c r="S5376" t="s">
        <v>21</v>
      </c>
    </row>
    <row r="5377" spans="1:19" hidden="1" x14ac:dyDescent="0.25">
      <c r="A5377">
        <v>41500154</v>
      </c>
      <c r="B5377" t="s">
        <v>18</v>
      </c>
      <c r="C5377" t="s">
        <v>41</v>
      </c>
      <c r="D5377">
        <v>84</v>
      </c>
      <c r="E5377">
        <v>64</v>
      </c>
      <c r="F5377">
        <v>20</v>
      </c>
      <c r="G5377">
        <v>3</v>
      </c>
      <c r="H5377" s="1">
        <v>3.8078703703703701E-4</v>
      </c>
      <c r="I5377" t="s">
        <v>57</v>
      </c>
      <c r="J5377" t="s">
        <v>20</v>
      </c>
      <c r="K5377" s="2" t="str">
        <f>HYPERLINK("https://www.nba.com/stats/events?CFID=&amp;CFPARAMS=&amp;GameEventID=405&amp;GameID=0041500154&amp;Season=2015-16&amp;flag=1&amp;title=Leonard%20%20Tip%20Layup%20Shot%20(21%20PTS)", "Leonard  Tip Layup Shot (21 PTS)")</f>
        <v>Leonard  Tip Layup Shot (21 PTS)</v>
      </c>
      <c r="L5377" s="2" t="str">
        <f>HYPERLINK("https://www.nba.com/game/...-vs-...-0041500154/play-by-play?watchFullGame=true", "SAS vs MEM - Q3 00:32.90")</f>
        <v>SAS vs MEM - Q3 00:32.90</v>
      </c>
      <c r="M5377">
        <v>0</v>
      </c>
      <c r="N5377">
        <v>4</v>
      </c>
      <c r="O5377">
        <v>-1</v>
      </c>
      <c r="P5377">
        <v>4</v>
      </c>
      <c r="Q5377">
        <v>-1</v>
      </c>
      <c r="R5377" t="s">
        <v>21</v>
      </c>
      <c r="S5377" t="s">
        <v>21</v>
      </c>
    </row>
    <row r="5378" spans="1:19" hidden="1" x14ac:dyDescent="0.25">
      <c r="A5378">
        <v>41300403</v>
      </c>
      <c r="B5378" t="s">
        <v>26</v>
      </c>
      <c r="C5378" t="s">
        <v>19</v>
      </c>
      <c r="D5378">
        <v>38</v>
      </c>
      <c r="E5378">
        <v>23</v>
      </c>
      <c r="F5378">
        <v>15</v>
      </c>
      <c r="G5378">
        <v>1</v>
      </c>
      <c r="H5378" s="1">
        <v>3.8773148148148147E-4</v>
      </c>
      <c r="I5378" t="s">
        <v>55</v>
      </c>
      <c r="J5378" t="s">
        <v>20</v>
      </c>
      <c r="K5378" s="2" t="str">
        <f>HYPERLINK("https://www.nba.com/stats/events?CFID=&amp;CFPARAMS=&amp;GameEventID=118&amp;GameID=0041300403&amp;Season=2013-14&amp;flag=1&amp;title=Leonard%20%203PT%20Jump%20Shot%20(16%20PTS)%20(Mills%202%20AST)", "Leonard  3PT Jump Shot (16 PTS) (Mills 2 AST)")</f>
        <v>Leonard  3PT Jump Shot (16 PTS) (Mills 2 AST)</v>
      </c>
      <c r="L5378" s="2" t="str">
        <f>HYPERLINK("https://www.nba.com/game/...-vs-...-0041300403/play-by-play?watchFullGame=true", "SAS vs MIA - Q1 00:33.50")</f>
        <v>SAS vs MIA - Q1 00:33.50</v>
      </c>
      <c r="M5378">
        <v>0</v>
      </c>
      <c r="N5378">
        <v>-226</v>
      </c>
      <c r="O5378">
        <v>1</v>
      </c>
      <c r="P5378">
        <v>-226</v>
      </c>
      <c r="Q5378">
        <v>1</v>
      </c>
      <c r="R5378" t="s">
        <v>21</v>
      </c>
      <c r="S5378" t="s">
        <v>21</v>
      </c>
    </row>
    <row r="5379" spans="1:19" hidden="1" x14ac:dyDescent="0.25">
      <c r="A5379">
        <v>21500767</v>
      </c>
      <c r="B5379" t="s">
        <v>18</v>
      </c>
      <c r="C5379" t="s">
        <v>40</v>
      </c>
      <c r="D5379">
        <v>52</v>
      </c>
      <c r="E5379">
        <v>51</v>
      </c>
      <c r="F5379">
        <v>1</v>
      </c>
      <c r="G5379">
        <v>2</v>
      </c>
      <c r="H5379" s="1">
        <v>4.1203703703703704E-4</v>
      </c>
      <c r="I5379">
        <v>2015</v>
      </c>
      <c r="J5379" t="s">
        <v>20</v>
      </c>
      <c r="K5379" s="2" t="str">
        <f>HYPERLINK("https://www.nba.com/stats/events?CFID=&amp;CFPARAMS=&amp;GameEventID=264&amp;GameID=0021500767&amp;Season=2015-16&amp;flag=1&amp;title=Leonard%20%20Driving%20Finger%20Roll%20Layup%20(11%20PTS)", "Leonard  Driving Finger Roll Layup (11 PTS)")</f>
        <v>Leonard  Driving Finger Roll Layup (11 PTS)</v>
      </c>
      <c r="L5379" s="2" t="str">
        <f>HYPERLINK("https://www.nba.com/game/...-vs-...-0021500767/play-by-play?watchFullGame=true", "SAS vs LAL - Q2 00:35.60")</f>
        <v>SAS vs LAL - Q2 00:35.60</v>
      </c>
      <c r="M5379">
        <v>0</v>
      </c>
      <c r="N5379">
        <v>1</v>
      </c>
      <c r="O5379">
        <v>1</v>
      </c>
      <c r="P5379">
        <v>1</v>
      </c>
      <c r="Q5379">
        <v>1</v>
      </c>
      <c r="R5379" t="s">
        <v>21</v>
      </c>
      <c r="S5379" t="s">
        <v>21</v>
      </c>
    </row>
    <row r="5380" spans="1:19" hidden="1" x14ac:dyDescent="0.25">
      <c r="A5380">
        <v>41300221</v>
      </c>
      <c r="B5380" t="s">
        <v>18</v>
      </c>
      <c r="C5380" t="s">
        <v>23</v>
      </c>
      <c r="D5380">
        <v>56</v>
      </c>
      <c r="E5380">
        <v>32</v>
      </c>
      <c r="F5380">
        <v>24</v>
      </c>
      <c r="G5380">
        <v>2</v>
      </c>
      <c r="H5380" s="1">
        <v>2.9513888888888888E-3</v>
      </c>
      <c r="I5380" t="s">
        <v>55</v>
      </c>
      <c r="J5380" t="s">
        <v>20</v>
      </c>
      <c r="K5380" s="2" t="str">
        <f>HYPERLINK("https://www.nba.com/stats/events?CFID=&amp;CFPARAMS=&amp;GameEventID=215&amp;GameID=0041300221&amp;Season=2013-14&amp;flag=1&amp;title=Leonard%202'%20Dunk%20(9%20PTS)%20(Parker%203%20AST)", "Leonard 2' Dunk (9 PTS) (Parker 3 AST)")</f>
        <v>Leonard 2' Dunk (9 PTS) (Parker 3 AST)</v>
      </c>
      <c r="L5380" s="2" t="str">
        <f>HYPERLINK("https://www.nba.com/game/...-vs-...-0041300221/play-by-play?watchFullGame=true", "SAS vs POR - Q2 04:15.00")</f>
        <v>SAS vs POR - Q2 04:15.00</v>
      </c>
      <c r="M5380">
        <v>2</v>
      </c>
      <c r="N5380">
        <v>2</v>
      </c>
      <c r="O5380">
        <v>17</v>
      </c>
      <c r="P5380">
        <v>2</v>
      </c>
      <c r="Q5380">
        <v>17</v>
      </c>
      <c r="R5380" t="s">
        <v>21</v>
      </c>
      <c r="S5380" t="s">
        <v>21</v>
      </c>
    </row>
    <row r="5381" spans="1:19" hidden="1" x14ac:dyDescent="0.25">
      <c r="A5381">
        <v>21301102</v>
      </c>
      <c r="B5381" t="s">
        <v>18</v>
      </c>
      <c r="C5381" t="s">
        <v>70</v>
      </c>
      <c r="D5381">
        <v>85</v>
      </c>
      <c r="E5381">
        <v>69</v>
      </c>
      <c r="F5381">
        <v>16</v>
      </c>
      <c r="G5381">
        <v>4</v>
      </c>
      <c r="H5381" s="1">
        <v>4.1087962962962962E-3</v>
      </c>
      <c r="I5381">
        <v>2013</v>
      </c>
      <c r="J5381" t="s">
        <v>20</v>
      </c>
      <c r="K5381" s="2" t="str">
        <f>HYPERLINK("https://www.nba.com/stats/events?CFID=&amp;CFPARAMS=&amp;GameEventID=423&amp;GameID=0021301102&amp;Season=2013-14&amp;flag=1&amp;title=Leonard%202'%20Slam%20Dunk%20(11%20PTS)%20(Diaw%204%20AST)", "Leonard 2' Slam Dunk (11 PTS) (Diaw 4 AST)")</f>
        <v>Leonard 2' Slam Dunk (11 PTS) (Diaw 4 AST)</v>
      </c>
      <c r="L5381" s="2" t="str">
        <f>HYPERLINK("https://www.nba.com/game/...-vs-...-0021301102/play-by-play?watchFullGame=true", "SAS vs IND - Q4 05:55.00")</f>
        <v>SAS vs IND - Q4 05:55.00</v>
      </c>
      <c r="M5381">
        <v>2</v>
      </c>
      <c r="N5381">
        <v>2</v>
      </c>
      <c r="O5381">
        <v>22</v>
      </c>
      <c r="P5381">
        <v>2</v>
      </c>
      <c r="Q5381">
        <v>22</v>
      </c>
      <c r="R5381" t="s">
        <v>21</v>
      </c>
      <c r="S5381" t="s">
        <v>21</v>
      </c>
    </row>
    <row r="5382" spans="1:19" x14ac:dyDescent="0.25">
      <c r="A5382">
        <v>21800538</v>
      </c>
      <c r="B5382" t="s">
        <v>26</v>
      </c>
      <c r="C5382" t="s">
        <v>19</v>
      </c>
      <c r="D5382">
        <v>40</v>
      </c>
      <c r="E5382">
        <v>37</v>
      </c>
      <c r="F5382">
        <v>3</v>
      </c>
      <c r="G5382">
        <v>2</v>
      </c>
      <c r="H5382" s="1">
        <v>4.8842592592592601E-4</v>
      </c>
      <c r="I5382">
        <v>2018</v>
      </c>
      <c r="J5382" t="s">
        <v>48</v>
      </c>
      <c r="K5382" s="2" t="str">
        <f>HYPERLINK("https://www.nba.com/stats/events?CFID=&amp;CFPARAMS=&amp;GameEventID=274&amp;GameID=0021800538&amp;Season=2018-19&amp;flag=1&amp;title=Leonard%203PT%20Jump%20Shot%20(11%20PTS)", "Leonard 3PT Jump Shot (11 PTS)")</f>
        <v>Leonard 3PT Jump Shot (11 PTS)</v>
      </c>
      <c r="L5382" s="2" t="str">
        <f>HYPERLINK("https://www.nba.com/game/...-vs-...-0021800538/play-by-play?watchFullGame=true", "TOR vs CHI - Q2 00:42.20")</f>
        <v>TOR vs CHI - Q2 00:42.20</v>
      </c>
      <c r="M5382">
        <v>0</v>
      </c>
      <c r="N5382">
        <v>-231</v>
      </c>
      <c r="O5382">
        <v>-17</v>
      </c>
      <c r="P5382">
        <v>-231</v>
      </c>
      <c r="Q5382">
        <v>-17</v>
      </c>
      <c r="R5382" t="s">
        <v>21</v>
      </c>
      <c r="S5382" t="s">
        <v>21</v>
      </c>
    </row>
    <row r="5383" spans="1:19" hidden="1" x14ac:dyDescent="0.25">
      <c r="A5383">
        <v>41600154</v>
      </c>
      <c r="B5383" t="s">
        <v>26</v>
      </c>
      <c r="C5383" t="s">
        <v>19</v>
      </c>
      <c r="D5383">
        <v>94</v>
      </c>
      <c r="E5383">
        <v>92</v>
      </c>
      <c r="F5383">
        <v>2</v>
      </c>
      <c r="G5383">
        <v>4</v>
      </c>
      <c r="H5383" s="1">
        <v>5.0000000000000001E-4</v>
      </c>
      <c r="I5383" t="s">
        <v>58</v>
      </c>
      <c r="J5383" t="s">
        <v>20</v>
      </c>
      <c r="K5383" s="2" t="str">
        <f>HYPERLINK("https://www.nba.com/stats/events?CFID=&amp;CFPARAMS=&amp;GameEventID=495&amp;GameID=0041600154&amp;Season=2016-17&amp;flag=1&amp;title=Leonard%20%203PT%20Jump%20Shot%20(33%20PTS)%20(Mills%203%20AST)", "Leonard  3PT Jump Shot (33 PTS) (Mills 3 AST)")</f>
        <v>Leonard  3PT Jump Shot (33 PTS) (Mills 3 AST)</v>
      </c>
      <c r="L5383" s="2" t="str">
        <f>HYPERLINK("https://www.nba.com/game/...-vs-...-0041600154/play-by-play?watchFullGame=true", "SAS vs MEM - Q4 00:43.20")</f>
        <v>SAS vs MEM - Q4 00:43.20</v>
      </c>
      <c r="M5383">
        <v>0</v>
      </c>
      <c r="N5383">
        <v>-227</v>
      </c>
      <c r="O5383">
        <v>21</v>
      </c>
      <c r="P5383">
        <v>-227</v>
      </c>
      <c r="Q5383">
        <v>21</v>
      </c>
      <c r="R5383" t="s">
        <v>21</v>
      </c>
      <c r="S5383" t="s">
        <v>21</v>
      </c>
    </row>
    <row r="5384" spans="1:19" hidden="1" x14ac:dyDescent="0.25">
      <c r="A5384">
        <v>21600383</v>
      </c>
      <c r="B5384" t="s">
        <v>26</v>
      </c>
      <c r="C5384" t="s">
        <v>19</v>
      </c>
      <c r="D5384">
        <v>52</v>
      </c>
      <c r="E5384">
        <v>45</v>
      </c>
      <c r="F5384">
        <v>7</v>
      </c>
      <c r="G5384">
        <v>2</v>
      </c>
      <c r="H5384" s="1">
        <v>6.4004629629629622E-4</v>
      </c>
      <c r="I5384">
        <v>2016</v>
      </c>
      <c r="J5384" t="s">
        <v>20</v>
      </c>
      <c r="K5384" s="2" t="str">
        <f>HYPERLINK("https://www.nba.com/stats/events?CFID=&amp;CFPARAMS=&amp;GameEventID=219&amp;GameID=0021600383&amp;Season=2016-17&amp;flag=1&amp;title=Leonard%20%203PT%20Jump%20Shot%20(14%20PTS)%20(Ginobili%202%20AST)", "Leonard  3PT Jump Shot (14 PTS) (Ginobili 2 AST)")</f>
        <v>Leonard  3PT Jump Shot (14 PTS) (Ginobili 2 AST)</v>
      </c>
      <c r="L5384" s="2" t="str">
        <f>HYPERLINK("https://www.nba.com/game/...-vs-...-0021600383/play-by-play?watchFullGame=true", "SAS vs BOS - Q2 00:55.30")</f>
        <v>SAS vs BOS - Q2 00:55.30</v>
      </c>
      <c r="M5384">
        <v>0</v>
      </c>
      <c r="N5384">
        <v>230</v>
      </c>
      <c r="O5384">
        <v>-5</v>
      </c>
      <c r="P5384">
        <v>230</v>
      </c>
      <c r="Q5384">
        <v>-5</v>
      </c>
      <c r="R5384" t="s">
        <v>21</v>
      </c>
      <c r="S5384" t="s">
        <v>21</v>
      </c>
    </row>
    <row r="5385" spans="1:19" hidden="1" x14ac:dyDescent="0.25">
      <c r="A5385">
        <v>21301174</v>
      </c>
      <c r="B5385" t="s">
        <v>26</v>
      </c>
      <c r="C5385" t="s">
        <v>19</v>
      </c>
      <c r="D5385">
        <v>107</v>
      </c>
      <c r="E5385">
        <v>98</v>
      </c>
      <c r="F5385">
        <v>9</v>
      </c>
      <c r="G5385">
        <v>4</v>
      </c>
      <c r="H5385" s="1">
        <v>6.5856481481481484E-4</v>
      </c>
      <c r="I5385">
        <v>2013</v>
      </c>
      <c r="J5385" t="s">
        <v>20</v>
      </c>
      <c r="K5385" s="2" t="str">
        <f>HYPERLINK("https://www.nba.com/stats/events?CFID=&amp;CFPARAMS=&amp;GameEventID=545&amp;GameID=0021301174&amp;Season=2013-14&amp;flag=1&amp;title=Leonard%20%203PT%20Jump%20Shot%20(16%20PTS)%20(Ginobili%207%20AST)", "Leonard  3PT Jump Shot (16 PTS) (Ginobili 7 AST)")</f>
        <v>Leonard  3PT Jump Shot (16 PTS) (Ginobili 7 AST)</v>
      </c>
      <c r="L5385" s="2" t="str">
        <f>HYPERLINK("https://www.nba.com/game/...-vs-...-0021301174/play-by-play?watchFullGame=true", "SAS vs DAL - Q4 00:56.90")</f>
        <v>SAS vs DAL - Q4 00:56.90</v>
      </c>
      <c r="M5385">
        <v>0</v>
      </c>
      <c r="N5385">
        <v>-224</v>
      </c>
      <c r="O5385">
        <v>3</v>
      </c>
      <c r="P5385">
        <v>-224</v>
      </c>
      <c r="Q5385">
        <v>3</v>
      </c>
      <c r="R5385" t="s">
        <v>21</v>
      </c>
      <c r="S5385" t="s">
        <v>21</v>
      </c>
    </row>
    <row r="5386" spans="1:19" hidden="1" x14ac:dyDescent="0.25">
      <c r="A5386">
        <v>41200235</v>
      </c>
      <c r="B5386" t="s">
        <v>26</v>
      </c>
      <c r="C5386" t="s">
        <v>19</v>
      </c>
      <c r="D5386">
        <v>81</v>
      </c>
      <c r="E5386">
        <v>67</v>
      </c>
      <c r="F5386">
        <v>14</v>
      </c>
      <c r="G5386">
        <v>3</v>
      </c>
      <c r="H5386" s="1">
        <v>6.8171296296296296E-4</v>
      </c>
      <c r="I5386" t="s">
        <v>53</v>
      </c>
      <c r="J5386" t="s">
        <v>20</v>
      </c>
      <c r="K5386" s="2" t="str">
        <f>HYPERLINK("https://www.nba.com/stats/events?CFID=&amp;CFPARAMS=&amp;GameEventID=359&amp;GameID=0041200235&amp;Season=2012-13&amp;flag=1&amp;title=Leonard%20%203PT%20Jump%20Shot%20(14%20PTS)%20(Joseph%202%20AST)", "Leonard  3PT Jump Shot (14 PTS) (Joseph 2 AST)")</f>
        <v>Leonard  3PT Jump Shot (14 PTS) (Joseph 2 AST)</v>
      </c>
      <c r="L5386" s="2" t="str">
        <f>HYPERLINK("https://www.nba.com/game/...-vs-...-0041200235/play-by-play?watchFullGame=true", "SAS vs GSW - Q3 00:58.90")</f>
        <v>SAS vs GSW - Q3 00:58.90</v>
      </c>
      <c r="M5386">
        <v>0</v>
      </c>
      <c r="N5386">
        <v>228</v>
      </c>
      <c r="O5386">
        <v>9</v>
      </c>
      <c r="P5386">
        <v>228</v>
      </c>
      <c r="Q5386">
        <v>9</v>
      </c>
      <c r="R5386" t="s">
        <v>21</v>
      </c>
      <c r="S5386" t="s">
        <v>21</v>
      </c>
    </row>
    <row r="5387" spans="1:19" hidden="1" x14ac:dyDescent="0.25">
      <c r="A5387">
        <v>41300315</v>
      </c>
      <c r="B5387" t="s">
        <v>26</v>
      </c>
      <c r="C5387" t="s">
        <v>19</v>
      </c>
      <c r="D5387">
        <v>60</v>
      </c>
      <c r="E5387">
        <v>49</v>
      </c>
      <c r="F5387">
        <v>11</v>
      </c>
      <c r="G5387">
        <v>2</v>
      </c>
      <c r="H5387" s="1">
        <v>6.9444444444444447E-4</v>
      </c>
      <c r="I5387" t="s">
        <v>55</v>
      </c>
      <c r="J5387" t="s">
        <v>20</v>
      </c>
      <c r="K5387" s="2" t="str">
        <f>HYPERLINK("https://www.nba.com/stats/events?CFID=&amp;CFPARAMS=&amp;GameEventID=222&amp;GameID=0041300315&amp;Season=2013-14&amp;flag=1&amp;title=Leonard%20%203PT%20Jump%20Shot%20(10%20PTS)%20(Diaw%203%20AST)", "Leonard  3PT Jump Shot (10 PTS) (Diaw 3 AST)")</f>
        <v>Leonard  3PT Jump Shot (10 PTS) (Diaw 3 AST)</v>
      </c>
      <c r="L5387" s="2" t="str">
        <f>HYPERLINK("https://www.nba.com/game/...-vs-...-0041300315/play-by-play?watchFullGame=true", "SAS vs OKC - Q2 01:00.00")</f>
        <v>SAS vs OKC - Q2 01:00.00</v>
      </c>
      <c r="M5387">
        <v>0</v>
      </c>
      <c r="N5387">
        <v>231</v>
      </c>
      <c r="O5387">
        <v>23</v>
      </c>
      <c r="P5387">
        <v>231</v>
      </c>
      <c r="Q5387">
        <v>23</v>
      </c>
      <c r="R5387" t="s">
        <v>21</v>
      </c>
      <c r="S5387" t="s">
        <v>21</v>
      </c>
    </row>
    <row r="5388" spans="1:19" hidden="1" x14ac:dyDescent="0.25">
      <c r="A5388">
        <v>21801180</v>
      </c>
      <c r="B5388" t="s">
        <v>26</v>
      </c>
      <c r="C5388" t="s">
        <v>19</v>
      </c>
      <c r="D5388">
        <v>63</v>
      </c>
      <c r="E5388">
        <v>52</v>
      </c>
      <c r="F5388">
        <v>11</v>
      </c>
      <c r="G5388">
        <v>2</v>
      </c>
      <c r="H5388" s="1">
        <v>8.9120370370370373E-4</v>
      </c>
      <c r="I5388">
        <v>2018</v>
      </c>
      <c r="J5388" t="s">
        <v>48</v>
      </c>
      <c r="K5388" s="2" t="str">
        <f>HYPERLINK("https://www.nba.com/stats/events?CFID=&amp;CFPARAMS=&amp;GameEventID=302&amp;GameID=0021801180&amp;Season=2018-19&amp;flag=1&amp;title=Leonard%203PT%20Jump%20Shot%20(17%20PTS)%20(VanVleet%203%20AST)", "Leonard 3PT Jump Shot (17 PTS) (VanVleet 3 AST)")</f>
        <v>Leonard 3PT Jump Shot (17 PTS) (VanVleet 3 AST)</v>
      </c>
      <c r="L5388" s="2" t="str">
        <f>HYPERLINK("https://www.nba.com/game/...-vs-...-0021801180/play-by-play?watchFullGame=true", "TOR vs CHA - Q2 01:17.00")</f>
        <v>TOR vs CHA - Q2 01:17.00</v>
      </c>
      <c r="M5388">
        <v>0</v>
      </c>
      <c r="N5388">
        <v>-230</v>
      </c>
      <c r="O5388">
        <v>-7</v>
      </c>
      <c r="P5388">
        <v>-230</v>
      </c>
      <c r="Q5388">
        <v>-7</v>
      </c>
      <c r="R5388" t="s">
        <v>21</v>
      </c>
      <c r="S5388" t="s">
        <v>21</v>
      </c>
    </row>
    <row r="5389" spans="1:19" hidden="1" x14ac:dyDescent="0.25">
      <c r="A5389">
        <v>21800549</v>
      </c>
      <c r="B5389" t="s">
        <v>18</v>
      </c>
      <c r="C5389" t="s">
        <v>40</v>
      </c>
      <c r="D5389">
        <v>50</v>
      </c>
      <c r="E5389">
        <v>49</v>
      </c>
      <c r="F5389">
        <v>1</v>
      </c>
      <c r="G5389">
        <v>2</v>
      </c>
      <c r="H5389" s="1">
        <v>9.1435185185185185E-4</v>
      </c>
      <c r="I5389">
        <v>2018</v>
      </c>
      <c r="J5389" t="s">
        <v>48</v>
      </c>
      <c r="K5389" s="2" t="str">
        <f>HYPERLINK("https://www.nba.com/stats/events?CFID=&amp;CFPARAMS=&amp;GameEventID=283&amp;GameID=0021800549&amp;Season=2018-19&amp;flag=1&amp;title=Leonard%20Driving%20Finger%20Roll%20Layup%20(14%20PTS)%20(Miles%201%20AST)", "Leonard Driving Finger Roll Layup (14 PTS) (Miles 1 AST)")</f>
        <v>Leonard Driving Finger Roll Layup (14 PTS) (Miles 1 AST)</v>
      </c>
      <c r="L5389" s="2" t="str">
        <f>HYPERLINK("https://www.nba.com/game/...-vs-...-0021800549/play-by-play?watchFullGame=true", "TOR vs UTA - Q2 01:19.00")</f>
        <v>TOR vs UTA - Q2 01:19.00</v>
      </c>
      <c r="M5389">
        <v>0</v>
      </c>
      <c r="N5389">
        <v>2</v>
      </c>
      <c r="O5389">
        <v>4</v>
      </c>
      <c r="P5389">
        <v>2</v>
      </c>
      <c r="Q5389">
        <v>4</v>
      </c>
      <c r="R5389" t="s">
        <v>21</v>
      </c>
      <c r="S5389" t="s">
        <v>21</v>
      </c>
    </row>
    <row r="5390" spans="1:19" hidden="1" x14ac:dyDescent="0.25">
      <c r="A5390">
        <v>21600717</v>
      </c>
      <c r="B5390" t="s">
        <v>26</v>
      </c>
      <c r="C5390" t="s">
        <v>19</v>
      </c>
      <c r="D5390">
        <v>59</v>
      </c>
      <c r="E5390">
        <v>47</v>
      </c>
      <c r="F5390">
        <v>12</v>
      </c>
      <c r="G5390">
        <v>2</v>
      </c>
      <c r="H5390" s="1">
        <v>1.0069444444444444E-3</v>
      </c>
      <c r="I5390">
        <v>2016</v>
      </c>
      <c r="J5390" t="s">
        <v>20</v>
      </c>
      <c r="K5390" s="2" t="str">
        <f>HYPERLINK("https://www.nba.com/stats/events?CFID=&amp;CFPARAMS=&amp;GameEventID=255&amp;GameID=0021600717&amp;Season=2016-17&amp;flag=1&amp;title=Leonard%20%203PT%20Jump%20Shot%20(11%20PTS)%20(Lee%203%20AST)", "Leonard  3PT Jump Shot (11 PTS) (Lee 3 AST)")</f>
        <v>Leonard  3PT Jump Shot (11 PTS) (Lee 3 AST)</v>
      </c>
      <c r="L5390" s="2" t="str">
        <f>HYPERLINK("https://www.nba.com/game/...-vs-...-0021600717/play-by-play?watchFullGame=true", "SAS vs DAL - Q2 01:27.00")</f>
        <v>SAS vs DAL - Q2 01:27.00</v>
      </c>
      <c r="M5390">
        <v>0</v>
      </c>
      <c r="N5390">
        <v>-233</v>
      </c>
      <c r="O5390">
        <v>8</v>
      </c>
      <c r="P5390">
        <v>-233</v>
      </c>
      <c r="Q5390">
        <v>8</v>
      </c>
      <c r="R5390" t="s">
        <v>21</v>
      </c>
      <c r="S5390" t="s">
        <v>21</v>
      </c>
    </row>
    <row r="5391" spans="1:19" hidden="1" x14ac:dyDescent="0.25">
      <c r="A5391">
        <v>21500939</v>
      </c>
      <c r="B5391" t="s">
        <v>18</v>
      </c>
      <c r="C5391" t="s">
        <v>22</v>
      </c>
      <c r="D5391">
        <v>10</v>
      </c>
      <c r="E5391">
        <v>20</v>
      </c>
      <c r="F5391">
        <v>10</v>
      </c>
      <c r="G5391">
        <v>1</v>
      </c>
      <c r="H5391" s="1">
        <v>1.0069444444444444E-3</v>
      </c>
      <c r="I5391">
        <v>2015</v>
      </c>
      <c r="J5391" t="s">
        <v>20</v>
      </c>
      <c r="K5391" s="2" t="str">
        <f>HYPERLINK("https://www.nba.com/stats/events?CFID=&amp;CFPARAMS=&amp;GameEventID=98&amp;GameID=0021500939&amp;Season=2015-16&amp;flag=1&amp;title=Leonard%20Driving%20Layup%20(6%20PTS)", "Leonard Driving Layup (6 PTS)")</f>
        <v>Leonard Driving Layup (6 PTS)</v>
      </c>
      <c r="L5391" s="2" t="str">
        <f>HYPERLINK("https://www.nba.com/game/...-vs-...-0021500939/play-by-play?watchFullGame=true", "SAS vs IND - Q1 01:27.00")</f>
        <v>SAS vs IND - Q1 01:27.00</v>
      </c>
      <c r="M5391">
        <v>0</v>
      </c>
      <c r="N5391">
        <v>1</v>
      </c>
      <c r="O5391">
        <v>1</v>
      </c>
      <c r="P5391">
        <v>1</v>
      </c>
      <c r="Q5391">
        <v>1</v>
      </c>
      <c r="R5391" t="s">
        <v>21</v>
      </c>
      <c r="S5391" t="s">
        <v>21</v>
      </c>
    </row>
    <row r="5392" spans="1:19" hidden="1" x14ac:dyDescent="0.25">
      <c r="A5392">
        <v>21800371</v>
      </c>
      <c r="B5392" t="s">
        <v>18</v>
      </c>
      <c r="C5392" t="s">
        <v>46</v>
      </c>
      <c r="D5392">
        <v>40</v>
      </c>
      <c r="E5392">
        <v>44</v>
      </c>
      <c r="F5392">
        <v>4</v>
      </c>
      <c r="G5392">
        <v>2</v>
      </c>
      <c r="H5392" s="1">
        <v>2.0833333333333333E-3</v>
      </c>
      <c r="I5392">
        <v>2018</v>
      </c>
      <c r="J5392" t="s">
        <v>48</v>
      </c>
      <c r="K5392" s="2" t="str">
        <f>HYPERLINK("https://www.nba.com/stats/events?CFID=&amp;CFPARAMS=&amp;GameEventID=280&amp;GameID=0021800371&amp;Season=2018-19&amp;flag=1&amp;title=Leonard%201'%20Cutting%20Dunk%20Shot%20(9%20PTS)%20(Lowry%201%20AST)", "Leonard 1' Cutting Dunk Shot (9 PTS) (Lowry 1 AST)")</f>
        <v>Leonard 1' Cutting Dunk Shot (9 PTS) (Lowry 1 AST)</v>
      </c>
      <c r="L5392" s="2" t="str">
        <f>HYPERLINK("https://www.nba.com/game/...-vs-...-0021800371/play-by-play?watchFullGame=true", "TOR vs BKN - Q2 03:00.00")</f>
        <v>TOR vs BKN - Q2 03:00.00</v>
      </c>
      <c r="M5392">
        <v>1</v>
      </c>
      <c r="N5392">
        <v>2</v>
      </c>
      <c r="O5392">
        <v>6</v>
      </c>
      <c r="P5392">
        <v>2</v>
      </c>
      <c r="Q5392">
        <v>6</v>
      </c>
      <c r="R5392" t="s">
        <v>21</v>
      </c>
      <c r="S5392" t="s">
        <v>21</v>
      </c>
    </row>
    <row r="5393" spans="1:19" hidden="1" x14ac:dyDescent="0.25">
      <c r="A5393">
        <v>41200152</v>
      </c>
      <c r="B5393" t="s">
        <v>18</v>
      </c>
      <c r="C5393" t="s">
        <v>35</v>
      </c>
      <c r="D5393">
        <v>22</v>
      </c>
      <c r="E5393">
        <v>20</v>
      </c>
      <c r="F5393">
        <v>2</v>
      </c>
      <c r="G5393">
        <v>1</v>
      </c>
      <c r="H5393" s="1">
        <v>1.0648148148148149E-3</v>
      </c>
      <c r="I5393" t="s">
        <v>53</v>
      </c>
      <c r="J5393" t="s">
        <v>20</v>
      </c>
      <c r="K5393" s="2" t="str">
        <f>HYPERLINK("https://www.nba.com/stats/events?CFID=&amp;CFPARAMS=&amp;GameEventID=96&amp;GameID=0041200152&amp;Season=2012-13&amp;flag=1&amp;title=Leonard%20%20Reverse%20Layup%20(8%20PTS)%20(Ginobili%201%20AST)", "Leonard  Reverse Layup (8 PTS) (Ginobili 1 AST)")</f>
        <v>Leonard  Reverse Layup (8 PTS) (Ginobili 1 AST)</v>
      </c>
      <c r="L5393" s="2" t="str">
        <f>HYPERLINK("https://www.nba.com/game/...-vs-...-0041200152/play-by-play?watchFullGame=true", "SAS vs LAL - Q1 01:32.00")</f>
        <v>SAS vs LAL - Q1 01:32.00</v>
      </c>
      <c r="M5393">
        <v>0</v>
      </c>
      <c r="N5393">
        <v>-2</v>
      </c>
      <c r="O5393">
        <v>0</v>
      </c>
      <c r="P5393">
        <v>-2</v>
      </c>
      <c r="Q5393">
        <v>0</v>
      </c>
      <c r="R5393" t="s">
        <v>21</v>
      </c>
      <c r="S5393" t="s">
        <v>21</v>
      </c>
    </row>
    <row r="5394" spans="1:19" hidden="1" x14ac:dyDescent="0.25">
      <c r="A5394">
        <v>21301084</v>
      </c>
      <c r="B5394" t="s">
        <v>18</v>
      </c>
      <c r="C5394" t="s">
        <v>23</v>
      </c>
      <c r="D5394">
        <v>14</v>
      </c>
      <c r="E5394">
        <v>16</v>
      </c>
      <c r="F5394">
        <v>2</v>
      </c>
      <c r="G5394">
        <v>1</v>
      </c>
      <c r="H5394" s="1">
        <v>3.4837962962962965E-3</v>
      </c>
      <c r="I5394">
        <v>2013</v>
      </c>
      <c r="J5394" t="s">
        <v>20</v>
      </c>
      <c r="K5394" s="2" t="str">
        <f>HYPERLINK("https://www.nba.com/stats/events?CFID=&amp;CFPARAMS=&amp;GameEventID=61&amp;GameID=0021301084&amp;Season=2013-14&amp;flag=1&amp;title=Leonard%201'%20Dunk%20(2%20PTS)", "Leonard 1' Dunk (2 PTS)")</f>
        <v>Leonard 1' Dunk (2 PTS)</v>
      </c>
      <c r="L5394" s="2" t="str">
        <f>HYPERLINK("https://www.nba.com/game/...-vs-...-0021301084/play-by-play?watchFullGame=true", "SAS vs DEN - Q1 05:01.00")</f>
        <v>SAS vs DEN - Q1 05:01.00</v>
      </c>
      <c r="M5394">
        <v>1</v>
      </c>
      <c r="N5394">
        <v>2</v>
      </c>
      <c r="O5394">
        <v>7</v>
      </c>
      <c r="P5394">
        <v>2</v>
      </c>
      <c r="Q5394">
        <v>7</v>
      </c>
      <c r="R5394" t="s">
        <v>21</v>
      </c>
      <c r="S5394" t="s">
        <v>21</v>
      </c>
    </row>
    <row r="5395" spans="1:19" hidden="1" x14ac:dyDescent="0.25">
      <c r="A5395">
        <v>21301038</v>
      </c>
      <c r="B5395" t="s">
        <v>26</v>
      </c>
      <c r="C5395" t="s">
        <v>36</v>
      </c>
      <c r="D5395">
        <v>97</v>
      </c>
      <c r="E5395">
        <v>84</v>
      </c>
      <c r="F5395">
        <v>13</v>
      </c>
      <c r="G5395">
        <v>4</v>
      </c>
      <c r="H5395" s="1">
        <v>1.1226851851851851E-3</v>
      </c>
      <c r="I5395">
        <v>2013</v>
      </c>
      <c r="J5395" t="s">
        <v>20</v>
      </c>
      <c r="K5395" s="2" t="str">
        <f>HYPERLINK("https://www.nba.com/stats/events?CFID=&amp;CFPARAMS=&amp;GameEventID=527&amp;GameID=0021301038&amp;Season=2013-14&amp;flag=1&amp;title=Leonard%20%203PT%20Pullup%20Jump%20Shot%20(16%20PTS)%20(Splitter%203%20AST)", "Leonard  3PT Pullup Jump Shot (16 PTS) (Splitter 3 AST)")</f>
        <v>Leonard  3PT Pullup Jump Shot (16 PTS) (Splitter 3 AST)</v>
      </c>
      <c r="L5395" s="2" t="str">
        <f>HYPERLINK("https://www.nba.com/game/...-vs-...-0021301038/play-by-play?watchFullGame=true", "SAS vs GSW - Q4 01:37.00")</f>
        <v>SAS vs GSW - Q4 01:37.00</v>
      </c>
      <c r="M5395">
        <v>0</v>
      </c>
      <c r="N5395">
        <v>231</v>
      </c>
      <c r="O5395">
        <v>-10</v>
      </c>
      <c r="P5395">
        <v>231</v>
      </c>
      <c r="Q5395">
        <v>-10</v>
      </c>
      <c r="R5395" t="s">
        <v>21</v>
      </c>
      <c r="S5395" t="s">
        <v>21</v>
      </c>
    </row>
    <row r="5396" spans="1:19" hidden="1" x14ac:dyDescent="0.25">
      <c r="A5396">
        <v>21500235</v>
      </c>
      <c r="B5396" t="s">
        <v>26</v>
      </c>
      <c r="C5396" t="s">
        <v>19</v>
      </c>
      <c r="D5396">
        <v>39</v>
      </c>
      <c r="E5396">
        <v>42</v>
      </c>
      <c r="F5396">
        <v>3</v>
      </c>
      <c r="G5396">
        <v>2</v>
      </c>
      <c r="H5396" s="1">
        <v>1.1574074074074073E-3</v>
      </c>
      <c r="I5396">
        <v>2015</v>
      </c>
      <c r="J5396" t="s">
        <v>20</v>
      </c>
      <c r="K5396" s="2" t="str">
        <f>HYPERLINK("https://www.nba.com/stats/events?CFID=&amp;CFPARAMS=&amp;GameEventID=227&amp;GameID=0021500235&amp;Season=2015-16&amp;flag=1&amp;title=Leonard%20%203PT%20Jump%20Shot%20(12%20PTS)%20(Anderson%201%20AST)", "Leonard  3PT Jump Shot (12 PTS) (Anderson 1 AST)")</f>
        <v>Leonard  3PT Jump Shot (12 PTS) (Anderson 1 AST)</v>
      </c>
      <c r="L5396" s="2" t="str">
        <f>HYPERLINK("https://www.nba.com/game/...-vs-...-0021500235/play-by-play?watchFullGame=true", "SAS vs DEN - Q2 01:40.00")</f>
        <v>SAS vs DEN - Q2 01:40.00</v>
      </c>
      <c r="M5396">
        <v>0</v>
      </c>
      <c r="N5396">
        <v>233</v>
      </c>
      <c r="O5396">
        <v>2</v>
      </c>
      <c r="P5396">
        <v>233</v>
      </c>
      <c r="Q5396">
        <v>2</v>
      </c>
      <c r="R5396" t="s">
        <v>21</v>
      </c>
      <c r="S5396" t="s">
        <v>21</v>
      </c>
    </row>
    <row r="5397" spans="1:19" hidden="1" x14ac:dyDescent="0.25">
      <c r="A5397">
        <v>21600605</v>
      </c>
      <c r="B5397" t="s">
        <v>26</v>
      </c>
      <c r="C5397" t="s">
        <v>19</v>
      </c>
      <c r="D5397">
        <v>103</v>
      </c>
      <c r="E5397">
        <v>102</v>
      </c>
      <c r="F5397">
        <v>1</v>
      </c>
      <c r="G5397">
        <v>4</v>
      </c>
      <c r="H5397" s="1">
        <v>1.2962962962962963E-3</v>
      </c>
      <c r="I5397">
        <v>2016</v>
      </c>
      <c r="J5397" t="s">
        <v>20</v>
      </c>
      <c r="K5397" s="2" t="str">
        <f>HYPERLINK("https://www.nba.com/stats/events?CFID=&amp;CFPARAMS=&amp;GameEventID=516&amp;GameID=0021600605&amp;Season=2016-17&amp;flag=1&amp;title=Leonard%20%203PT%20Jump%20Shot%20(36%20PTS)%20(Parker%202%20AST)", "Leonard  3PT Jump Shot (36 PTS) (Parker 2 AST)")</f>
        <v>Leonard  3PT Jump Shot (36 PTS) (Parker 2 AST)</v>
      </c>
      <c r="L5397" s="2" t="str">
        <f>HYPERLINK("https://www.nba.com/game/...-vs-...-0021600605/play-by-play?watchFullGame=true", "SAS vs PHX - Q4 01:52.00")</f>
        <v>SAS vs PHX - Q4 01:52.00</v>
      </c>
      <c r="M5397">
        <v>0</v>
      </c>
      <c r="N5397">
        <v>-222</v>
      </c>
      <c r="O5397">
        <v>-10</v>
      </c>
      <c r="P5397">
        <v>-222</v>
      </c>
      <c r="Q5397">
        <v>-10</v>
      </c>
      <c r="R5397" t="s">
        <v>21</v>
      </c>
      <c r="S5397" t="s">
        <v>21</v>
      </c>
    </row>
    <row r="5398" spans="1:19" hidden="1" x14ac:dyDescent="0.25">
      <c r="A5398">
        <v>21800100</v>
      </c>
      <c r="B5398" t="s">
        <v>26</v>
      </c>
      <c r="C5398" t="s">
        <v>39</v>
      </c>
      <c r="D5398">
        <v>124</v>
      </c>
      <c r="E5398">
        <v>111</v>
      </c>
      <c r="F5398">
        <v>13</v>
      </c>
      <c r="G5398">
        <v>4</v>
      </c>
      <c r="H5398" s="1">
        <v>1.3425925925925925E-3</v>
      </c>
      <c r="I5398">
        <v>2018</v>
      </c>
      <c r="J5398" t="s">
        <v>48</v>
      </c>
      <c r="K5398" s="2" t="str">
        <f>HYPERLINK("https://www.nba.com/stats/events?CFID=&amp;CFPARAMS=&amp;GameEventID=733&amp;GameID=0021800100&amp;Season=2018-19&amp;flag=1&amp;title=Leonard%203PT%20Step%20Back%20Jump%20Shot%20(29%20PTS)%20(Lowry%2012%20AST)", "Leonard 3PT Step Back Jump Shot (29 PTS) (Lowry 12 AST)")</f>
        <v>Leonard 3PT Step Back Jump Shot (29 PTS) (Lowry 12 AST)</v>
      </c>
      <c r="L5398" s="2" t="str">
        <f>HYPERLINK("https://www.nba.com/game/...-vs-...-0021800100/play-by-play?watchFullGame=true", "TOR vs PHI - Q4 01:56.00")</f>
        <v>TOR vs PHI - Q4 01:56.00</v>
      </c>
      <c r="M5398">
        <v>0</v>
      </c>
      <c r="N5398">
        <v>-222</v>
      </c>
      <c r="O5398">
        <v>20</v>
      </c>
      <c r="P5398">
        <v>-222</v>
      </c>
      <c r="Q5398">
        <v>20</v>
      </c>
      <c r="R5398" t="s">
        <v>21</v>
      </c>
      <c r="S5398" t="s">
        <v>21</v>
      </c>
    </row>
    <row r="5399" spans="1:19" hidden="1" x14ac:dyDescent="0.25">
      <c r="A5399">
        <v>21800563</v>
      </c>
      <c r="B5399" t="s">
        <v>18</v>
      </c>
      <c r="C5399" t="s">
        <v>25</v>
      </c>
      <c r="D5399">
        <v>53</v>
      </c>
      <c r="E5399">
        <v>79</v>
      </c>
      <c r="F5399">
        <v>26</v>
      </c>
      <c r="G5399">
        <v>3</v>
      </c>
      <c r="H5399" s="1">
        <v>5.5439814814814813E-3</v>
      </c>
      <c r="I5399">
        <v>2018</v>
      </c>
      <c r="J5399" t="s">
        <v>48</v>
      </c>
      <c r="K5399" s="2" t="str">
        <f>HYPERLINK("https://www.nba.com/stats/events?CFID=&amp;CFPARAMS=&amp;GameEventID=355&amp;GameID=0021800563&amp;Season=2018-19&amp;flag=1&amp;title=Leonard%201'%20Driving%20Dunk%20(13%20PTS)%20(Ibaka%201%20AST)", "Leonard 1' Driving Dunk (13 PTS) (Ibaka 1 AST)")</f>
        <v>Leonard 1' Driving Dunk (13 PTS) (Ibaka 1 AST)</v>
      </c>
      <c r="L5399" s="2" t="str">
        <f>HYPERLINK("https://www.nba.com/game/...-vs-...-0021800563/play-by-play?watchFullGame=true", "TOR vs SAS - Q3 07:59.00")</f>
        <v>TOR vs SAS - Q3 07:59.00</v>
      </c>
      <c r="M5399">
        <v>1</v>
      </c>
      <c r="N5399">
        <v>2</v>
      </c>
      <c r="O5399">
        <v>7</v>
      </c>
      <c r="P5399">
        <v>2</v>
      </c>
      <c r="Q5399">
        <v>7</v>
      </c>
      <c r="R5399" t="s">
        <v>21</v>
      </c>
      <c r="S5399" t="s">
        <v>21</v>
      </c>
    </row>
    <row r="5400" spans="1:19" hidden="1" x14ac:dyDescent="0.25">
      <c r="A5400">
        <v>41800217</v>
      </c>
      <c r="B5400" t="s">
        <v>18</v>
      </c>
      <c r="C5400" t="s">
        <v>44</v>
      </c>
      <c r="D5400">
        <v>41</v>
      </c>
      <c r="E5400">
        <v>39</v>
      </c>
      <c r="F5400">
        <v>2</v>
      </c>
      <c r="G5400">
        <v>2</v>
      </c>
      <c r="H5400" s="1">
        <v>1.3773148148148147E-3</v>
      </c>
      <c r="I5400" t="s">
        <v>60</v>
      </c>
      <c r="J5400" t="s">
        <v>48</v>
      </c>
      <c r="K5400" s="2" t="str">
        <f>HYPERLINK("https://www.nba.com/stats/events?CFID=&amp;CFPARAMS=&amp;GameEventID=272&amp;GameID=0041800217&amp;Season=2018-19&amp;flag=1&amp;title=Leonard%20Driving%20Reverse%20Layup%20(15%20PTS)", "Leonard Driving Reverse Layup (15 PTS)")</f>
        <v>Leonard Driving Reverse Layup (15 PTS)</v>
      </c>
      <c r="L5400" s="2" t="str">
        <f>HYPERLINK("https://www.nba.com/game/...-vs-...-0041800217/play-by-play?watchFullGame=true", "TOR vs PHI - Q2 01:59.00")</f>
        <v>TOR vs PHI - Q2 01:59.00</v>
      </c>
      <c r="M5400">
        <v>0</v>
      </c>
      <c r="N5400">
        <v>-4</v>
      </c>
      <c r="O5400">
        <v>-2</v>
      </c>
      <c r="P5400">
        <v>-4</v>
      </c>
      <c r="Q5400">
        <v>-2</v>
      </c>
      <c r="R5400" t="s">
        <v>21</v>
      </c>
      <c r="S5400" t="s">
        <v>21</v>
      </c>
    </row>
    <row r="5401" spans="1:19" hidden="1" x14ac:dyDescent="0.25">
      <c r="A5401">
        <v>41200236</v>
      </c>
      <c r="B5401" t="s">
        <v>26</v>
      </c>
      <c r="C5401" t="s">
        <v>36</v>
      </c>
      <c r="D5401">
        <v>85</v>
      </c>
      <c r="E5401">
        <v>79</v>
      </c>
      <c r="F5401">
        <v>6</v>
      </c>
      <c r="G5401">
        <v>4</v>
      </c>
      <c r="H5401" s="1">
        <v>1.4004629629629629E-3</v>
      </c>
      <c r="I5401" t="s">
        <v>53</v>
      </c>
      <c r="J5401" t="s">
        <v>20</v>
      </c>
      <c r="K5401" s="2" t="str">
        <f>HYPERLINK("https://www.nba.com/stats/events?CFID=&amp;CFPARAMS=&amp;GameEventID=488&amp;GameID=0041200236&amp;Season=2012-13&amp;flag=1&amp;title=Leonard%20%203PT%20Pullup%20Jump%20Shot%20(16%20PTS)%20(Ginobili%2010%20AST)", "Leonard  3PT Pullup Jump Shot (16 PTS) (Ginobili 10 AST)")</f>
        <v>Leonard  3PT Pullup Jump Shot (16 PTS) (Ginobili 10 AST)</v>
      </c>
      <c r="L5401" s="2" t="str">
        <f>HYPERLINK("https://www.nba.com/game/...-vs-...-0041200236/play-by-play?watchFullGame=true", "SAS vs GSW - Q4 02:01.00")</f>
        <v>SAS vs GSW - Q4 02:01.00</v>
      </c>
      <c r="M5401">
        <v>0</v>
      </c>
      <c r="N5401">
        <v>-229</v>
      </c>
      <c r="O5401">
        <v>11</v>
      </c>
      <c r="P5401">
        <v>-229</v>
      </c>
      <c r="Q5401">
        <v>11</v>
      </c>
      <c r="R5401" t="s">
        <v>21</v>
      </c>
      <c r="S5401" t="s">
        <v>21</v>
      </c>
    </row>
    <row r="5402" spans="1:19" hidden="1" x14ac:dyDescent="0.25">
      <c r="A5402">
        <v>21300559</v>
      </c>
      <c r="B5402" t="s">
        <v>26</v>
      </c>
      <c r="C5402" t="s">
        <v>19</v>
      </c>
      <c r="D5402">
        <v>97</v>
      </c>
      <c r="E5402">
        <v>93</v>
      </c>
      <c r="F5402">
        <v>4</v>
      </c>
      <c r="G5402">
        <v>4</v>
      </c>
      <c r="H5402" s="1">
        <v>1.4467592592592592E-3</v>
      </c>
      <c r="I5402">
        <v>2013</v>
      </c>
      <c r="J5402" t="s">
        <v>20</v>
      </c>
      <c r="K5402" s="2" t="str">
        <f>HYPERLINK("https://www.nba.com/stats/events?CFID=&amp;CFPARAMS=&amp;GameEventID=491&amp;GameID=0021300559&amp;Season=2013-14&amp;flag=1&amp;title=Leonard%20%203PT%20Jump%20Shot%20(13%20PTS)%20(Ginobili%202%20AST)", "Leonard  3PT Jump Shot (13 PTS) (Ginobili 2 AST)")</f>
        <v>Leonard  3PT Jump Shot (13 PTS) (Ginobili 2 AST)</v>
      </c>
      <c r="L5402" s="2" t="str">
        <f>HYPERLINK("https://www.nba.com/game/...-vs-...-0021300559/play-by-play?watchFullGame=true", "SAS vs NOP - Q4 02:05.00")</f>
        <v>SAS vs NOP - Q4 02:05.00</v>
      </c>
      <c r="M5402">
        <v>0</v>
      </c>
      <c r="N5402">
        <v>-221</v>
      </c>
      <c r="O5402">
        <v>9</v>
      </c>
      <c r="P5402">
        <v>-221</v>
      </c>
      <c r="Q5402">
        <v>9</v>
      </c>
      <c r="R5402" t="s">
        <v>21</v>
      </c>
      <c r="S5402" t="s">
        <v>21</v>
      </c>
    </row>
    <row r="5403" spans="1:19" hidden="1" x14ac:dyDescent="0.25">
      <c r="A5403">
        <v>21601135</v>
      </c>
      <c r="B5403" t="s">
        <v>18</v>
      </c>
      <c r="C5403" t="s">
        <v>24</v>
      </c>
      <c r="D5403">
        <v>65</v>
      </c>
      <c r="E5403">
        <v>71</v>
      </c>
      <c r="F5403">
        <v>6</v>
      </c>
      <c r="G5403">
        <v>3</v>
      </c>
      <c r="H5403" s="1">
        <v>1.4467592592592592E-3</v>
      </c>
      <c r="I5403">
        <v>2016</v>
      </c>
      <c r="J5403" t="s">
        <v>20</v>
      </c>
      <c r="K5403" s="2" t="str">
        <f>HYPERLINK("https://www.nba.com/stats/events?CFID=&amp;CFPARAMS=&amp;GameEventID=408&amp;GameID=0021601135&amp;Season=2016-17&amp;flag=1&amp;title=Leonard%20%20Layup%20(18%20PTS)%20(Ginobili%204%20AST)", "Leonard  Layup (18 PTS) (Ginobili 4 AST)")</f>
        <v>Leonard  Layup (18 PTS) (Ginobili 4 AST)</v>
      </c>
      <c r="L5403" s="2" t="str">
        <f>HYPERLINK("https://www.nba.com/game/...-vs-...-0021601135/play-by-play?watchFullGame=true", "SAS vs OKC - Q3 02:05.00")</f>
        <v>SAS vs OKC - Q3 02:05.00</v>
      </c>
      <c r="M5403">
        <v>0</v>
      </c>
      <c r="N5403">
        <v>-2</v>
      </c>
      <c r="O5403">
        <v>2</v>
      </c>
      <c r="P5403">
        <v>-2</v>
      </c>
      <c r="Q5403">
        <v>2</v>
      </c>
      <c r="R5403" t="s">
        <v>21</v>
      </c>
      <c r="S5403" t="s">
        <v>21</v>
      </c>
    </row>
    <row r="5404" spans="1:19" hidden="1" x14ac:dyDescent="0.25">
      <c r="A5404">
        <v>21800388</v>
      </c>
      <c r="B5404" t="s">
        <v>26</v>
      </c>
      <c r="C5404" t="s">
        <v>39</v>
      </c>
      <c r="D5404">
        <v>97</v>
      </c>
      <c r="E5404">
        <v>94</v>
      </c>
      <c r="F5404">
        <v>3</v>
      </c>
      <c r="G5404">
        <v>4</v>
      </c>
      <c r="H5404" s="1">
        <v>1.4930555555555556E-3</v>
      </c>
      <c r="I5404">
        <v>2018</v>
      </c>
      <c r="J5404" t="s">
        <v>48</v>
      </c>
      <c r="K5404" s="2" t="str">
        <f>HYPERLINK("https://www.nba.com/stats/events?CFID=&amp;CFPARAMS=&amp;GameEventID=636&amp;GameID=0021800388&amp;Season=2018-19&amp;flag=1&amp;title=Leonard%203PT%20Step%20Back%20Jump%20Shot%20(20%20PTS)", "Leonard 3PT Step Back Jump Shot (20 PTS)")</f>
        <v>Leonard 3PT Step Back Jump Shot (20 PTS)</v>
      </c>
      <c r="L5404" s="2" t="str">
        <f>HYPERLINK("https://www.nba.com/game/...-vs-...-0021800388/play-by-play?watchFullGame=true", "TOR vs MIL - Q4 02:09.00")</f>
        <v>TOR vs MIL - Q4 02:09.00</v>
      </c>
      <c r="M5404">
        <v>0</v>
      </c>
      <c r="N5404">
        <v>228</v>
      </c>
      <c r="O5404">
        <v>15</v>
      </c>
      <c r="P5404">
        <v>228</v>
      </c>
      <c r="Q5404">
        <v>15</v>
      </c>
      <c r="R5404" t="s">
        <v>21</v>
      </c>
      <c r="S5404" t="s">
        <v>21</v>
      </c>
    </row>
    <row r="5405" spans="1:19" x14ac:dyDescent="0.25">
      <c r="A5405">
        <v>21801195</v>
      </c>
      <c r="B5405" t="s">
        <v>26</v>
      </c>
      <c r="C5405" t="s">
        <v>19</v>
      </c>
      <c r="D5405">
        <v>99</v>
      </c>
      <c r="E5405">
        <v>99</v>
      </c>
      <c r="F5405">
        <v>0</v>
      </c>
      <c r="G5405">
        <v>4</v>
      </c>
      <c r="H5405" s="1">
        <v>1.5046296296296296E-3</v>
      </c>
      <c r="I5405">
        <v>2018</v>
      </c>
      <c r="J5405" t="s">
        <v>48</v>
      </c>
      <c r="K5405" s="2" t="str">
        <f>HYPERLINK("https://www.nba.com/stats/events?CFID=&amp;CFPARAMS=&amp;GameEventID=589&amp;GameID=0021801195&amp;Season=2018-19&amp;flag=1&amp;title=Leonard%203PT%20Jump%20Shot%20(20%20PTS)%20(Gasol%206%20AST)", "Leonard 3PT Jump Shot (20 PTS) (Gasol 6 AST)")</f>
        <v>Leonard 3PT Jump Shot (20 PTS) (Gasol 6 AST)</v>
      </c>
      <c r="L5405" s="2" t="str">
        <f>HYPERLINK("https://www.nba.com/game/...-vs-...-0021801195/play-by-play?watchFullGame=true", "TOR vs MIA - Q4 02:10.00")</f>
        <v>TOR vs MIA - Q4 02:10.00</v>
      </c>
      <c r="M5405">
        <v>0</v>
      </c>
      <c r="N5405">
        <v>-225</v>
      </c>
      <c r="O5405">
        <v>-18</v>
      </c>
      <c r="P5405">
        <v>-225</v>
      </c>
      <c r="Q5405">
        <v>-18</v>
      </c>
      <c r="R5405" t="s">
        <v>21</v>
      </c>
      <c r="S5405" t="s">
        <v>21</v>
      </c>
    </row>
    <row r="5406" spans="1:19" hidden="1" x14ac:dyDescent="0.25">
      <c r="A5406">
        <v>21800427</v>
      </c>
      <c r="B5406" t="s">
        <v>18</v>
      </c>
      <c r="C5406" t="s">
        <v>25</v>
      </c>
      <c r="D5406">
        <v>120</v>
      </c>
      <c r="E5406">
        <v>126</v>
      </c>
      <c r="F5406">
        <v>6</v>
      </c>
      <c r="G5406">
        <v>4</v>
      </c>
      <c r="H5406" s="1">
        <v>5.8217592592592587E-4</v>
      </c>
      <c r="I5406">
        <v>2018</v>
      </c>
      <c r="J5406" t="s">
        <v>48</v>
      </c>
      <c r="K5406" s="2" t="str">
        <f>HYPERLINK("https://www.nba.com/stats/events?CFID=&amp;CFPARAMS=&amp;GameEventID=573&amp;GameID=0021800427&amp;Season=2018-19&amp;flag=1&amp;title=Leonard%20Driving%20Dunk%20(28%20PTS)", "Leonard Driving Dunk (28 PTS)")</f>
        <v>Leonard Driving Dunk (28 PTS)</v>
      </c>
      <c r="L5406" s="2" t="str">
        <f>HYPERLINK("https://www.nba.com/game/...-vs-...-0021800427/play-by-play?watchFullGame=true", "TOR vs POR - Q4 00:50.30")</f>
        <v>TOR vs POR - Q4 00:50.30</v>
      </c>
      <c r="M5406">
        <v>0</v>
      </c>
      <c r="N5406">
        <v>2</v>
      </c>
      <c r="O5406">
        <v>0</v>
      </c>
      <c r="P5406">
        <v>2</v>
      </c>
      <c r="Q5406">
        <v>0</v>
      </c>
      <c r="R5406" t="s">
        <v>21</v>
      </c>
      <c r="S5406" t="s">
        <v>21</v>
      </c>
    </row>
    <row r="5407" spans="1:19" hidden="1" x14ac:dyDescent="0.25">
      <c r="A5407">
        <v>21800371</v>
      </c>
      <c r="B5407" t="s">
        <v>26</v>
      </c>
      <c r="C5407" t="s">
        <v>19</v>
      </c>
      <c r="D5407">
        <v>96</v>
      </c>
      <c r="E5407">
        <v>94</v>
      </c>
      <c r="F5407">
        <v>2</v>
      </c>
      <c r="G5407">
        <v>4</v>
      </c>
      <c r="H5407" s="1">
        <v>1.6550925925925926E-3</v>
      </c>
      <c r="I5407">
        <v>2018</v>
      </c>
      <c r="J5407" t="s">
        <v>48</v>
      </c>
      <c r="K5407" s="2" t="str">
        <f>HYPERLINK("https://www.nba.com/stats/events?CFID=&amp;CFPARAMS=&amp;GameEventID=620&amp;GameID=0021800371&amp;Season=2018-19&amp;flag=1&amp;title=Leonard%203PT%20Jump%20Shot%20(25%20PTS)%20(Green%201%20AST)", "Leonard 3PT Jump Shot (25 PTS) (Green 1 AST)")</f>
        <v>Leonard 3PT Jump Shot (25 PTS) (Green 1 AST)</v>
      </c>
      <c r="L5407" s="2" t="str">
        <f>HYPERLINK("https://www.nba.com/game/...-vs-...-0021800371/play-by-play?watchFullGame=true", "TOR vs BKN - Q4 02:23.00")</f>
        <v>TOR vs BKN - Q4 02:23.00</v>
      </c>
      <c r="M5407">
        <v>0</v>
      </c>
      <c r="N5407">
        <v>-228</v>
      </c>
      <c r="O5407">
        <v>5</v>
      </c>
      <c r="P5407">
        <v>-228</v>
      </c>
      <c r="Q5407">
        <v>5</v>
      </c>
      <c r="R5407" t="s">
        <v>21</v>
      </c>
      <c r="S5407" t="s">
        <v>21</v>
      </c>
    </row>
    <row r="5408" spans="1:19" hidden="1" x14ac:dyDescent="0.25">
      <c r="A5408">
        <v>21800442</v>
      </c>
      <c r="B5408" t="s">
        <v>18</v>
      </c>
      <c r="C5408" t="s">
        <v>25</v>
      </c>
      <c r="D5408">
        <v>18</v>
      </c>
      <c r="E5408">
        <v>18</v>
      </c>
      <c r="F5408">
        <v>0</v>
      </c>
      <c r="G5408">
        <v>1</v>
      </c>
      <c r="H5408" s="1">
        <v>2.0138888888888888E-3</v>
      </c>
      <c r="I5408">
        <v>2018</v>
      </c>
      <c r="J5408" t="s">
        <v>48</v>
      </c>
      <c r="K5408" s="2" t="str">
        <f>HYPERLINK("https://www.nba.com/stats/events?CFID=&amp;CFPARAMS=&amp;GameEventID=103&amp;GameID=0021800442&amp;Season=2018-19&amp;flag=1&amp;title=Leonard%20Driving%20Dunk%20(4%20PTS)", "Leonard Driving Dunk (4 PTS)")</f>
        <v>Leonard Driving Dunk (4 PTS)</v>
      </c>
      <c r="L5408" s="2" t="str">
        <f>HYPERLINK("https://www.nba.com/game/...-vs-...-0021800442/play-by-play?watchFullGame=true", "TOR vs DEN - Q1 02:54.00")</f>
        <v>TOR vs DEN - Q1 02:54.00</v>
      </c>
      <c r="M5408">
        <v>0</v>
      </c>
      <c r="N5408">
        <v>2</v>
      </c>
      <c r="O5408">
        <v>4</v>
      </c>
      <c r="P5408">
        <v>2</v>
      </c>
      <c r="Q5408">
        <v>4</v>
      </c>
      <c r="R5408" t="s">
        <v>21</v>
      </c>
      <c r="S5408" t="s">
        <v>21</v>
      </c>
    </row>
    <row r="5409" spans="1:19" hidden="1" x14ac:dyDescent="0.25">
      <c r="A5409">
        <v>21500939</v>
      </c>
      <c r="B5409" t="s">
        <v>18</v>
      </c>
      <c r="C5409" t="s">
        <v>22</v>
      </c>
      <c r="D5409">
        <v>30</v>
      </c>
      <c r="E5409">
        <v>41</v>
      </c>
      <c r="F5409">
        <v>11</v>
      </c>
      <c r="G5409">
        <v>2</v>
      </c>
      <c r="H5409" s="1">
        <v>1.7013888888888888E-3</v>
      </c>
      <c r="I5409">
        <v>2015</v>
      </c>
      <c r="J5409" t="s">
        <v>20</v>
      </c>
      <c r="K5409" s="2" t="str">
        <f>HYPERLINK("https://www.nba.com/stats/events?CFID=&amp;CFPARAMS=&amp;GameEventID=224&amp;GameID=0021500939&amp;Season=2015-16&amp;flag=1&amp;title=Leonard%20Driving%20Layup%20(11%20PTS)", "Leonard Driving Layup (11 PTS)")</f>
        <v>Leonard Driving Layup (11 PTS)</v>
      </c>
      <c r="L5409" s="2" t="str">
        <f>HYPERLINK("https://www.nba.com/game/...-vs-...-0021500939/play-by-play?watchFullGame=true", "SAS vs IND - Q2 02:27.00")</f>
        <v>SAS vs IND - Q2 02:27.00</v>
      </c>
      <c r="M5409">
        <v>0</v>
      </c>
      <c r="N5409">
        <v>0</v>
      </c>
      <c r="O5409">
        <v>-1</v>
      </c>
      <c r="P5409">
        <v>0</v>
      </c>
      <c r="Q5409">
        <v>-1</v>
      </c>
      <c r="R5409" t="s">
        <v>21</v>
      </c>
      <c r="S5409" t="s">
        <v>21</v>
      </c>
    </row>
    <row r="5410" spans="1:19" hidden="1" x14ac:dyDescent="0.25">
      <c r="A5410">
        <v>21400231</v>
      </c>
      <c r="B5410" t="s">
        <v>26</v>
      </c>
      <c r="C5410" t="s">
        <v>19</v>
      </c>
      <c r="D5410">
        <v>107</v>
      </c>
      <c r="E5410">
        <v>94</v>
      </c>
      <c r="F5410">
        <v>13</v>
      </c>
      <c r="G5410">
        <v>4</v>
      </c>
      <c r="H5410" s="1">
        <v>1.7013888888888888E-3</v>
      </c>
      <c r="I5410">
        <v>2014</v>
      </c>
      <c r="J5410" t="s">
        <v>20</v>
      </c>
      <c r="K5410" s="2" t="str">
        <f>HYPERLINK("https://www.nba.com/stats/events?CFID=&amp;CFPARAMS=&amp;GameEventID=465&amp;GameID=0021400231&amp;Season=2014-15&amp;flag=1&amp;title=Leonard%20%203PT%20Jump%20Shot%20(16%20PTS)%20(Duncan%203%20AST)", "Leonard  3PT Jump Shot (16 PTS) (Duncan 3 AST)")</f>
        <v>Leonard  3PT Jump Shot (16 PTS) (Duncan 3 AST)</v>
      </c>
      <c r="L5410" s="2" t="str">
        <f>HYPERLINK("https://www.nba.com/game/...-vs-...-0021400231/play-by-play?watchFullGame=true", "SAS vs SAC - Q4 02:27.00")</f>
        <v>SAS vs SAC - Q4 02:27.00</v>
      </c>
      <c r="M5410">
        <v>0</v>
      </c>
      <c r="N5410">
        <v>234</v>
      </c>
      <c r="O5410">
        <v>20</v>
      </c>
      <c r="P5410">
        <v>234</v>
      </c>
      <c r="Q5410">
        <v>20</v>
      </c>
      <c r="R5410" t="s">
        <v>21</v>
      </c>
      <c r="S5410" t="s">
        <v>21</v>
      </c>
    </row>
    <row r="5411" spans="1:19" hidden="1" x14ac:dyDescent="0.25">
      <c r="A5411">
        <v>21300514</v>
      </c>
      <c r="B5411" t="s">
        <v>18</v>
      </c>
      <c r="C5411" t="s">
        <v>23</v>
      </c>
      <c r="D5411">
        <v>20</v>
      </c>
      <c r="E5411">
        <v>12</v>
      </c>
      <c r="F5411">
        <v>8</v>
      </c>
      <c r="G5411">
        <v>1</v>
      </c>
      <c r="H5411" s="1">
        <v>3.0208333333333333E-3</v>
      </c>
      <c r="I5411">
        <v>2013</v>
      </c>
      <c r="J5411" t="s">
        <v>20</v>
      </c>
      <c r="K5411" s="2" t="str">
        <f>HYPERLINK("https://www.nba.com/stats/events?CFID=&amp;CFPARAMS=&amp;GameEventID=61&amp;GameID=0021300514&amp;Season=2013-14&amp;flag=1&amp;title=Leonard%20%20Dunk%20(7%20PTS)%20(Ayres%201%20AST)", "Leonard  Dunk (7 PTS) (Ayres 1 AST)")</f>
        <v>Leonard  Dunk (7 PTS) (Ayres 1 AST)</v>
      </c>
      <c r="L5411" s="2" t="str">
        <f>HYPERLINK("https://www.nba.com/game/...-vs-...-0021300514/play-by-play?watchFullGame=true", "SAS vs MEM - Q1 04:21.00")</f>
        <v>SAS vs MEM - Q1 04:21.00</v>
      </c>
      <c r="M5411">
        <v>0</v>
      </c>
      <c r="N5411">
        <v>2</v>
      </c>
      <c r="O5411">
        <v>3</v>
      </c>
      <c r="P5411">
        <v>2</v>
      </c>
      <c r="Q5411">
        <v>3</v>
      </c>
      <c r="R5411" t="s">
        <v>21</v>
      </c>
      <c r="S5411" t="s">
        <v>21</v>
      </c>
    </row>
    <row r="5412" spans="1:19" hidden="1" x14ac:dyDescent="0.25">
      <c r="A5412">
        <v>21300224</v>
      </c>
      <c r="B5412" t="s">
        <v>26</v>
      </c>
      <c r="C5412" t="s">
        <v>19</v>
      </c>
      <c r="D5412">
        <v>19</v>
      </c>
      <c r="E5412">
        <v>14</v>
      </c>
      <c r="F5412">
        <v>5</v>
      </c>
      <c r="G5412">
        <v>1</v>
      </c>
      <c r="H5412" s="1">
        <v>1.8055555555555555E-3</v>
      </c>
      <c r="I5412">
        <v>2013</v>
      </c>
      <c r="J5412" t="s">
        <v>20</v>
      </c>
      <c r="K5412" s="2" t="str">
        <f>HYPERLINK("https://www.nba.com/stats/events?CFID=&amp;CFPARAMS=&amp;GameEventID=84&amp;GameID=0021300224&amp;Season=2013-14&amp;flag=1&amp;title=Leonard%20%203PT%20Jump%20Shot%20(5%20PTS)%20(Parker%203%20AST)", "Leonard  3PT Jump Shot (5 PTS) (Parker 3 AST)")</f>
        <v>Leonard  3PT Jump Shot (5 PTS) (Parker 3 AST)</v>
      </c>
      <c r="L5412" s="2" t="str">
        <f>HYPERLINK("https://www.nba.com/game/...-vs-...-0021300224/play-by-play?watchFullGame=true", "SAS vs OKC - Q1 02:36.00")</f>
        <v>SAS vs OKC - Q1 02:36.00</v>
      </c>
      <c r="M5412">
        <v>0</v>
      </c>
      <c r="N5412">
        <v>228</v>
      </c>
      <c r="O5412">
        <v>0</v>
      </c>
      <c r="P5412">
        <v>228</v>
      </c>
      <c r="Q5412">
        <v>0</v>
      </c>
      <c r="R5412" t="s">
        <v>21</v>
      </c>
      <c r="S5412" t="s">
        <v>21</v>
      </c>
    </row>
    <row r="5413" spans="1:19" hidden="1" x14ac:dyDescent="0.25">
      <c r="A5413">
        <v>21300421</v>
      </c>
      <c r="B5413" t="s">
        <v>18</v>
      </c>
      <c r="C5413" t="s">
        <v>27</v>
      </c>
      <c r="D5413">
        <v>49</v>
      </c>
      <c r="E5413">
        <v>57</v>
      </c>
      <c r="F5413">
        <v>8</v>
      </c>
      <c r="G5413">
        <v>2</v>
      </c>
      <c r="H5413" s="1">
        <v>1.8287037037037037E-3</v>
      </c>
      <c r="I5413">
        <v>2013</v>
      </c>
      <c r="J5413" t="s">
        <v>20</v>
      </c>
      <c r="K5413" s="2" t="str">
        <f>HYPERLINK("https://www.nba.com/stats/events?CFID=&amp;CFPARAMS=&amp;GameEventID=210&amp;GameID=0021300421&amp;Season=2013-14&amp;flag=1&amp;title=Leonard%20%20Finger%20Roll%20Layup%20(2%20PTS)", "Leonard  Finger Roll Layup (2 PTS)")</f>
        <v>Leonard  Finger Roll Layup (2 PTS)</v>
      </c>
      <c r="L5413" s="2" t="str">
        <f>HYPERLINK("https://www.nba.com/game/...-vs-...-0021300421/play-by-play?watchFullGame=true", "SAS vs HOU - Q2 02:38.00")</f>
        <v>SAS vs HOU - Q2 02:38.00</v>
      </c>
      <c r="M5413">
        <v>0</v>
      </c>
      <c r="N5413">
        <v>-2</v>
      </c>
      <c r="O5413">
        <v>-2</v>
      </c>
      <c r="P5413">
        <v>-2</v>
      </c>
      <c r="Q5413">
        <v>-2</v>
      </c>
      <c r="R5413" t="s">
        <v>21</v>
      </c>
      <c r="S5413" t="s">
        <v>21</v>
      </c>
    </row>
    <row r="5414" spans="1:19" hidden="1" x14ac:dyDescent="0.25">
      <c r="A5414">
        <v>21300914</v>
      </c>
      <c r="B5414" t="s">
        <v>18</v>
      </c>
      <c r="C5414" t="s">
        <v>23</v>
      </c>
      <c r="D5414">
        <v>95</v>
      </c>
      <c r="E5414">
        <v>80</v>
      </c>
      <c r="F5414">
        <v>15</v>
      </c>
      <c r="G5414">
        <v>4</v>
      </c>
      <c r="H5414" s="1">
        <v>4.3750000000000004E-3</v>
      </c>
      <c r="I5414">
        <v>2013</v>
      </c>
      <c r="J5414" t="s">
        <v>20</v>
      </c>
      <c r="K5414" s="2" t="str">
        <f>HYPERLINK("https://www.nba.com/stats/events?CFID=&amp;CFPARAMS=&amp;GameEventID=471&amp;GameID=0021300914&amp;Season=2013-14&amp;flag=1&amp;title=Leonard%20%20Dunk%20(11%20PTS)", "Leonard  Dunk (11 PTS)")</f>
        <v>Leonard  Dunk (11 PTS)</v>
      </c>
      <c r="L5414" s="2" t="str">
        <f>HYPERLINK("https://www.nba.com/game/...-vs-...-0021300914/play-by-play?watchFullGame=true", "SAS vs MIA - Q4 06:18.00")</f>
        <v>SAS vs MIA - Q4 06:18.00</v>
      </c>
      <c r="M5414">
        <v>0</v>
      </c>
      <c r="N5414">
        <v>2</v>
      </c>
      <c r="O5414">
        <v>3</v>
      </c>
      <c r="P5414">
        <v>2</v>
      </c>
      <c r="Q5414">
        <v>3</v>
      </c>
      <c r="R5414" t="s">
        <v>21</v>
      </c>
      <c r="S5414" t="s">
        <v>21</v>
      </c>
    </row>
    <row r="5415" spans="1:19" hidden="1" x14ac:dyDescent="0.25">
      <c r="A5415">
        <v>21600825</v>
      </c>
      <c r="B5415" t="s">
        <v>26</v>
      </c>
      <c r="C5415" t="s">
        <v>19</v>
      </c>
      <c r="D5415">
        <v>75</v>
      </c>
      <c r="E5415">
        <v>72</v>
      </c>
      <c r="F5415">
        <v>3</v>
      </c>
      <c r="G5415">
        <v>3</v>
      </c>
      <c r="H5415" s="1">
        <v>1.8287037037037037E-3</v>
      </c>
      <c r="I5415">
        <v>2016</v>
      </c>
      <c r="J5415" t="s">
        <v>20</v>
      </c>
      <c r="K5415" s="2" t="str">
        <f>HYPERLINK("https://www.nba.com/stats/events?CFID=&amp;CFPARAMS=&amp;GameEventID=336&amp;GameID=0021600825&amp;Season=2016-17&amp;flag=1&amp;title=Leonard%20%203PT%20Jump%20Shot%20(25%20PTS)%20(Simmons%201%20AST)", "Leonard  3PT Jump Shot (25 PTS) (Simmons 1 AST)")</f>
        <v>Leonard  3PT Jump Shot (25 PTS) (Simmons 1 AST)</v>
      </c>
      <c r="L5415" s="2" t="str">
        <f>HYPERLINK("https://www.nba.com/game/...-vs-...-0021600825/play-by-play?watchFullGame=true", "SAS vs IND - Q3 02:38.00")</f>
        <v>SAS vs IND - Q3 02:38.00</v>
      </c>
      <c r="M5415">
        <v>0</v>
      </c>
      <c r="N5415">
        <v>228</v>
      </c>
      <c r="O5415">
        <v>0</v>
      </c>
      <c r="P5415">
        <v>228</v>
      </c>
      <c r="Q5415">
        <v>0</v>
      </c>
      <c r="R5415" t="s">
        <v>21</v>
      </c>
      <c r="S5415" t="s">
        <v>21</v>
      </c>
    </row>
    <row r="5416" spans="1:19" hidden="1" x14ac:dyDescent="0.25">
      <c r="A5416">
        <v>21800359</v>
      </c>
      <c r="B5416" t="s">
        <v>18</v>
      </c>
      <c r="C5416" t="s">
        <v>50</v>
      </c>
      <c r="D5416">
        <v>46</v>
      </c>
      <c r="E5416">
        <v>46</v>
      </c>
      <c r="F5416">
        <v>0</v>
      </c>
      <c r="G5416">
        <v>2</v>
      </c>
      <c r="H5416" s="1">
        <v>1.9328703703703704E-3</v>
      </c>
      <c r="I5416">
        <v>2018</v>
      </c>
      <c r="J5416" t="s">
        <v>48</v>
      </c>
      <c r="K5416" s="2" t="str">
        <f>HYPERLINK("https://www.nba.com/stats/events?CFID=&amp;CFPARAMS=&amp;GameEventID=328&amp;GameID=0021800359&amp;Season=2018-19&amp;flag=1&amp;title=Leonard%202'%20Running%20Dunk%20(16%20PTS)", "Leonard 2' Running Dunk (16 PTS)")</f>
        <v>Leonard 2' Running Dunk (16 PTS)</v>
      </c>
      <c r="L5416" s="2" t="str">
        <f>HYPERLINK("https://www.nba.com/game/...-vs-...-0021800359/play-by-play?watchFullGame=true", "TOR vs PHI - Q2 02:47.00")</f>
        <v>TOR vs PHI - Q2 02:47.00</v>
      </c>
      <c r="M5416">
        <v>2</v>
      </c>
      <c r="N5416">
        <v>3</v>
      </c>
      <c r="O5416">
        <v>15</v>
      </c>
      <c r="P5416">
        <v>3</v>
      </c>
      <c r="Q5416">
        <v>15</v>
      </c>
      <c r="R5416" t="s">
        <v>21</v>
      </c>
      <c r="S5416" t="s">
        <v>21</v>
      </c>
    </row>
    <row r="5417" spans="1:19" hidden="1" x14ac:dyDescent="0.25">
      <c r="A5417">
        <v>21800271</v>
      </c>
      <c r="B5417" t="s">
        <v>18</v>
      </c>
      <c r="C5417" t="s">
        <v>50</v>
      </c>
      <c r="D5417">
        <v>51</v>
      </c>
      <c r="E5417">
        <v>39</v>
      </c>
      <c r="F5417">
        <v>12</v>
      </c>
      <c r="G5417">
        <v>2</v>
      </c>
      <c r="H5417" s="1">
        <v>4.9884259259259257E-3</v>
      </c>
      <c r="I5417">
        <v>2018</v>
      </c>
      <c r="J5417" t="s">
        <v>48</v>
      </c>
      <c r="K5417" s="2" t="str">
        <f>HYPERLINK("https://www.nba.com/stats/events?CFID=&amp;CFPARAMS=&amp;GameEventID=232&amp;GameID=0021800271&amp;Season=2018-19&amp;flag=1&amp;title=Leonard%202'%20Running%20Dunk%20(8%20PTS)", "Leonard 2' Running Dunk (8 PTS)")</f>
        <v>Leonard 2' Running Dunk (8 PTS)</v>
      </c>
      <c r="L5417" s="2" t="str">
        <f>HYPERLINK("https://www.nba.com/game/...-vs-...-0021800271/play-by-play?watchFullGame=true", "TOR vs WAS - Q2 07:11.00")</f>
        <v>TOR vs WAS - Q2 07:11.00</v>
      </c>
      <c r="M5417">
        <v>2</v>
      </c>
      <c r="N5417">
        <v>3</v>
      </c>
      <c r="O5417">
        <v>15</v>
      </c>
      <c r="P5417">
        <v>3</v>
      </c>
      <c r="Q5417">
        <v>15</v>
      </c>
      <c r="R5417" t="s">
        <v>21</v>
      </c>
      <c r="S5417" t="s">
        <v>21</v>
      </c>
    </row>
    <row r="5418" spans="1:19" hidden="1" x14ac:dyDescent="0.25">
      <c r="A5418">
        <v>41600234</v>
      </c>
      <c r="B5418" t="s">
        <v>18</v>
      </c>
      <c r="C5418" t="s">
        <v>22</v>
      </c>
      <c r="D5418">
        <v>47</v>
      </c>
      <c r="E5418">
        <v>52</v>
      </c>
      <c r="F5418">
        <v>5</v>
      </c>
      <c r="G5418">
        <v>2</v>
      </c>
      <c r="H5418" s="1">
        <v>1.8402777777777777E-3</v>
      </c>
      <c r="I5418" t="s">
        <v>58</v>
      </c>
      <c r="J5418" t="s">
        <v>20</v>
      </c>
      <c r="K5418" s="2" t="str">
        <f>HYPERLINK("https://www.nba.com/stats/events?CFID=&amp;CFPARAMS=&amp;GameEventID=242&amp;GameID=0041600234&amp;Season=2016-17&amp;flag=1&amp;title=Leonard%20Driving%20Layup%20(14%20PTS)", "Leonard Driving Layup (14 PTS)")</f>
        <v>Leonard Driving Layup (14 PTS)</v>
      </c>
      <c r="L5418" s="2" t="str">
        <f>HYPERLINK("https://www.nba.com/game/...-vs-...-0041600234/play-by-play?watchFullGame=true", "SAS vs HOU - Q2 02:39.00")</f>
        <v>SAS vs HOU - Q2 02:39.00</v>
      </c>
      <c r="M5418">
        <v>0</v>
      </c>
      <c r="N5418">
        <v>0</v>
      </c>
      <c r="O5418">
        <v>2</v>
      </c>
      <c r="P5418">
        <v>0</v>
      </c>
      <c r="Q5418">
        <v>2</v>
      </c>
      <c r="R5418" t="s">
        <v>21</v>
      </c>
      <c r="S5418" t="s">
        <v>21</v>
      </c>
    </row>
    <row r="5419" spans="1:19" hidden="1" x14ac:dyDescent="0.25">
      <c r="A5419">
        <v>41200231</v>
      </c>
      <c r="B5419" t="s">
        <v>18</v>
      </c>
      <c r="C5419" t="s">
        <v>24</v>
      </c>
      <c r="D5419">
        <v>96</v>
      </c>
      <c r="E5419">
        <v>104</v>
      </c>
      <c r="F5419">
        <v>8</v>
      </c>
      <c r="G5419">
        <v>4</v>
      </c>
      <c r="H5419" s="1">
        <v>1.8749999999999999E-3</v>
      </c>
      <c r="I5419" t="s">
        <v>53</v>
      </c>
      <c r="J5419" t="s">
        <v>20</v>
      </c>
      <c r="K5419" s="2" t="str">
        <f>HYPERLINK("https://www.nba.com/stats/events?CFID=&amp;CFPARAMS=&amp;GameEventID=491&amp;GameID=0041200231&amp;Season=2012-13&amp;flag=1&amp;title=Leonard%20%20Layup%20(13%20PTS)%20(Parker%207%20AST)", "Leonard  Layup (13 PTS) (Parker 7 AST)")</f>
        <v>Leonard  Layup (13 PTS) (Parker 7 AST)</v>
      </c>
      <c r="L5419" s="2" t="str">
        <f>HYPERLINK("https://www.nba.com/game/...-vs-...-0041200231/play-by-play?watchFullGame=true", "SAS vs GSW - Q4 02:42.00")</f>
        <v>SAS vs GSW - Q4 02:42.00</v>
      </c>
      <c r="M5419">
        <v>0</v>
      </c>
      <c r="N5419">
        <v>1</v>
      </c>
      <c r="O5419">
        <v>1</v>
      </c>
      <c r="P5419">
        <v>1</v>
      </c>
      <c r="Q5419">
        <v>1</v>
      </c>
      <c r="R5419" t="s">
        <v>21</v>
      </c>
      <c r="S5419" t="s">
        <v>21</v>
      </c>
    </row>
    <row r="5420" spans="1:19" hidden="1" x14ac:dyDescent="0.25">
      <c r="A5420">
        <v>41500153</v>
      </c>
      <c r="B5420" t="s">
        <v>26</v>
      </c>
      <c r="C5420" t="s">
        <v>19</v>
      </c>
      <c r="D5420">
        <v>41</v>
      </c>
      <c r="E5420">
        <v>39</v>
      </c>
      <c r="F5420">
        <v>2</v>
      </c>
      <c r="G5420">
        <v>2</v>
      </c>
      <c r="H5420" s="1">
        <v>1.9560185185185184E-3</v>
      </c>
      <c r="I5420" t="s">
        <v>57</v>
      </c>
      <c r="J5420" t="s">
        <v>20</v>
      </c>
      <c r="K5420" s="2" t="str">
        <f>HYPERLINK("https://www.nba.com/stats/events?CFID=&amp;CFPARAMS=&amp;GameEventID=202&amp;GameID=0041500153&amp;Season=2015-16&amp;flag=1&amp;title=Leonard%20%203PT%20Jump%20Shot%20(13%20PTS)%20(Ginobili%202%20AST)", "Leonard  3PT Jump Shot (13 PTS) (Ginobili 2 AST)")</f>
        <v>Leonard  3PT Jump Shot (13 PTS) (Ginobili 2 AST)</v>
      </c>
      <c r="L5420" s="2" t="str">
        <f>HYPERLINK("https://www.nba.com/game/...-vs-...-0041500153/play-by-play?watchFullGame=true", "SAS vs MEM - Q2 02:49.00")</f>
        <v>SAS vs MEM - Q2 02:49.00</v>
      </c>
      <c r="M5420">
        <v>0</v>
      </c>
      <c r="N5420">
        <v>-225</v>
      </c>
      <c r="O5420">
        <v>3</v>
      </c>
      <c r="P5420">
        <v>-225</v>
      </c>
      <c r="Q5420">
        <v>3</v>
      </c>
      <c r="R5420" t="s">
        <v>21</v>
      </c>
      <c r="S5420" t="s">
        <v>21</v>
      </c>
    </row>
    <row r="5421" spans="1:19" hidden="1" x14ac:dyDescent="0.25">
      <c r="A5421">
        <v>21800800</v>
      </c>
      <c r="B5421" t="s">
        <v>26</v>
      </c>
      <c r="C5421" t="s">
        <v>19</v>
      </c>
      <c r="D5421">
        <v>93</v>
      </c>
      <c r="E5421">
        <v>75</v>
      </c>
      <c r="F5421">
        <v>18</v>
      </c>
      <c r="G5421">
        <v>3</v>
      </c>
      <c r="H5421" s="1">
        <v>1.9907407407407408E-3</v>
      </c>
      <c r="I5421">
        <v>2018</v>
      </c>
      <c r="J5421" t="s">
        <v>48</v>
      </c>
      <c r="K5421" s="2" t="str">
        <f>HYPERLINK("https://www.nba.com/stats/events?CFID=&amp;CFPARAMS=&amp;GameEventID=494&amp;GameID=0021800800&amp;Season=2018-19&amp;flag=1&amp;title=Leonard%203PT%20Jump%20Shot%20(19%20PTS)%20(Wright%203%20AST)", "Leonard 3PT Jump Shot (19 PTS) (Wright 3 AST)")</f>
        <v>Leonard 3PT Jump Shot (19 PTS) (Wright 3 AST)</v>
      </c>
      <c r="L5421" s="2" t="str">
        <f>HYPERLINK("https://www.nba.com/game/...-vs-...-0021800800/play-by-play?watchFullGame=true", "TOR vs PHI - Q3 02:52.00")</f>
        <v>TOR vs PHI - Q3 02:52.00</v>
      </c>
      <c r="M5421">
        <v>0</v>
      </c>
      <c r="N5421">
        <v>224</v>
      </c>
      <c r="O5421">
        <v>17</v>
      </c>
      <c r="P5421">
        <v>224</v>
      </c>
      <c r="Q5421">
        <v>17</v>
      </c>
      <c r="R5421" t="s">
        <v>21</v>
      </c>
      <c r="S5421" t="s">
        <v>21</v>
      </c>
    </row>
    <row r="5422" spans="1:19" hidden="1" x14ac:dyDescent="0.25">
      <c r="A5422">
        <v>21400757</v>
      </c>
      <c r="B5422" t="s">
        <v>26</v>
      </c>
      <c r="C5422" t="s">
        <v>19</v>
      </c>
      <c r="D5422">
        <v>21</v>
      </c>
      <c r="E5422">
        <v>17</v>
      </c>
      <c r="F5422">
        <v>4</v>
      </c>
      <c r="G5422">
        <v>1</v>
      </c>
      <c r="H5422" s="1">
        <v>1.9907407407407408E-3</v>
      </c>
      <c r="I5422">
        <v>2014</v>
      </c>
      <c r="J5422" t="s">
        <v>20</v>
      </c>
      <c r="K5422" s="2" t="str">
        <f>HYPERLINK("https://www.nba.com/stats/events?CFID=&amp;CFPARAMS=&amp;GameEventID=76&amp;GameID=0021400757&amp;Season=2014-15&amp;flag=1&amp;title=Leonard%20%203PT%20Jump%20Shot%20(5%20PTS)%20(Diaw%203%20AST)", "Leonard  3PT Jump Shot (5 PTS) (Diaw 3 AST)")</f>
        <v>Leonard  3PT Jump Shot (5 PTS) (Diaw 3 AST)</v>
      </c>
      <c r="L5422" s="2" t="str">
        <f>HYPERLINK("https://www.nba.com/game/...-vs-...-0021400757/play-by-play?watchFullGame=true", "SAS vs MIA - Q1 02:52.00")</f>
        <v>SAS vs MIA - Q1 02:52.00</v>
      </c>
      <c r="M5422">
        <v>0</v>
      </c>
      <c r="N5422">
        <v>231</v>
      </c>
      <c r="O5422">
        <v>20</v>
      </c>
      <c r="P5422">
        <v>231</v>
      </c>
      <c r="Q5422">
        <v>20</v>
      </c>
      <c r="R5422" t="s">
        <v>21</v>
      </c>
      <c r="S5422" t="s">
        <v>21</v>
      </c>
    </row>
    <row r="5423" spans="1:19" hidden="1" x14ac:dyDescent="0.25">
      <c r="A5423">
        <v>41500154</v>
      </c>
      <c r="B5423" t="s">
        <v>18</v>
      </c>
      <c r="C5423" t="s">
        <v>52</v>
      </c>
      <c r="D5423">
        <v>39</v>
      </c>
      <c r="E5423">
        <v>36</v>
      </c>
      <c r="F5423">
        <v>3</v>
      </c>
      <c r="G5423">
        <v>2</v>
      </c>
      <c r="H5423" s="1">
        <v>2.0254629629629629E-3</v>
      </c>
      <c r="I5423" t="s">
        <v>57</v>
      </c>
      <c r="J5423" t="s">
        <v>20</v>
      </c>
      <c r="K5423" s="2" t="str">
        <f>HYPERLINK("https://www.nba.com/stats/events?CFID=&amp;CFPARAMS=&amp;GameEventID=214&amp;GameID=0041500154&amp;Season=2015-16&amp;flag=1&amp;title=Leonard%20%20Cutting%20Layup%20Shot%20(9%20PTS)%20(Ginobili%201%20AST)", "Leonard  Cutting Layup Shot (9 PTS) (Ginobili 1 AST)")</f>
        <v>Leonard  Cutting Layup Shot (9 PTS) (Ginobili 1 AST)</v>
      </c>
      <c r="L5423" s="2" t="str">
        <f>HYPERLINK("https://www.nba.com/game/...-vs-...-0041500154/play-by-play?watchFullGame=true", "SAS vs MEM - Q2 02:55.00")</f>
        <v>SAS vs MEM - Q2 02:55.00</v>
      </c>
      <c r="M5423">
        <v>0</v>
      </c>
      <c r="N5423">
        <v>-1</v>
      </c>
      <c r="O5423">
        <v>2</v>
      </c>
      <c r="P5423">
        <v>-1</v>
      </c>
      <c r="Q5423">
        <v>2</v>
      </c>
      <c r="R5423" t="s">
        <v>21</v>
      </c>
      <c r="S5423" t="s">
        <v>21</v>
      </c>
    </row>
    <row r="5424" spans="1:19" hidden="1" x14ac:dyDescent="0.25">
      <c r="A5424">
        <v>21400108</v>
      </c>
      <c r="B5424" t="s">
        <v>26</v>
      </c>
      <c r="C5424" t="s">
        <v>36</v>
      </c>
      <c r="D5424">
        <v>102</v>
      </c>
      <c r="E5424">
        <v>91</v>
      </c>
      <c r="F5424">
        <v>11</v>
      </c>
      <c r="G5424">
        <v>4</v>
      </c>
      <c r="H5424" s="1">
        <v>2.0486111111111113E-3</v>
      </c>
      <c r="I5424">
        <v>2014</v>
      </c>
      <c r="J5424" t="s">
        <v>20</v>
      </c>
      <c r="K5424" s="2" t="str">
        <f>HYPERLINK("https://www.nba.com/stats/events?CFID=&amp;CFPARAMS=&amp;GameEventID=459&amp;GameID=0021400108&amp;Season=2014-15&amp;flag=1&amp;title=Leonard%20%203PT%20Pullup%20Jump%20Shot%20(16%20PTS)%20(Parker%207%20AST)", "Leonard  3PT Pullup Jump Shot (16 PTS) (Parker 7 AST)")</f>
        <v>Leonard  3PT Pullup Jump Shot (16 PTS) (Parker 7 AST)</v>
      </c>
      <c r="L5424" s="2" t="str">
        <f>HYPERLINK("https://www.nba.com/game/...-vs-...-0021400108/play-by-play?watchFullGame=true", "SAS vs GSW - Q4 02:57.00")</f>
        <v>SAS vs GSW - Q4 02:57.00</v>
      </c>
      <c r="M5424">
        <v>0</v>
      </c>
      <c r="N5424">
        <v>231</v>
      </c>
      <c r="O5424">
        <v>3</v>
      </c>
      <c r="P5424">
        <v>231</v>
      </c>
      <c r="Q5424">
        <v>3</v>
      </c>
      <c r="R5424" t="s">
        <v>21</v>
      </c>
      <c r="S5424" t="s">
        <v>21</v>
      </c>
    </row>
    <row r="5425" spans="1:19" hidden="1" x14ac:dyDescent="0.25">
      <c r="A5425">
        <v>41800215</v>
      </c>
      <c r="B5425" t="s">
        <v>18</v>
      </c>
      <c r="C5425" t="s">
        <v>50</v>
      </c>
      <c r="D5425">
        <v>25</v>
      </c>
      <c r="E5425">
        <v>21</v>
      </c>
      <c r="F5425">
        <v>4</v>
      </c>
      <c r="G5425">
        <v>1</v>
      </c>
      <c r="H5425" s="1">
        <v>4.0162037037037038E-4</v>
      </c>
      <c r="I5425" t="s">
        <v>60</v>
      </c>
      <c r="J5425" t="s">
        <v>48</v>
      </c>
      <c r="K5425" s="2" t="str">
        <f>HYPERLINK("https://www.nba.com/stats/events?CFID=&amp;CFPARAMS=&amp;GameEventID=176&amp;GameID=0041800215&amp;Season=2018-19&amp;flag=1&amp;title=Leonard%201'%20Running%20Dunk%20(3%20PTS)%20(Powell%202%20AST)", "Leonard 1' Running Dunk (3 PTS) (Powell 2 AST)")</f>
        <v>Leonard 1' Running Dunk (3 PTS) (Powell 2 AST)</v>
      </c>
      <c r="L5425" s="2" t="str">
        <f>HYPERLINK("https://www.nba.com/game/...-vs-...-0041800215/play-by-play?watchFullGame=true", "TOR vs PHI - Q1 00:34.70")</f>
        <v>TOR vs PHI - Q1 00:34.70</v>
      </c>
      <c r="M5425">
        <v>1</v>
      </c>
      <c r="N5425">
        <v>3</v>
      </c>
      <c r="O5425">
        <v>4</v>
      </c>
      <c r="P5425">
        <v>3</v>
      </c>
      <c r="Q5425">
        <v>4</v>
      </c>
      <c r="R5425" t="s">
        <v>21</v>
      </c>
      <c r="S5425" t="s">
        <v>21</v>
      </c>
    </row>
    <row r="5426" spans="1:19" hidden="1" x14ac:dyDescent="0.25">
      <c r="A5426">
        <v>21301054</v>
      </c>
      <c r="B5426" t="s">
        <v>26</v>
      </c>
      <c r="C5426" t="s">
        <v>19</v>
      </c>
      <c r="D5426">
        <v>79</v>
      </c>
      <c r="E5426">
        <v>63</v>
      </c>
      <c r="F5426">
        <v>16</v>
      </c>
      <c r="G5426">
        <v>3</v>
      </c>
      <c r="H5426" s="1">
        <v>2.0833333333333333E-3</v>
      </c>
      <c r="I5426">
        <v>2013</v>
      </c>
      <c r="J5426" t="s">
        <v>20</v>
      </c>
      <c r="K5426" s="2" t="str">
        <f>HYPERLINK("https://www.nba.com/stats/events?CFID=&amp;CFPARAMS=&amp;GameEventID=332&amp;GameID=0021301054&amp;Season=2013-14&amp;flag=1&amp;title=Leonard%20%203PT%20Jump%20Shot%20(15%20PTS)%20(Mills%201%20AST)", "Leonard  3PT Jump Shot (15 PTS) (Mills 1 AST)")</f>
        <v>Leonard  3PT Jump Shot (15 PTS) (Mills 1 AST)</v>
      </c>
      <c r="L5426" s="2" t="str">
        <f>HYPERLINK("https://www.nba.com/game/...-vs-...-0021301054/play-by-play?watchFullGame=true", "SAS vs PHI - Q3 03:00.00")</f>
        <v>SAS vs PHI - Q3 03:00.00</v>
      </c>
      <c r="M5426">
        <v>0</v>
      </c>
      <c r="N5426">
        <v>231</v>
      </c>
      <c r="O5426">
        <v>9</v>
      </c>
      <c r="P5426">
        <v>231</v>
      </c>
      <c r="Q5426">
        <v>9</v>
      </c>
      <c r="R5426" t="s">
        <v>21</v>
      </c>
      <c r="S5426" t="s">
        <v>21</v>
      </c>
    </row>
    <row r="5427" spans="1:19" hidden="1" x14ac:dyDescent="0.25">
      <c r="A5427">
        <v>21800442</v>
      </c>
      <c r="B5427" t="s">
        <v>18</v>
      </c>
      <c r="C5427" t="s">
        <v>25</v>
      </c>
      <c r="D5427">
        <v>74</v>
      </c>
      <c r="E5427">
        <v>80</v>
      </c>
      <c r="F5427">
        <v>6</v>
      </c>
      <c r="G5427">
        <v>4</v>
      </c>
      <c r="H5427" s="1">
        <v>5.347222222222222E-3</v>
      </c>
      <c r="I5427">
        <v>2018</v>
      </c>
      <c r="J5427" t="s">
        <v>48</v>
      </c>
      <c r="K5427" s="2" t="str">
        <f>HYPERLINK("https://www.nba.com/stats/events?CFID=&amp;CFPARAMS=&amp;GameEventID=499&amp;GameID=0021800442&amp;Season=2018-19&amp;flag=1&amp;title=Leonard%201'%20Driving%20Dunk%20(25%20PTS)", "Leonard 1' Driving Dunk (25 PTS)")</f>
        <v>Leonard 1' Driving Dunk (25 PTS)</v>
      </c>
      <c r="L5427" s="2" t="str">
        <f>HYPERLINK("https://www.nba.com/game/...-vs-...-0021800442/play-by-play?watchFullGame=true", "TOR vs DEN - Q4 07:42.00")</f>
        <v>TOR vs DEN - Q4 07:42.00</v>
      </c>
      <c r="M5427">
        <v>1</v>
      </c>
      <c r="N5427">
        <v>3</v>
      </c>
      <c r="O5427">
        <v>7</v>
      </c>
      <c r="P5427">
        <v>3</v>
      </c>
      <c r="Q5427">
        <v>7</v>
      </c>
      <c r="R5427" t="s">
        <v>21</v>
      </c>
      <c r="S5427" t="s">
        <v>21</v>
      </c>
    </row>
    <row r="5428" spans="1:19" hidden="1" x14ac:dyDescent="0.25">
      <c r="A5428">
        <v>41800306</v>
      </c>
      <c r="B5428" t="s">
        <v>26</v>
      </c>
      <c r="C5428" t="s">
        <v>19</v>
      </c>
      <c r="D5428">
        <v>95</v>
      </c>
      <c r="E5428">
        <v>90</v>
      </c>
      <c r="F5428">
        <v>5</v>
      </c>
      <c r="G5428">
        <v>4</v>
      </c>
      <c r="H5428" s="1">
        <v>2.1296296296296298E-3</v>
      </c>
      <c r="I5428" t="s">
        <v>60</v>
      </c>
      <c r="J5428" t="s">
        <v>48</v>
      </c>
      <c r="K5428" s="2" t="str">
        <f>HYPERLINK("https://www.nba.com/stats/events?CFID=&amp;CFPARAMS=&amp;GameEventID=599&amp;GameID=0041800306&amp;Season=2018-19&amp;flag=1&amp;title=Leonard%203PT%20Jump%20Shot%20(25%20PTS)%20(Lowry%208%20AST)", "Leonard 3PT Jump Shot (25 PTS) (Lowry 8 AST)")</f>
        <v>Leonard 3PT Jump Shot (25 PTS) (Lowry 8 AST)</v>
      </c>
      <c r="L5428" s="2" t="str">
        <f>HYPERLINK("https://www.nba.com/game/...-vs-...-0041800306/play-by-play?watchFullGame=true", "TOR vs MIL - Q4 03:04.00")</f>
        <v>TOR vs MIL - Q4 03:04.00</v>
      </c>
      <c r="M5428">
        <v>0</v>
      </c>
      <c r="N5428">
        <v>225</v>
      </c>
      <c r="O5428">
        <v>22</v>
      </c>
      <c r="P5428">
        <v>225</v>
      </c>
      <c r="Q5428">
        <v>22</v>
      </c>
      <c r="R5428" t="s">
        <v>21</v>
      </c>
      <c r="S5428" t="s">
        <v>21</v>
      </c>
    </row>
    <row r="5429" spans="1:19" hidden="1" x14ac:dyDescent="0.25">
      <c r="A5429">
        <v>41400162</v>
      </c>
      <c r="B5429" t="s">
        <v>26</v>
      </c>
      <c r="C5429" t="s">
        <v>19</v>
      </c>
      <c r="D5429">
        <v>21</v>
      </c>
      <c r="E5429">
        <v>18</v>
      </c>
      <c r="F5429">
        <v>3</v>
      </c>
      <c r="G5429">
        <v>1</v>
      </c>
      <c r="H5429" s="1">
        <v>2.1412037037037038E-3</v>
      </c>
      <c r="I5429" t="s">
        <v>56</v>
      </c>
      <c r="J5429" t="s">
        <v>20</v>
      </c>
      <c r="K5429" s="2" t="str">
        <f>HYPERLINK("https://www.nba.com/stats/events?CFID=&amp;CFPARAMS=&amp;GameEventID=70&amp;GameID=0041400162&amp;Season=2014-15&amp;flag=1&amp;title=Leonard%20%203PT%20Jump%20Shot%20(5%20PTS)%20(Green%201%20AST)", "Leonard  3PT Jump Shot (5 PTS) (Green 1 AST)")</f>
        <v>Leonard  3PT Jump Shot (5 PTS) (Green 1 AST)</v>
      </c>
      <c r="L5429" s="2" t="str">
        <f>HYPERLINK("https://www.nba.com/game/...-vs-...-0041400162/play-by-play?watchFullGame=true", "SAS vs LAC - Q1 03:05.00")</f>
        <v>SAS vs LAC - Q1 03:05.00</v>
      </c>
      <c r="M5429">
        <v>0</v>
      </c>
      <c r="N5429">
        <v>-232</v>
      </c>
      <c r="O5429">
        <v>-6</v>
      </c>
      <c r="P5429">
        <v>-232</v>
      </c>
      <c r="Q5429">
        <v>-6</v>
      </c>
      <c r="R5429" t="s">
        <v>21</v>
      </c>
      <c r="S5429" t="s">
        <v>21</v>
      </c>
    </row>
    <row r="5430" spans="1:19" hidden="1" x14ac:dyDescent="0.25">
      <c r="A5430">
        <v>41200312</v>
      </c>
      <c r="B5430" t="s">
        <v>26</v>
      </c>
      <c r="C5430" t="s">
        <v>19</v>
      </c>
      <c r="D5430">
        <v>41</v>
      </c>
      <c r="E5430">
        <v>30</v>
      </c>
      <c r="F5430">
        <v>11</v>
      </c>
      <c r="G5430">
        <v>2</v>
      </c>
      <c r="H5430" s="1">
        <v>2.1412037037037038E-3</v>
      </c>
      <c r="I5430" t="s">
        <v>53</v>
      </c>
      <c r="J5430" t="s">
        <v>20</v>
      </c>
      <c r="K5430" s="2" t="str">
        <f>HYPERLINK("https://www.nba.com/stats/events?CFID=&amp;CFPARAMS=&amp;GameEventID=189&amp;GameID=0041200312&amp;Season=2012-13&amp;flag=1&amp;title=Leonard%20%203PT%20Jump%20Shot%20(7%20PTS)%20(Ginobili%202%20AST)", "Leonard  3PT Jump Shot (7 PTS) (Ginobili 2 AST)")</f>
        <v>Leonard  3PT Jump Shot (7 PTS) (Ginobili 2 AST)</v>
      </c>
      <c r="L5430" s="2" t="str">
        <f>HYPERLINK("https://www.nba.com/game/...-vs-...-0041200312/play-by-play?watchFullGame=true", "SAS vs MEM - Q2 03:05.00")</f>
        <v>SAS vs MEM - Q2 03:05.00</v>
      </c>
      <c r="M5430">
        <v>0</v>
      </c>
      <c r="N5430">
        <v>226</v>
      </c>
      <c r="O5430">
        <v>42</v>
      </c>
      <c r="P5430">
        <v>226</v>
      </c>
      <c r="Q5430">
        <v>42</v>
      </c>
      <c r="R5430" t="s">
        <v>21</v>
      </c>
      <c r="S5430" t="s">
        <v>21</v>
      </c>
    </row>
    <row r="5431" spans="1:19" hidden="1" x14ac:dyDescent="0.25">
      <c r="A5431">
        <v>21801072</v>
      </c>
      <c r="B5431" t="s">
        <v>18</v>
      </c>
      <c r="C5431" t="s">
        <v>25</v>
      </c>
      <c r="D5431">
        <v>68</v>
      </c>
      <c r="E5431">
        <v>55</v>
      </c>
      <c r="F5431">
        <v>13</v>
      </c>
      <c r="G5431">
        <v>3</v>
      </c>
      <c r="H5431" s="1">
        <v>7.6041666666666671E-3</v>
      </c>
      <c r="I5431">
        <v>2018</v>
      </c>
      <c r="J5431" t="s">
        <v>48</v>
      </c>
      <c r="K5431" s="2" t="str">
        <f>HYPERLINK("https://www.nba.com/stats/events?CFID=&amp;CFPARAMS=&amp;GameEventID=337&amp;GameID=0021801072&amp;Season=2018-19&amp;flag=1&amp;title=Leonard%201'%20Driving%20Dunk%20(13%20PTS)", "Leonard 1' Driving Dunk (13 PTS)")</f>
        <v>Leonard 1' Driving Dunk (13 PTS)</v>
      </c>
      <c r="L5431" s="2" t="str">
        <f>HYPERLINK("https://www.nba.com/game/...-vs-...-0021801072/play-by-play?watchFullGame=true", "TOR vs OKC - Q3 10:57.00")</f>
        <v>TOR vs OKC - Q3 10:57.00</v>
      </c>
      <c r="M5431">
        <v>1</v>
      </c>
      <c r="N5431">
        <v>3</v>
      </c>
      <c r="O5431">
        <v>4</v>
      </c>
      <c r="P5431">
        <v>3</v>
      </c>
      <c r="Q5431">
        <v>4</v>
      </c>
      <c r="R5431" t="s">
        <v>21</v>
      </c>
      <c r="S5431" t="s">
        <v>21</v>
      </c>
    </row>
    <row r="5432" spans="1:19" hidden="1" x14ac:dyDescent="0.25">
      <c r="A5432">
        <v>21600525</v>
      </c>
      <c r="B5432" t="s">
        <v>26</v>
      </c>
      <c r="C5432" t="s">
        <v>19</v>
      </c>
      <c r="D5432">
        <v>51</v>
      </c>
      <c r="E5432">
        <v>32</v>
      </c>
      <c r="F5432">
        <v>19</v>
      </c>
      <c r="G5432">
        <v>2</v>
      </c>
      <c r="H5432" s="1">
        <v>2.1990740740740742E-3</v>
      </c>
      <c r="I5432">
        <v>2016</v>
      </c>
      <c r="J5432" t="s">
        <v>20</v>
      </c>
      <c r="K5432" s="2" t="str">
        <f>HYPERLINK("https://www.nba.com/stats/events?CFID=&amp;CFPARAMS=&amp;GameEventID=211&amp;GameID=0021600525&amp;Season=2016-17&amp;flag=1&amp;title=Leonard%20%203PT%20Jump%20Shot%20(18%20PTS)%20(Parker%206%20AST)", "Leonard  3PT Jump Shot (18 PTS) (Parker 6 AST)")</f>
        <v>Leonard  3PT Jump Shot (18 PTS) (Parker 6 AST)</v>
      </c>
      <c r="L5432" s="2" t="str">
        <f>HYPERLINK("https://www.nba.com/game/...-vs-...-0021600525/play-by-play?watchFullGame=true", "SAS vs TOR - Q2 03:10.00")</f>
        <v>SAS vs TOR - Q2 03:10.00</v>
      </c>
      <c r="M5432">
        <v>0</v>
      </c>
      <c r="N5432">
        <v>-222</v>
      </c>
      <c r="O5432">
        <v>2</v>
      </c>
      <c r="P5432">
        <v>-222</v>
      </c>
      <c r="Q5432">
        <v>2</v>
      </c>
      <c r="R5432" t="s">
        <v>21</v>
      </c>
      <c r="S5432" t="s">
        <v>21</v>
      </c>
    </row>
    <row r="5433" spans="1:19" hidden="1" x14ac:dyDescent="0.25">
      <c r="A5433">
        <v>21600454</v>
      </c>
      <c r="B5433" t="s">
        <v>26</v>
      </c>
      <c r="C5433" t="s">
        <v>19</v>
      </c>
      <c r="D5433">
        <v>48</v>
      </c>
      <c r="E5433">
        <v>35</v>
      </c>
      <c r="F5433">
        <v>13</v>
      </c>
      <c r="G5433">
        <v>2</v>
      </c>
      <c r="H5433" s="1">
        <v>2.2453703703703702E-3</v>
      </c>
      <c r="I5433">
        <v>2016</v>
      </c>
      <c r="J5433" t="s">
        <v>20</v>
      </c>
      <c r="K5433" s="2" t="str">
        <f>HYPERLINK("https://www.nba.com/stats/events?CFID=&amp;CFPARAMS=&amp;GameEventID=225&amp;GameID=0021600454&amp;Season=2016-17&amp;flag=1&amp;title=Leonard%20%203PT%20Jump%20Shot%20(12%20PTS)%20(Mills%203%20AST)", "Leonard  3PT Jump Shot (12 PTS) (Mills 3 AST)")</f>
        <v>Leonard  3PT Jump Shot (12 PTS) (Mills 3 AST)</v>
      </c>
      <c r="L5433" s="2" t="str">
        <f>HYPERLINK("https://www.nba.com/game/...-vs-...-0021600454/play-by-play?watchFullGame=true", "SAS vs POR - Q2 03:14.00")</f>
        <v>SAS vs POR - Q2 03:14.00</v>
      </c>
      <c r="M5433">
        <v>0</v>
      </c>
      <c r="N5433">
        <v>-232</v>
      </c>
      <c r="O5433">
        <v>7</v>
      </c>
      <c r="P5433">
        <v>-232</v>
      </c>
      <c r="Q5433">
        <v>7</v>
      </c>
      <c r="R5433" t="s">
        <v>21</v>
      </c>
      <c r="S5433" t="s">
        <v>21</v>
      </c>
    </row>
    <row r="5434" spans="1:19" hidden="1" x14ac:dyDescent="0.25">
      <c r="A5434">
        <v>21300321</v>
      </c>
      <c r="B5434" t="s">
        <v>18</v>
      </c>
      <c r="C5434" t="s">
        <v>32</v>
      </c>
      <c r="D5434">
        <v>82</v>
      </c>
      <c r="E5434">
        <v>49</v>
      </c>
      <c r="F5434">
        <v>33</v>
      </c>
      <c r="G5434">
        <v>3</v>
      </c>
      <c r="H5434" s="1">
        <v>2.2569444444444442E-3</v>
      </c>
      <c r="I5434">
        <v>2013</v>
      </c>
      <c r="J5434" t="s">
        <v>20</v>
      </c>
      <c r="K5434" s="2" t="str">
        <f>HYPERLINK("https://www.nba.com/stats/events?CFID=&amp;CFPARAMS=&amp;GameEventID=338&amp;GameID=0021300321&amp;Season=2013-14&amp;flag=1&amp;title=Leonard%20%20Alley%20Oop%20Layup%20(11%20PTS)%20(Diaw%201%20AST)", "Leonard  Alley Oop Layup (11 PTS) (Diaw 1 AST)")</f>
        <v>Leonard  Alley Oop Layup (11 PTS) (Diaw 1 AST)</v>
      </c>
      <c r="L5434" s="2" t="str">
        <f>HYPERLINK("https://www.nba.com/game/...-vs-...-0021300321/play-by-play?watchFullGame=true", "SAS vs MIL - Q3 03:15.00")</f>
        <v>SAS vs MIL - Q3 03:15.00</v>
      </c>
      <c r="M5434">
        <v>0</v>
      </c>
      <c r="N5434">
        <v>1</v>
      </c>
      <c r="O5434">
        <v>1</v>
      </c>
      <c r="P5434">
        <v>1</v>
      </c>
      <c r="Q5434">
        <v>1</v>
      </c>
      <c r="R5434" t="s">
        <v>21</v>
      </c>
      <c r="S5434" t="s">
        <v>21</v>
      </c>
    </row>
    <row r="5435" spans="1:19" hidden="1" x14ac:dyDescent="0.25">
      <c r="A5435">
        <v>21800371</v>
      </c>
      <c r="B5435" t="s">
        <v>26</v>
      </c>
      <c r="C5435" t="s">
        <v>39</v>
      </c>
      <c r="D5435">
        <v>103</v>
      </c>
      <c r="E5435">
        <v>102</v>
      </c>
      <c r="F5435">
        <v>1</v>
      </c>
      <c r="G5435">
        <v>5</v>
      </c>
      <c r="H5435" s="1">
        <v>2.2916666666666667E-3</v>
      </c>
      <c r="I5435">
        <v>2018</v>
      </c>
      <c r="J5435" t="s">
        <v>48</v>
      </c>
      <c r="K5435" s="2" t="str">
        <f>HYPERLINK("https://www.nba.com/stats/events?CFID=&amp;CFPARAMS=&amp;GameEventID=676&amp;GameID=0021800371&amp;Season=2018-19&amp;flag=1&amp;title=Leonard%203PT%20Step%20Back%20Jump%20Shot%20(30%20PTS)%20(Green%202%20AST)", "Leonard 3PT Step Back Jump Shot (30 PTS) (Green 2 AST)")</f>
        <v>Leonard 3PT Step Back Jump Shot (30 PTS) (Green 2 AST)</v>
      </c>
      <c r="L5435" s="2" t="str">
        <f>HYPERLINK("https://www.nba.com/game/...-vs-...-0021800371/play-by-play?watchFullGame=true", "TOR vs BKN - Q5 03:18.00")</f>
        <v>TOR vs BKN - Q5 03:18.00</v>
      </c>
      <c r="M5435">
        <v>0</v>
      </c>
      <c r="N5435">
        <v>-231</v>
      </c>
      <c r="O5435">
        <v>2</v>
      </c>
      <c r="P5435">
        <v>-231</v>
      </c>
      <c r="Q5435">
        <v>2</v>
      </c>
      <c r="R5435" t="s">
        <v>21</v>
      </c>
      <c r="S5435" t="s">
        <v>21</v>
      </c>
    </row>
    <row r="5436" spans="1:19" hidden="1" x14ac:dyDescent="0.25">
      <c r="A5436">
        <v>41200233</v>
      </c>
      <c r="B5436" t="s">
        <v>18</v>
      </c>
      <c r="C5436" t="s">
        <v>28</v>
      </c>
      <c r="D5436">
        <v>50</v>
      </c>
      <c r="E5436">
        <v>43</v>
      </c>
      <c r="F5436">
        <v>7</v>
      </c>
      <c r="G5436">
        <v>2</v>
      </c>
      <c r="H5436" s="1">
        <v>2.3148148148148147E-3</v>
      </c>
      <c r="I5436" t="s">
        <v>53</v>
      </c>
      <c r="J5436" t="s">
        <v>20</v>
      </c>
      <c r="K5436" s="2" t="str">
        <f>HYPERLINK("https://www.nba.com/stats/events?CFID=&amp;CFPARAMS=&amp;GameEventID=203&amp;GameID=0041200233&amp;Season=2012-13&amp;flag=1&amp;title=Leonard%20%20Tip%20Shot%20(4%20PTS)", "Leonard  Tip Shot (4 PTS)")</f>
        <v>Leonard  Tip Shot (4 PTS)</v>
      </c>
      <c r="L5436" s="2" t="str">
        <f>HYPERLINK("https://www.nba.com/game/...-vs-...-0041200233/play-by-play?watchFullGame=true", "SAS vs GSW - Q2 03:20.00")</f>
        <v>SAS vs GSW - Q2 03:20.00</v>
      </c>
      <c r="M5436">
        <v>0</v>
      </c>
      <c r="N5436">
        <v>1</v>
      </c>
      <c r="O5436">
        <v>-2</v>
      </c>
      <c r="P5436">
        <v>1</v>
      </c>
      <c r="Q5436">
        <v>-2</v>
      </c>
      <c r="R5436" t="s">
        <v>21</v>
      </c>
      <c r="S5436" t="s">
        <v>21</v>
      </c>
    </row>
    <row r="5437" spans="1:19" hidden="1" x14ac:dyDescent="0.25">
      <c r="A5437">
        <v>41800114</v>
      </c>
      <c r="B5437" t="s">
        <v>18</v>
      </c>
      <c r="C5437" t="s">
        <v>22</v>
      </c>
      <c r="D5437">
        <v>74</v>
      </c>
      <c r="E5437">
        <v>60</v>
      </c>
      <c r="F5437">
        <v>14</v>
      </c>
      <c r="G5437">
        <v>3</v>
      </c>
      <c r="H5437" s="1">
        <v>2.3379629629629631E-3</v>
      </c>
      <c r="I5437" t="s">
        <v>60</v>
      </c>
      <c r="J5437" t="s">
        <v>48</v>
      </c>
      <c r="K5437" s="2" t="str">
        <f>HYPERLINK("https://www.nba.com/stats/events?CFID=&amp;CFPARAMS=&amp;GameEventID=378&amp;GameID=0041800114&amp;Season=2018-19&amp;flag=1&amp;title=Leonard%20Driving%20Layup%20(29%20PTS)", "Leonard Driving Layup (29 PTS)")</f>
        <v>Leonard Driving Layup (29 PTS)</v>
      </c>
      <c r="L5437" s="2" t="str">
        <f>HYPERLINK("https://www.nba.com/game/...-vs-...-0041800114/play-by-play?watchFullGame=true", "TOR vs ORL - Q3 03:22.00")</f>
        <v>TOR vs ORL - Q3 03:22.00</v>
      </c>
      <c r="M5437">
        <v>0</v>
      </c>
      <c r="N5437">
        <v>-3</v>
      </c>
      <c r="O5437">
        <v>3</v>
      </c>
      <c r="P5437">
        <v>-3</v>
      </c>
      <c r="Q5437">
        <v>3</v>
      </c>
      <c r="R5437" t="s">
        <v>21</v>
      </c>
      <c r="S5437" t="s">
        <v>21</v>
      </c>
    </row>
    <row r="5438" spans="1:19" hidden="1" x14ac:dyDescent="0.25">
      <c r="A5438">
        <v>21801072</v>
      </c>
      <c r="B5438" t="s">
        <v>18</v>
      </c>
      <c r="C5438" t="s">
        <v>23</v>
      </c>
      <c r="D5438">
        <v>108</v>
      </c>
      <c r="E5438">
        <v>97</v>
      </c>
      <c r="F5438">
        <v>11</v>
      </c>
      <c r="G5438">
        <v>4</v>
      </c>
      <c r="H5438" s="1">
        <v>2.476851851851852E-3</v>
      </c>
      <c r="I5438">
        <v>2018</v>
      </c>
      <c r="J5438" t="s">
        <v>48</v>
      </c>
      <c r="K5438" s="2" t="str">
        <f>HYPERLINK("https://www.nba.com/stats/events?CFID=&amp;CFPARAMS=&amp;GameEventID=600&amp;GameID=0021801072&amp;Season=2018-19&amp;flag=1&amp;title=Leonard%20Dunk%20(17%20PTS)%20(Siakam%205%20AST)", "Leonard Dunk (17 PTS) (Siakam 5 AST)")</f>
        <v>Leonard Dunk (17 PTS) (Siakam 5 AST)</v>
      </c>
      <c r="L5438" s="2" t="str">
        <f>HYPERLINK("https://www.nba.com/game/...-vs-...-0021801072/play-by-play?watchFullGame=true", "TOR vs OKC - Q4 03:34.00")</f>
        <v>TOR vs OKC - Q4 03:34.00</v>
      </c>
      <c r="M5438">
        <v>0</v>
      </c>
      <c r="N5438">
        <v>3</v>
      </c>
      <c r="O5438">
        <v>-1</v>
      </c>
      <c r="P5438">
        <v>3</v>
      </c>
      <c r="Q5438">
        <v>-1</v>
      </c>
      <c r="R5438" t="s">
        <v>21</v>
      </c>
      <c r="S5438" t="s">
        <v>21</v>
      </c>
    </row>
    <row r="5439" spans="1:19" hidden="1" x14ac:dyDescent="0.25">
      <c r="A5439">
        <v>41800214</v>
      </c>
      <c r="B5439" t="s">
        <v>18</v>
      </c>
      <c r="C5439" t="s">
        <v>25</v>
      </c>
      <c r="D5439">
        <v>41</v>
      </c>
      <c r="E5439">
        <v>34</v>
      </c>
      <c r="F5439">
        <v>7</v>
      </c>
      <c r="G5439">
        <v>2</v>
      </c>
      <c r="H5439" s="1">
        <v>2.5115740740740741E-3</v>
      </c>
      <c r="I5439" t="s">
        <v>60</v>
      </c>
      <c r="J5439" t="s">
        <v>48</v>
      </c>
      <c r="K5439" s="2" t="str">
        <f>HYPERLINK("https://www.nba.com/stats/events?CFID=&amp;CFPARAMS=&amp;GameEventID=287&amp;GameID=0041800214&amp;Season=2018-19&amp;flag=1&amp;title=Leonard%20Driving%20Dunk%20(13%20PTS)", "Leonard Driving Dunk (13 PTS)")</f>
        <v>Leonard Driving Dunk (13 PTS)</v>
      </c>
      <c r="L5439" s="2" t="str">
        <f>HYPERLINK("https://www.nba.com/game/...-vs-...-0041800214/play-by-play?watchFullGame=true", "TOR vs PHI - Q2 03:37.00")</f>
        <v>TOR vs PHI - Q2 03:37.00</v>
      </c>
      <c r="M5439">
        <v>0</v>
      </c>
      <c r="N5439">
        <v>3</v>
      </c>
      <c r="O5439">
        <v>0</v>
      </c>
      <c r="P5439">
        <v>3</v>
      </c>
      <c r="Q5439">
        <v>0</v>
      </c>
      <c r="R5439" t="s">
        <v>21</v>
      </c>
      <c r="S5439" t="s">
        <v>21</v>
      </c>
    </row>
    <row r="5440" spans="1:19" hidden="1" x14ac:dyDescent="0.25">
      <c r="A5440">
        <v>41600233</v>
      </c>
      <c r="B5440" t="s">
        <v>18</v>
      </c>
      <c r="C5440" t="s">
        <v>25</v>
      </c>
      <c r="D5440">
        <v>52</v>
      </c>
      <c r="E5440">
        <v>43</v>
      </c>
      <c r="F5440">
        <v>9</v>
      </c>
      <c r="G5440">
        <v>3</v>
      </c>
      <c r="H5440" s="1">
        <v>6.2268518518518515E-3</v>
      </c>
      <c r="I5440" t="s">
        <v>58</v>
      </c>
      <c r="J5440" t="s">
        <v>20</v>
      </c>
      <c r="K5440" s="2" t="str">
        <f>HYPERLINK("https://www.nba.com/stats/events?CFID=&amp;CFPARAMS=&amp;GameEventID=285&amp;GameID=0041600233&amp;Season=2016-17&amp;flag=1&amp;title=Leonard%20Driving%20Dunk%20(17%20PTS)", "Leonard Driving Dunk (17 PTS)")</f>
        <v>Leonard Driving Dunk (17 PTS)</v>
      </c>
      <c r="L5440" s="2" t="str">
        <f>HYPERLINK("https://www.nba.com/game/...-vs-...-0041600233/play-by-play?watchFullGame=true", "SAS vs HOU - Q3 08:58.00")</f>
        <v>SAS vs HOU - Q3 08:58.00</v>
      </c>
      <c r="M5440">
        <v>0</v>
      </c>
      <c r="N5440">
        <v>3</v>
      </c>
      <c r="O5440">
        <v>-1</v>
      </c>
      <c r="P5440">
        <v>3</v>
      </c>
      <c r="Q5440">
        <v>-1</v>
      </c>
      <c r="R5440" t="s">
        <v>21</v>
      </c>
      <c r="S5440" t="s">
        <v>21</v>
      </c>
    </row>
    <row r="5441" spans="1:19" hidden="1" x14ac:dyDescent="0.25">
      <c r="A5441">
        <v>41300315</v>
      </c>
      <c r="B5441" t="s">
        <v>18</v>
      </c>
      <c r="C5441" t="s">
        <v>35</v>
      </c>
      <c r="D5441">
        <v>16</v>
      </c>
      <c r="E5441">
        <v>21</v>
      </c>
      <c r="F5441">
        <v>5</v>
      </c>
      <c r="G5441">
        <v>1</v>
      </c>
      <c r="H5441" s="1">
        <v>2.5578703703703705E-3</v>
      </c>
      <c r="I5441" t="s">
        <v>55</v>
      </c>
      <c r="J5441" t="s">
        <v>20</v>
      </c>
      <c r="K5441" s="2" t="str">
        <f>HYPERLINK("https://www.nba.com/stats/events?CFID=&amp;CFPARAMS=&amp;GameEventID=74&amp;GameID=0041300315&amp;Season=2013-14&amp;flag=1&amp;title=Leonard%20%20Reverse%20Layup%20(4%20PTS)%20(Parker%202%20AST)", "Leonard  Reverse Layup (4 PTS) (Parker 2 AST)")</f>
        <v>Leonard  Reverse Layup (4 PTS) (Parker 2 AST)</v>
      </c>
      <c r="L5441" s="2" t="str">
        <f>HYPERLINK("https://www.nba.com/game/...-vs-...-0041300315/play-by-play?watchFullGame=true", "SAS vs OKC - Q1 03:41.00")</f>
        <v>SAS vs OKC - Q1 03:41.00</v>
      </c>
      <c r="M5441">
        <v>0</v>
      </c>
      <c r="N5441">
        <v>4</v>
      </c>
      <c r="O5441">
        <v>0</v>
      </c>
      <c r="P5441">
        <v>4</v>
      </c>
      <c r="Q5441">
        <v>0</v>
      </c>
      <c r="R5441" t="s">
        <v>21</v>
      </c>
      <c r="S5441" t="s">
        <v>21</v>
      </c>
    </row>
    <row r="5442" spans="1:19" hidden="1" x14ac:dyDescent="0.25">
      <c r="A5442">
        <v>21800459</v>
      </c>
      <c r="B5442" t="s">
        <v>18</v>
      </c>
      <c r="C5442" t="s">
        <v>50</v>
      </c>
      <c r="D5442">
        <v>50</v>
      </c>
      <c r="E5442">
        <v>57</v>
      </c>
      <c r="F5442">
        <v>7</v>
      </c>
      <c r="G5442">
        <v>2</v>
      </c>
      <c r="H5442" s="1">
        <v>1.0416666666666667E-4</v>
      </c>
      <c r="I5442">
        <v>2018</v>
      </c>
      <c r="J5442" t="s">
        <v>48</v>
      </c>
      <c r="K5442" s="2" t="str">
        <f>HYPERLINK("https://www.nba.com/stats/events?CFID=&amp;CFPARAMS=&amp;GameEventID=331&amp;GameID=0021800459&amp;Season=2018-19&amp;flag=1&amp;title=Leonard%201'%20Running%20Dunk%20(13%20PTS)", "Leonard 1' Running Dunk (13 PTS)")</f>
        <v>Leonard 1' Running Dunk (13 PTS)</v>
      </c>
      <c r="L5442" s="2" t="str">
        <f>HYPERLINK("https://www.nba.com/game/...-vs-...-0021800459/play-by-play?watchFullGame=true", "TOR vs IND - Q2 00:09.00")</f>
        <v>TOR vs IND - Q2 00:09.00</v>
      </c>
      <c r="M5442">
        <v>1</v>
      </c>
      <c r="N5442">
        <v>4</v>
      </c>
      <c r="O5442">
        <v>12</v>
      </c>
      <c r="P5442">
        <v>4</v>
      </c>
      <c r="Q5442">
        <v>12</v>
      </c>
      <c r="R5442" t="s">
        <v>21</v>
      </c>
      <c r="S5442" t="s">
        <v>21</v>
      </c>
    </row>
    <row r="5443" spans="1:19" hidden="1" x14ac:dyDescent="0.25">
      <c r="A5443">
        <v>21300932</v>
      </c>
      <c r="B5443" t="s">
        <v>18</v>
      </c>
      <c r="C5443" t="s">
        <v>23</v>
      </c>
      <c r="D5443">
        <v>116</v>
      </c>
      <c r="E5443">
        <v>104</v>
      </c>
      <c r="F5443">
        <v>12</v>
      </c>
      <c r="G5443">
        <v>4</v>
      </c>
      <c r="H5443" s="1">
        <v>1.5625000000000001E-3</v>
      </c>
      <c r="I5443">
        <v>2013</v>
      </c>
      <c r="J5443" t="s">
        <v>20</v>
      </c>
      <c r="K5443" s="2" t="str">
        <f>HYPERLINK("https://www.nba.com/stats/events?CFID=&amp;CFPARAMS=&amp;GameEventID=508&amp;GameID=0021300932&amp;Season=2013-14&amp;flag=1&amp;title=Leonard%201'%20Dunk%20(17%20PTS)", "Leonard 1' Dunk (17 PTS)")</f>
        <v>Leonard 1' Dunk (17 PTS)</v>
      </c>
      <c r="L5443" s="2" t="str">
        <f>HYPERLINK("https://www.nba.com/game/...-vs-...-0021300932/play-by-play?watchFullGame=true", "SAS vs ORL - Q4 02:15.00")</f>
        <v>SAS vs ORL - Q4 02:15.00</v>
      </c>
      <c r="M5443">
        <v>1</v>
      </c>
      <c r="N5443">
        <v>4</v>
      </c>
      <c r="O5443">
        <v>14</v>
      </c>
      <c r="P5443">
        <v>4</v>
      </c>
      <c r="Q5443">
        <v>14</v>
      </c>
      <c r="R5443" t="s">
        <v>21</v>
      </c>
      <c r="S5443" t="s">
        <v>21</v>
      </c>
    </row>
    <row r="5444" spans="1:19" hidden="1" x14ac:dyDescent="0.25">
      <c r="A5444">
        <v>21401110</v>
      </c>
      <c r="B5444" t="s">
        <v>26</v>
      </c>
      <c r="C5444" t="s">
        <v>19</v>
      </c>
      <c r="D5444">
        <v>13</v>
      </c>
      <c r="E5444">
        <v>10</v>
      </c>
      <c r="F5444">
        <v>3</v>
      </c>
      <c r="G5444">
        <v>1</v>
      </c>
      <c r="H5444" s="1">
        <v>2.5694444444444445E-3</v>
      </c>
      <c r="I5444">
        <v>2014</v>
      </c>
      <c r="J5444" t="s">
        <v>20</v>
      </c>
      <c r="K5444" s="2" t="str">
        <f>HYPERLINK("https://www.nba.com/stats/events?CFID=&amp;CFPARAMS=&amp;GameEventID=81&amp;GameID=0021401110&amp;Season=2014-15&amp;flag=1&amp;title=Leonard%203PT%20Jump%20Shot%20(5%20PTS)%20(Diaw%201%20AST)", "Leonard 3PT Jump Shot (5 PTS) (Diaw 1 AST)")</f>
        <v>Leonard 3PT Jump Shot (5 PTS) (Diaw 1 AST)</v>
      </c>
      <c r="L5444" s="2" t="str">
        <f>HYPERLINK("https://www.nba.com/game/...-vs-...-0021401110/play-by-play?watchFullGame=true", "SAS vs MIA - Q1 03:42.00")</f>
        <v>SAS vs MIA - Q1 03:42.00</v>
      </c>
      <c r="M5444">
        <v>0</v>
      </c>
      <c r="N5444">
        <v>234</v>
      </c>
      <c r="O5444">
        <v>19</v>
      </c>
      <c r="P5444">
        <v>234</v>
      </c>
      <c r="Q5444">
        <v>19</v>
      </c>
      <c r="R5444" t="s">
        <v>21</v>
      </c>
      <c r="S5444" t="s">
        <v>21</v>
      </c>
    </row>
    <row r="5445" spans="1:19" hidden="1" x14ac:dyDescent="0.25">
      <c r="A5445">
        <v>21300932</v>
      </c>
      <c r="B5445" t="s">
        <v>18</v>
      </c>
      <c r="C5445" t="s">
        <v>25</v>
      </c>
      <c r="D5445">
        <v>82</v>
      </c>
      <c r="E5445">
        <v>75</v>
      </c>
      <c r="F5445">
        <v>7</v>
      </c>
      <c r="G5445">
        <v>3</v>
      </c>
      <c r="H5445" s="1">
        <v>1.9560185185185184E-3</v>
      </c>
      <c r="I5445">
        <v>2013</v>
      </c>
      <c r="J5445" t="s">
        <v>20</v>
      </c>
      <c r="K5445" s="2" t="str">
        <f>HYPERLINK("https://www.nba.com/stats/events?CFID=&amp;CFPARAMS=&amp;GameEventID=352&amp;GameID=0021300932&amp;Season=2013-14&amp;flag=1&amp;title=Leonard%201'%20Driving%20Dunk%20(12%20PTS)", "Leonard 1' Driving Dunk (12 PTS)")</f>
        <v>Leonard 1' Driving Dunk (12 PTS)</v>
      </c>
      <c r="L5445" s="2" t="str">
        <f>HYPERLINK("https://www.nba.com/game/...-vs-...-0021300932/play-by-play?watchFullGame=true", "SAS vs ORL - Q3 02:49.00")</f>
        <v>SAS vs ORL - Q3 02:49.00</v>
      </c>
      <c r="M5445">
        <v>1</v>
      </c>
      <c r="N5445">
        <v>4</v>
      </c>
      <c r="O5445">
        <v>6</v>
      </c>
      <c r="P5445">
        <v>4</v>
      </c>
      <c r="Q5445">
        <v>6</v>
      </c>
      <c r="R5445" t="s">
        <v>21</v>
      </c>
      <c r="S5445" t="s">
        <v>21</v>
      </c>
    </row>
    <row r="5446" spans="1:19" hidden="1" x14ac:dyDescent="0.25">
      <c r="A5446">
        <v>21300224</v>
      </c>
      <c r="B5446" t="s">
        <v>18</v>
      </c>
      <c r="C5446" t="s">
        <v>23</v>
      </c>
      <c r="D5446">
        <v>16</v>
      </c>
      <c r="E5446">
        <v>12</v>
      </c>
      <c r="F5446">
        <v>4</v>
      </c>
      <c r="G5446">
        <v>1</v>
      </c>
      <c r="H5446" s="1">
        <v>2.3032407407407407E-3</v>
      </c>
      <c r="I5446">
        <v>2013</v>
      </c>
      <c r="J5446" t="s">
        <v>20</v>
      </c>
      <c r="K5446" s="2" t="str">
        <f>HYPERLINK("https://www.nba.com/stats/events?CFID=&amp;CFPARAMS=&amp;GameEventID=82&amp;GameID=0021300224&amp;Season=2013-14&amp;flag=1&amp;title=Leonard%201'%20Dunk%20(2%20PTS)", "Leonard 1' Dunk (2 PTS)")</f>
        <v>Leonard 1' Dunk (2 PTS)</v>
      </c>
      <c r="L5446" s="2" t="str">
        <f>HYPERLINK("https://www.nba.com/game/...-vs-...-0021300224/play-by-play?watchFullGame=true", "SAS vs OKC - Q1 03:19.00")</f>
        <v>SAS vs OKC - Q1 03:19.00</v>
      </c>
      <c r="M5446">
        <v>1</v>
      </c>
      <c r="N5446">
        <v>4</v>
      </c>
      <c r="O5446">
        <v>12</v>
      </c>
      <c r="P5446">
        <v>4</v>
      </c>
      <c r="Q5446">
        <v>12</v>
      </c>
      <c r="R5446" t="s">
        <v>21</v>
      </c>
      <c r="S5446" t="s">
        <v>21</v>
      </c>
    </row>
    <row r="5447" spans="1:19" hidden="1" x14ac:dyDescent="0.25">
      <c r="A5447">
        <v>21500909</v>
      </c>
      <c r="B5447" t="s">
        <v>18</v>
      </c>
      <c r="C5447" t="s">
        <v>25</v>
      </c>
      <c r="D5447">
        <v>20</v>
      </c>
      <c r="E5447">
        <v>17</v>
      </c>
      <c r="F5447">
        <v>3</v>
      </c>
      <c r="G5447">
        <v>1</v>
      </c>
      <c r="H5447" s="1">
        <v>2.8587962962962963E-3</v>
      </c>
      <c r="I5447">
        <v>2015</v>
      </c>
      <c r="J5447" t="s">
        <v>20</v>
      </c>
      <c r="K5447" s="2" t="str">
        <f>HYPERLINK("https://www.nba.com/stats/events?CFID=&amp;CFPARAMS=&amp;GameEventID=68&amp;GameID=0021500909&amp;Season=2015-16&amp;flag=1&amp;title=Leonard%201'%20Driving%20Dunk%20(9%20PTS)", "Leonard 1' Driving Dunk (9 PTS)")</f>
        <v>Leonard 1' Driving Dunk (9 PTS)</v>
      </c>
      <c r="L5447" s="2" t="str">
        <f>HYPERLINK("https://www.nba.com/game/...-vs-...-0021500909/play-by-play?watchFullGame=true", "SAS vs NOP - Q1 04:07.00")</f>
        <v>SAS vs NOP - Q1 04:07.00</v>
      </c>
      <c r="M5447">
        <v>1</v>
      </c>
      <c r="N5447">
        <v>4</v>
      </c>
      <c r="O5447">
        <v>7</v>
      </c>
      <c r="P5447">
        <v>4</v>
      </c>
      <c r="Q5447">
        <v>7</v>
      </c>
      <c r="R5447" t="s">
        <v>21</v>
      </c>
      <c r="S5447" t="s">
        <v>21</v>
      </c>
    </row>
    <row r="5448" spans="1:19" hidden="1" x14ac:dyDescent="0.25">
      <c r="A5448">
        <v>41200406</v>
      </c>
      <c r="B5448" t="s">
        <v>18</v>
      </c>
      <c r="C5448" t="s">
        <v>25</v>
      </c>
      <c r="D5448">
        <v>18</v>
      </c>
      <c r="E5448">
        <v>16</v>
      </c>
      <c r="F5448">
        <v>2</v>
      </c>
      <c r="G5448">
        <v>1</v>
      </c>
      <c r="H5448" s="1">
        <v>4.1203703703703706E-3</v>
      </c>
      <c r="I5448" t="s">
        <v>53</v>
      </c>
      <c r="J5448" t="s">
        <v>20</v>
      </c>
      <c r="K5448" s="2" t="str">
        <f>HYPERLINK("https://www.nba.com/stats/events?CFID=&amp;CFPARAMS=&amp;GameEventID=43&amp;GameID=0041200406&amp;Season=2012-13&amp;flag=1&amp;title=Leonard%201'%20Driving%20Dunk%20(8%20PTS)%20(Parker%204%20AST)", "Leonard 1' Driving Dunk (8 PTS) (Parker 4 AST)")</f>
        <v>Leonard 1' Driving Dunk (8 PTS) (Parker 4 AST)</v>
      </c>
      <c r="L5448" s="2" t="str">
        <f>HYPERLINK("https://www.nba.com/game/...-vs-...-0041200406/play-by-play?watchFullGame=true", "SAS vs MIA - Q1 05:56.00")</f>
        <v>SAS vs MIA - Q1 05:56.00</v>
      </c>
      <c r="M5448">
        <v>1</v>
      </c>
      <c r="N5448">
        <v>4</v>
      </c>
      <c r="O5448">
        <v>6</v>
      </c>
      <c r="P5448">
        <v>4</v>
      </c>
      <c r="Q5448">
        <v>6</v>
      </c>
      <c r="R5448" t="s">
        <v>21</v>
      </c>
      <c r="S5448" t="s">
        <v>21</v>
      </c>
    </row>
    <row r="5449" spans="1:19" hidden="1" x14ac:dyDescent="0.25">
      <c r="A5449">
        <v>21800459</v>
      </c>
      <c r="B5449" t="s">
        <v>18</v>
      </c>
      <c r="C5449" t="s">
        <v>50</v>
      </c>
      <c r="D5449">
        <v>36</v>
      </c>
      <c r="E5449">
        <v>43</v>
      </c>
      <c r="F5449">
        <v>7</v>
      </c>
      <c r="G5449">
        <v>2</v>
      </c>
      <c r="H5449" s="1">
        <v>4.9768518518518521E-3</v>
      </c>
      <c r="I5449">
        <v>2018</v>
      </c>
      <c r="J5449" t="s">
        <v>48</v>
      </c>
      <c r="K5449" s="2" t="str">
        <f>HYPERLINK("https://www.nba.com/stats/events?CFID=&amp;CFPARAMS=&amp;GameEventID=241&amp;GameID=0021800459&amp;Season=2018-19&amp;flag=1&amp;title=Leonard%201'%20Running%20Dunk%20(5%20PTS)", "Leonard 1' Running Dunk (5 PTS)")</f>
        <v>Leonard 1' Running Dunk (5 PTS)</v>
      </c>
      <c r="L5449" s="2" t="str">
        <f>HYPERLINK("https://www.nba.com/game/...-vs-...-0021800459/play-by-play?watchFullGame=true", "TOR vs IND - Q2 07:10.00")</f>
        <v>TOR vs IND - Q2 07:10.00</v>
      </c>
      <c r="M5449">
        <v>1</v>
      </c>
      <c r="N5449">
        <v>4</v>
      </c>
      <c r="O5449">
        <v>4</v>
      </c>
      <c r="P5449">
        <v>4</v>
      </c>
      <c r="Q5449">
        <v>4</v>
      </c>
      <c r="R5449" t="s">
        <v>21</v>
      </c>
      <c r="S5449" t="s">
        <v>21</v>
      </c>
    </row>
    <row r="5450" spans="1:19" hidden="1" x14ac:dyDescent="0.25">
      <c r="A5450">
        <v>41800216</v>
      </c>
      <c r="B5450" t="s">
        <v>18</v>
      </c>
      <c r="C5450" t="s">
        <v>25</v>
      </c>
      <c r="D5450">
        <v>75</v>
      </c>
      <c r="E5450">
        <v>95</v>
      </c>
      <c r="F5450">
        <v>20</v>
      </c>
      <c r="G5450">
        <v>4</v>
      </c>
      <c r="H5450" s="1">
        <v>5.1736111111111115E-3</v>
      </c>
      <c r="I5450" t="s">
        <v>60</v>
      </c>
      <c r="J5450" t="s">
        <v>48</v>
      </c>
      <c r="K5450" s="2" t="str">
        <f>HYPERLINK("https://www.nba.com/stats/events?CFID=&amp;CFPARAMS=&amp;GameEventID=551&amp;GameID=0041800216&amp;Season=2018-19&amp;flag=1&amp;title=Leonard%201'%20Driving%20Dunk%20(26%20PTS)", "Leonard 1' Driving Dunk (26 PTS)")</f>
        <v>Leonard 1' Driving Dunk (26 PTS)</v>
      </c>
      <c r="L5450" s="2" t="str">
        <f>HYPERLINK("https://www.nba.com/game/...-vs-...-0041800216/play-by-play?watchFullGame=true", "TOR vs PHI - Q4 07:27.00")</f>
        <v>TOR vs PHI - Q4 07:27.00</v>
      </c>
      <c r="M5450">
        <v>1</v>
      </c>
      <c r="N5450">
        <v>4</v>
      </c>
      <c r="O5450">
        <v>11</v>
      </c>
      <c r="P5450">
        <v>4</v>
      </c>
      <c r="Q5450">
        <v>11</v>
      </c>
      <c r="R5450" t="s">
        <v>21</v>
      </c>
      <c r="S5450" t="s">
        <v>21</v>
      </c>
    </row>
    <row r="5451" spans="1:19" hidden="1" x14ac:dyDescent="0.25">
      <c r="A5451">
        <v>41200152</v>
      </c>
      <c r="B5451" t="s">
        <v>18</v>
      </c>
      <c r="C5451" t="s">
        <v>24</v>
      </c>
      <c r="D5451">
        <v>43</v>
      </c>
      <c r="E5451">
        <v>39</v>
      </c>
      <c r="F5451">
        <v>4</v>
      </c>
      <c r="G5451">
        <v>2</v>
      </c>
      <c r="H5451" s="1">
        <v>2.7083333333333334E-3</v>
      </c>
      <c r="I5451" t="s">
        <v>53</v>
      </c>
      <c r="J5451" t="s">
        <v>20</v>
      </c>
      <c r="K5451" s="2" t="str">
        <f>HYPERLINK("https://www.nba.com/stats/events?CFID=&amp;CFPARAMS=&amp;GameEventID=198&amp;GameID=0041200152&amp;Season=2012-13&amp;flag=1&amp;title=Leonard%20%20Layup%20(12%20PTS)", "Leonard  Layup (12 PTS)")</f>
        <v>Leonard  Layup (12 PTS)</v>
      </c>
      <c r="L5451" s="2" t="str">
        <f>HYPERLINK("https://www.nba.com/game/...-vs-...-0041200152/play-by-play?watchFullGame=true", "SAS vs LAL - Q2 03:54.00")</f>
        <v>SAS vs LAL - Q2 03:54.00</v>
      </c>
      <c r="M5451">
        <v>0</v>
      </c>
      <c r="N5451">
        <v>1</v>
      </c>
      <c r="O5451">
        <v>-2</v>
      </c>
      <c r="P5451">
        <v>1</v>
      </c>
      <c r="Q5451">
        <v>-2</v>
      </c>
      <c r="R5451" t="s">
        <v>21</v>
      </c>
      <c r="S5451" t="s">
        <v>21</v>
      </c>
    </row>
    <row r="5452" spans="1:19" hidden="1" x14ac:dyDescent="0.25">
      <c r="A5452">
        <v>41300403</v>
      </c>
      <c r="B5452" t="s">
        <v>18</v>
      </c>
      <c r="C5452" t="s">
        <v>50</v>
      </c>
      <c r="D5452">
        <v>13</v>
      </c>
      <c r="E5452">
        <v>8</v>
      </c>
      <c r="F5452">
        <v>5</v>
      </c>
      <c r="G5452">
        <v>1</v>
      </c>
      <c r="H5452" s="1">
        <v>6.0648148148148145E-3</v>
      </c>
      <c r="I5452" t="s">
        <v>55</v>
      </c>
      <c r="J5452" t="s">
        <v>20</v>
      </c>
      <c r="K5452" s="2" t="str">
        <f>HYPERLINK("https://www.nba.com/stats/events?CFID=&amp;CFPARAMS=&amp;GameEventID=26&amp;GameID=0041300403&amp;Season=2013-14&amp;flag=1&amp;title=Leonard%201'%20Running%20Dunk%20(7%20PTS)%20(Green%201%20AST)", "Leonard 1' Running Dunk (7 PTS) (Green 1 AST)")</f>
        <v>Leonard 1' Running Dunk (7 PTS) (Green 1 AST)</v>
      </c>
      <c r="L5452" s="2" t="str">
        <f>HYPERLINK("https://www.nba.com/game/...-vs-...-0041300403/play-by-play?watchFullGame=true", "SAS vs MIA - Q1 08:44.00")</f>
        <v>SAS vs MIA - Q1 08:44.00</v>
      </c>
      <c r="M5452">
        <v>1</v>
      </c>
      <c r="N5452">
        <v>4</v>
      </c>
      <c r="O5452">
        <v>6</v>
      </c>
      <c r="P5452">
        <v>4</v>
      </c>
      <c r="Q5452">
        <v>6</v>
      </c>
      <c r="R5452" t="s">
        <v>21</v>
      </c>
      <c r="S5452" t="s">
        <v>21</v>
      </c>
    </row>
    <row r="5453" spans="1:19" hidden="1" x14ac:dyDescent="0.25">
      <c r="A5453">
        <v>21601170</v>
      </c>
      <c r="B5453" t="s">
        <v>26</v>
      </c>
      <c r="C5453" t="s">
        <v>19</v>
      </c>
      <c r="D5453">
        <v>34</v>
      </c>
      <c r="E5453">
        <v>49</v>
      </c>
      <c r="F5453">
        <v>15</v>
      </c>
      <c r="G5453">
        <v>2</v>
      </c>
      <c r="H5453" s="1">
        <v>2.7777777777777779E-3</v>
      </c>
      <c r="I5453">
        <v>2016</v>
      </c>
      <c r="J5453" t="s">
        <v>20</v>
      </c>
      <c r="K5453" s="2" t="str">
        <f>HYPERLINK("https://www.nba.com/stats/events?CFID=&amp;CFPARAMS=&amp;GameEventID=179&amp;GameID=0021601170&amp;Season=2016-17&amp;flag=1&amp;title=Leonard%20%203PT%20Jump%20Shot%20(11%20PTS)%20(Mills%202%20AST)", "Leonard  3PT Jump Shot (11 PTS) (Mills 2 AST)")</f>
        <v>Leonard  3PT Jump Shot (11 PTS) (Mills 2 AST)</v>
      </c>
      <c r="L5453" s="2" t="str">
        <f>HYPERLINK("https://www.nba.com/game/...-vs-...-0021601170/play-by-play?watchFullGame=true", "SAS vs LAL - Q2 04:00.00")</f>
        <v>SAS vs LAL - Q2 04:00.00</v>
      </c>
      <c r="M5453">
        <v>0</v>
      </c>
      <c r="N5453">
        <v>-232</v>
      </c>
      <c r="O5453">
        <v>26</v>
      </c>
      <c r="P5453">
        <v>-232</v>
      </c>
      <c r="Q5453">
        <v>26</v>
      </c>
      <c r="R5453" t="s">
        <v>21</v>
      </c>
      <c r="S5453" t="s">
        <v>21</v>
      </c>
    </row>
    <row r="5454" spans="1:19" hidden="1" x14ac:dyDescent="0.25">
      <c r="A5454">
        <v>21500759</v>
      </c>
      <c r="B5454" t="s">
        <v>26</v>
      </c>
      <c r="C5454" t="s">
        <v>19</v>
      </c>
      <c r="D5454">
        <v>50</v>
      </c>
      <c r="E5454">
        <v>22</v>
      </c>
      <c r="F5454">
        <v>28</v>
      </c>
      <c r="G5454">
        <v>2</v>
      </c>
      <c r="H5454" s="1">
        <v>2.9398148148148148E-3</v>
      </c>
      <c r="I5454">
        <v>2015</v>
      </c>
      <c r="J5454" t="s">
        <v>20</v>
      </c>
      <c r="K5454" s="2" t="str">
        <f>HYPERLINK("https://www.nba.com/stats/events?CFID=&amp;CFPARAMS=&amp;GameEventID=204&amp;GameID=0021500759&amp;Season=2015-16&amp;flag=1&amp;title=Leonard%20%203PT%20Jump%20Shot%20(14%20PTS)%20(Green%201%20AST)", "Leonard  3PT Jump Shot (14 PTS) (Green 1 AST)")</f>
        <v>Leonard  3PT Jump Shot (14 PTS) (Green 1 AST)</v>
      </c>
      <c r="L5454" s="2" t="str">
        <f>HYPERLINK("https://www.nba.com/game/...-vs-...-0021500759/play-by-play?watchFullGame=true", "SAS vs DAL - Q2 04:14.00")</f>
        <v>SAS vs DAL - Q2 04:14.00</v>
      </c>
      <c r="M5454">
        <v>0</v>
      </c>
      <c r="N5454">
        <v>-228</v>
      </c>
      <c r="O5454">
        <v>13</v>
      </c>
      <c r="P5454">
        <v>-228</v>
      </c>
      <c r="Q5454">
        <v>13</v>
      </c>
      <c r="R5454" t="s">
        <v>21</v>
      </c>
      <c r="S5454" t="s">
        <v>21</v>
      </c>
    </row>
    <row r="5455" spans="1:19" hidden="1" x14ac:dyDescent="0.25">
      <c r="A5455">
        <v>21800055</v>
      </c>
      <c r="B5455" t="s">
        <v>18</v>
      </c>
      <c r="C5455" t="s">
        <v>71</v>
      </c>
      <c r="D5455">
        <v>22</v>
      </c>
      <c r="E5455">
        <v>9</v>
      </c>
      <c r="F5455">
        <v>13</v>
      </c>
      <c r="G5455">
        <v>1</v>
      </c>
      <c r="H5455" s="1">
        <v>2.9629629629629628E-3</v>
      </c>
      <c r="I5455">
        <v>2018</v>
      </c>
      <c r="J5455" t="s">
        <v>48</v>
      </c>
      <c r="K5455" s="2" t="str">
        <f>HYPERLINK("https://www.nba.com/stats/events?CFID=&amp;CFPARAMS=&amp;GameEventID=92&amp;GameID=0021800055&amp;Season=2018-19&amp;flag=1&amp;title=Leonard%20Running%20Finger%20Roll%20Layup%20(11%20PTS)%20(Siakam%201%20AST)", "Leonard Running Finger Roll Layup (11 PTS) (Siakam 1 AST)")</f>
        <v>Leonard Running Finger Roll Layup (11 PTS) (Siakam 1 AST)</v>
      </c>
      <c r="L5455" s="2" t="str">
        <f>HYPERLINK("https://www.nba.com/game/...-vs-...-0021800055/play-by-play?watchFullGame=true", "TOR vs MIN - Q1 04:16.00")</f>
        <v>TOR vs MIN - Q1 04:16.00</v>
      </c>
      <c r="M5455">
        <v>0</v>
      </c>
      <c r="N5455">
        <v>0</v>
      </c>
      <c r="O5455">
        <v>1</v>
      </c>
      <c r="P5455">
        <v>0</v>
      </c>
      <c r="Q5455">
        <v>1</v>
      </c>
      <c r="R5455" t="s">
        <v>21</v>
      </c>
      <c r="S5455" t="s">
        <v>21</v>
      </c>
    </row>
    <row r="5456" spans="1:19" hidden="1" x14ac:dyDescent="0.25">
      <c r="A5456">
        <v>21600289</v>
      </c>
      <c r="B5456" t="s">
        <v>26</v>
      </c>
      <c r="C5456" t="s">
        <v>19</v>
      </c>
      <c r="D5456">
        <v>43</v>
      </c>
      <c r="E5456">
        <v>49</v>
      </c>
      <c r="F5456">
        <v>6</v>
      </c>
      <c r="G5456">
        <v>2</v>
      </c>
      <c r="H5456" s="1">
        <v>3.0439814814814813E-3</v>
      </c>
      <c r="I5456">
        <v>2016</v>
      </c>
      <c r="J5456" t="s">
        <v>20</v>
      </c>
      <c r="K5456" s="2" t="str">
        <f>HYPERLINK("https://www.nba.com/stats/events?CFID=&amp;CFPARAMS=&amp;GameEventID=208&amp;GameID=0021600289&amp;Season=2016-17&amp;flag=1&amp;title=Leonard%20%203PT%20Jump%20Shot%20(13%20PTS)%20(Laprovittola%202%20AST)", "Leonard  3PT Jump Shot (13 PTS) (Laprovittola 2 AST)")</f>
        <v>Leonard  3PT Jump Shot (13 PTS) (Laprovittola 2 AST)</v>
      </c>
      <c r="L5456" s="2" t="str">
        <f>HYPERLINK("https://www.nba.com/game/...-vs-...-0021600289/play-by-play?watchFullGame=true", "SAS vs WAS - Q2 04:23.00")</f>
        <v>SAS vs WAS - Q2 04:23.00</v>
      </c>
      <c r="M5456">
        <v>0</v>
      </c>
      <c r="N5456">
        <v>-232</v>
      </c>
      <c r="O5456">
        <v>-11</v>
      </c>
      <c r="P5456">
        <v>-232</v>
      </c>
      <c r="Q5456">
        <v>-11</v>
      </c>
      <c r="R5456" t="s">
        <v>21</v>
      </c>
      <c r="S5456" t="s">
        <v>21</v>
      </c>
    </row>
    <row r="5457" spans="1:19" hidden="1" x14ac:dyDescent="0.25">
      <c r="A5457">
        <v>21500172</v>
      </c>
      <c r="B5457" t="s">
        <v>26</v>
      </c>
      <c r="C5457" t="s">
        <v>19</v>
      </c>
      <c r="D5457">
        <v>104</v>
      </c>
      <c r="E5457">
        <v>91</v>
      </c>
      <c r="F5457">
        <v>13</v>
      </c>
      <c r="G5457">
        <v>4</v>
      </c>
      <c r="H5457" s="1">
        <v>3.1597222222222222E-3</v>
      </c>
      <c r="I5457">
        <v>2015</v>
      </c>
      <c r="J5457" t="s">
        <v>20</v>
      </c>
      <c r="K5457" s="2" t="str">
        <f>HYPERLINK("https://www.nba.com/stats/events?CFID=&amp;CFPARAMS=&amp;GameEventID=463&amp;GameID=0021500172&amp;Season=2015-16&amp;flag=1&amp;title=Leonard%20%203PT%20Jump%20Shot%20(20%20PTS)%20(Parker%209%20AST)", "Leonard  3PT Jump Shot (20 PTS) (Parker 9 AST)")</f>
        <v>Leonard  3PT Jump Shot (20 PTS) (Parker 9 AST)</v>
      </c>
      <c r="L5457" s="2" t="str">
        <f>HYPERLINK("https://www.nba.com/game/...-vs-...-0021500172/play-by-play?watchFullGame=true", "SAS vs DEN - Q4 04:33.00")</f>
        <v>SAS vs DEN - Q4 04:33.00</v>
      </c>
      <c r="M5457">
        <v>0</v>
      </c>
      <c r="N5457">
        <v>228</v>
      </c>
      <c r="O5457">
        <v>7</v>
      </c>
      <c r="P5457">
        <v>228</v>
      </c>
      <c r="Q5457">
        <v>7</v>
      </c>
      <c r="R5457" t="s">
        <v>21</v>
      </c>
      <c r="S5457" t="s">
        <v>21</v>
      </c>
    </row>
    <row r="5458" spans="1:19" hidden="1" x14ac:dyDescent="0.25">
      <c r="A5458">
        <v>41600155</v>
      </c>
      <c r="B5458" t="s">
        <v>18</v>
      </c>
      <c r="C5458" t="s">
        <v>74</v>
      </c>
      <c r="D5458">
        <v>104</v>
      </c>
      <c r="E5458">
        <v>97</v>
      </c>
      <c r="F5458">
        <v>7</v>
      </c>
      <c r="G5458">
        <v>4</v>
      </c>
      <c r="H5458" s="1">
        <v>3.1828703703703702E-3</v>
      </c>
      <c r="I5458" t="s">
        <v>58</v>
      </c>
      <c r="J5458" t="s">
        <v>20</v>
      </c>
      <c r="K5458" s="2" t="str">
        <f>HYPERLINK("https://www.nba.com/stats/events?CFID=&amp;CFPARAMS=&amp;GameEventID=417&amp;GameID=0041600155&amp;Season=2016-17&amp;flag=1&amp;title=Leonard%20%20Cutting%20Finger%20Roll%20Layup%20Shot%20(26%20PTS)%20(Lee%201%20AST)", "Leonard  Cutting Finger Roll Layup Shot (26 PTS) (Lee 1 AST)")</f>
        <v>Leonard  Cutting Finger Roll Layup Shot (26 PTS) (Lee 1 AST)</v>
      </c>
      <c r="L5458" s="2" t="str">
        <f>HYPERLINK("https://www.nba.com/game/...-vs-...-0041600155/play-by-play?watchFullGame=true", "SAS vs MEM - Q4 04:35.00")</f>
        <v>SAS vs MEM - Q4 04:35.00</v>
      </c>
      <c r="M5458">
        <v>0</v>
      </c>
      <c r="N5458">
        <v>0</v>
      </c>
      <c r="O5458">
        <v>-1</v>
      </c>
      <c r="P5458">
        <v>0</v>
      </c>
      <c r="Q5458">
        <v>-1</v>
      </c>
      <c r="R5458" t="s">
        <v>21</v>
      </c>
      <c r="S5458" t="s">
        <v>21</v>
      </c>
    </row>
    <row r="5459" spans="1:19" hidden="1" x14ac:dyDescent="0.25">
      <c r="A5459">
        <v>41800215</v>
      </c>
      <c r="B5459" t="s">
        <v>18</v>
      </c>
      <c r="C5459" t="s">
        <v>25</v>
      </c>
      <c r="D5459">
        <v>64</v>
      </c>
      <c r="E5459">
        <v>43</v>
      </c>
      <c r="F5459">
        <v>21</v>
      </c>
      <c r="G5459">
        <v>2</v>
      </c>
      <c r="H5459" s="1">
        <v>3.0092592592592593E-5</v>
      </c>
      <c r="I5459" t="s">
        <v>60</v>
      </c>
      <c r="J5459" t="s">
        <v>48</v>
      </c>
      <c r="K5459" s="2" t="str">
        <f>HYPERLINK("https://www.nba.com/stats/events?CFID=&amp;CFPARAMS=&amp;GameEventID=360&amp;GameID=0041800215&amp;Season=2018-19&amp;flag=1&amp;title=Leonard%201'%20Driving%20Dunk%20(13%20PTS)", "Leonard 1' Driving Dunk (13 PTS)")</f>
        <v>Leonard 1' Driving Dunk (13 PTS)</v>
      </c>
      <c r="L5459" s="2" t="str">
        <f>HYPERLINK("https://www.nba.com/game/...-vs-...-0041800215/play-by-play?watchFullGame=true", "TOR vs PHI - Q2 00:02.60")</f>
        <v>TOR vs PHI - Q2 00:02.60</v>
      </c>
      <c r="M5459">
        <v>1</v>
      </c>
      <c r="N5459">
        <v>5</v>
      </c>
      <c r="O5459">
        <v>-5</v>
      </c>
      <c r="P5459">
        <v>5</v>
      </c>
      <c r="Q5459">
        <v>-5</v>
      </c>
      <c r="R5459" t="s">
        <v>21</v>
      </c>
      <c r="S5459" t="s">
        <v>21</v>
      </c>
    </row>
    <row r="5460" spans="1:19" hidden="1" x14ac:dyDescent="0.25">
      <c r="A5460">
        <v>21800290</v>
      </c>
      <c r="B5460" t="s">
        <v>18</v>
      </c>
      <c r="C5460" t="s">
        <v>50</v>
      </c>
      <c r="D5460">
        <v>57</v>
      </c>
      <c r="E5460">
        <v>48</v>
      </c>
      <c r="F5460">
        <v>9</v>
      </c>
      <c r="G5460">
        <v>2</v>
      </c>
      <c r="H5460" s="1">
        <v>1.8865740740740742E-3</v>
      </c>
      <c r="I5460">
        <v>2018</v>
      </c>
      <c r="J5460" t="s">
        <v>48</v>
      </c>
      <c r="K5460" s="2" t="str">
        <f>HYPERLINK("https://www.nba.com/stats/events?CFID=&amp;CFPARAMS=&amp;GameEventID=276&amp;GameID=0021800290&amp;Season=2018-19&amp;flag=1&amp;title=Leonard%201'%20Running%20Dunk%20(16%20PTS)%20(Lowry%208%20AST)", "Leonard 1' Running Dunk (16 PTS) (Lowry 8 AST)")</f>
        <v>Leonard 1' Running Dunk (16 PTS) (Lowry 8 AST)</v>
      </c>
      <c r="L5460" s="2" t="str">
        <f>HYPERLINK("https://www.nba.com/game/...-vs-...-0021800290/play-by-play?watchFullGame=true", "TOR vs MIA - Q2 02:43.00")</f>
        <v>TOR vs MIA - Q2 02:43.00</v>
      </c>
      <c r="M5460">
        <v>1</v>
      </c>
      <c r="N5460">
        <v>5</v>
      </c>
      <c r="O5460">
        <v>12</v>
      </c>
      <c r="P5460">
        <v>5</v>
      </c>
      <c r="Q5460">
        <v>12</v>
      </c>
      <c r="R5460" t="s">
        <v>21</v>
      </c>
      <c r="S5460" t="s">
        <v>21</v>
      </c>
    </row>
    <row r="5461" spans="1:19" hidden="1" x14ac:dyDescent="0.25">
      <c r="A5461">
        <v>21500481</v>
      </c>
      <c r="B5461" t="s">
        <v>26</v>
      </c>
      <c r="C5461" t="s">
        <v>19</v>
      </c>
      <c r="D5461">
        <v>48</v>
      </c>
      <c r="E5461">
        <v>20</v>
      </c>
      <c r="F5461">
        <v>28</v>
      </c>
      <c r="G5461">
        <v>2</v>
      </c>
      <c r="H5461" s="1">
        <v>3.2291666666666666E-3</v>
      </c>
      <c r="I5461">
        <v>2015</v>
      </c>
      <c r="J5461" t="s">
        <v>20</v>
      </c>
      <c r="K5461" s="2" t="str">
        <f>HYPERLINK("https://www.nba.com/stats/events?CFID=&amp;CFPARAMS=&amp;GameEventID=204&amp;GameID=0021500481&amp;Season=2015-16&amp;flag=1&amp;title=Leonard%20%203PT%20Jump%20Shot%20(10%20PTS)%20(West%201%20AST)", "Leonard  3PT Jump Shot (10 PTS) (West 1 AST)")</f>
        <v>Leonard  3PT Jump Shot (10 PTS) (West 1 AST)</v>
      </c>
      <c r="L5461" s="2" t="str">
        <f>HYPERLINK("https://www.nba.com/game/...-vs-...-0021500481/play-by-play?watchFullGame=true", "SAS vs PHX - Q2 04:39.00")</f>
        <v>SAS vs PHX - Q2 04:39.00</v>
      </c>
      <c r="M5461">
        <v>0</v>
      </c>
      <c r="N5461">
        <v>223</v>
      </c>
      <c r="O5461">
        <v>11</v>
      </c>
      <c r="P5461">
        <v>223</v>
      </c>
      <c r="Q5461">
        <v>11</v>
      </c>
      <c r="R5461" t="s">
        <v>21</v>
      </c>
      <c r="S5461" t="s">
        <v>21</v>
      </c>
    </row>
    <row r="5462" spans="1:19" hidden="1" x14ac:dyDescent="0.25">
      <c r="A5462">
        <v>41800112</v>
      </c>
      <c r="B5462" t="s">
        <v>26</v>
      </c>
      <c r="C5462" t="s">
        <v>19</v>
      </c>
      <c r="D5462">
        <v>41</v>
      </c>
      <c r="E5462">
        <v>28</v>
      </c>
      <c r="F5462">
        <v>13</v>
      </c>
      <c r="G5462">
        <v>2</v>
      </c>
      <c r="H5462" s="1">
        <v>3.3217592592592591E-3</v>
      </c>
      <c r="I5462" t="s">
        <v>60</v>
      </c>
      <c r="J5462" t="s">
        <v>48</v>
      </c>
      <c r="K5462" s="2" t="str">
        <f>HYPERLINK("https://www.nba.com/stats/events?CFID=&amp;CFPARAMS=&amp;GameEventID=253&amp;GameID=0041800112&amp;Season=2018-19&amp;flag=1&amp;title=Leonard%203PT%20Jump%20Shot%20(17%20PTS)%20(Siakam%201%20AST)", "Leonard 3PT Jump Shot (17 PTS) (Siakam 1 AST)")</f>
        <v>Leonard 3PT Jump Shot (17 PTS) (Siakam 1 AST)</v>
      </c>
      <c r="L5462" s="2" t="str">
        <f>HYPERLINK("https://www.nba.com/game/...-vs-...-0041800112/play-by-play?watchFullGame=true", "TOR vs ORL - Q2 04:47.00")</f>
        <v>TOR vs ORL - Q2 04:47.00</v>
      </c>
      <c r="M5462">
        <v>0</v>
      </c>
      <c r="N5462">
        <v>-229</v>
      </c>
      <c r="O5462">
        <v>15</v>
      </c>
      <c r="P5462">
        <v>-229</v>
      </c>
      <c r="Q5462">
        <v>15</v>
      </c>
      <c r="R5462" t="s">
        <v>21</v>
      </c>
      <c r="S5462" t="s">
        <v>21</v>
      </c>
    </row>
    <row r="5463" spans="1:19" hidden="1" x14ac:dyDescent="0.25">
      <c r="A5463">
        <v>21700502</v>
      </c>
      <c r="B5463" t="s">
        <v>18</v>
      </c>
      <c r="C5463" t="s">
        <v>25</v>
      </c>
      <c r="D5463">
        <v>30</v>
      </c>
      <c r="E5463">
        <v>25</v>
      </c>
      <c r="F5463">
        <v>5</v>
      </c>
      <c r="G5463">
        <v>2</v>
      </c>
      <c r="H5463" s="1">
        <v>5.092592592592593E-3</v>
      </c>
      <c r="I5463">
        <v>2017</v>
      </c>
      <c r="J5463" t="s">
        <v>20</v>
      </c>
      <c r="K5463" s="2" t="str">
        <f>HYPERLINK("https://www.nba.com/stats/events?CFID=&amp;CFPARAMS=&amp;GameEventID=214&amp;GameID=0021700502&amp;Season=2017-18&amp;flag=1&amp;title=Leonard%201'%20Driving%20Dunk%20(11%20PTS)", "Leonard 1' Driving Dunk (11 PTS)")</f>
        <v>Leonard 1' Driving Dunk (11 PTS)</v>
      </c>
      <c r="L5463" s="2" t="str">
        <f>HYPERLINK("https://www.nba.com/game/...-vs-...-0021700502/play-by-play?watchFullGame=true", "SAS vs BKN - Q2 07:20.00")</f>
        <v>SAS vs BKN - Q2 07:20.00</v>
      </c>
      <c r="M5463">
        <v>1</v>
      </c>
      <c r="N5463">
        <v>5</v>
      </c>
      <c r="O5463">
        <v>10</v>
      </c>
      <c r="P5463">
        <v>5</v>
      </c>
      <c r="Q5463">
        <v>10</v>
      </c>
      <c r="R5463" t="s">
        <v>21</v>
      </c>
      <c r="S5463" t="s">
        <v>21</v>
      </c>
    </row>
    <row r="5464" spans="1:19" hidden="1" x14ac:dyDescent="0.25">
      <c r="A5464">
        <v>21800983</v>
      </c>
      <c r="B5464" t="s">
        <v>18</v>
      </c>
      <c r="C5464" t="s">
        <v>46</v>
      </c>
      <c r="D5464">
        <v>9</v>
      </c>
      <c r="E5464">
        <v>9</v>
      </c>
      <c r="F5464">
        <v>0</v>
      </c>
      <c r="G5464">
        <v>1</v>
      </c>
      <c r="H5464" s="1">
        <v>5.4398148148148149E-3</v>
      </c>
      <c r="I5464">
        <v>2018</v>
      </c>
      <c r="J5464" t="s">
        <v>48</v>
      </c>
      <c r="K5464" s="2" t="str">
        <f>HYPERLINK("https://www.nba.com/stats/events?CFID=&amp;CFPARAMS=&amp;GameEventID=49&amp;GameID=0021800983&amp;Season=2018-19&amp;flag=1&amp;title=Leonard%201'%20Cutting%20Dunk%20Shot%20(6%20PTS)%20(Lowry%201%20AST)", "Leonard 1' Cutting Dunk Shot (6 PTS) (Lowry 1 AST)")</f>
        <v>Leonard 1' Cutting Dunk Shot (6 PTS) (Lowry 1 AST)</v>
      </c>
      <c r="L5464" s="2" t="str">
        <f>HYPERLINK("https://www.nba.com/game/...-vs-...-0021800983/play-by-play?watchFullGame=true", "TOR vs NOP - Q1 07:50.00")</f>
        <v>TOR vs NOP - Q1 07:50.00</v>
      </c>
      <c r="M5464">
        <v>1</v>
      </c>
      <c r="N5464">
        <v>5</v>
      </c>
      <c r="O5464">
        <v>-1</v>
      </c>
      <c r="P5464">
        <v>5</v>
      </c>
      <c r="Q5464">
        <v>-1</v>
      </c>
      <c r="R5464" t="s">
        <v>21</v>
      </c>
      <c r="S5464" t="s">
        <v>21</v>
      </c>
    </row>
    <row r="5465" spans="1:19" hidden="1" x14ac:dyDescent="0.25">
      <c r="A5465">
        <v>41800404</v>
      </c>
      <c r="B5465" t="s">
        <v>26</v>
      </c>
      <c r="C5465" t="s">
        <v>36</v>
      </c>
      <c r="D5465">
        <v>10</v>
      </c>
      <c r="E5465">
        <v>13</v>
      </c>
      <c r="F5465">
        <v>3</v>
      </c>
      <c r="G5465">
        <v>1</v>
      </c>
      <c r="H5465" s="1">
        <v>3.3796296296296296E-3</v>
      </c>
      <c r="I5465" t="s">
        <v>60</v>
      </c>
      <c r="J5465" t="s">
        <v>48</v>
      </c>
      <c r="K5465" s="2" t="str">
        <f>HYPERLINK("https://www.nba.com/stats/events?CFID=&amp;CFPARAMS=&amp;GameEventID=87&amp;GameID=0041800404&amp;Season=2018-19&amp;flag=1&amp;title=Leonard%203PT%20Pullup%20Jump%20Shot%20(7%20PTS)%20(Gasol%201%20AST)", "Leonard 3PT Pullup Jump Shot (7 PTS) (Gasol 1 AST)")</f>
        <v>Leonard 3PT Pullup Jump Shot (7 PTS) (Gasol 1 AST)</v>
      </c>
      <c r="L5465" s="2" t="str">
        <f>HYPERLINK("https://www.nba.com/game/...-vs-...-0041800404/play-by-play?watchFullGame=true", "TOR vs GSW - Q1 04:52.00")</f>
        <v>TOR vs GSW - Q1 04:52.00</v>
      </c>
      <c r="M5465">
        <v>0</v>
      </c>
      <c r="N5465">
        <v>-234</v>
      </c>
      <c r="O5465">
        <v>18</v>
      </c>
      <c r="P5465">
        <v>-234</v>
      </c>
      <c r="Q5465">
        <v>18</v>
      </c>
      <c r="R5465" t="s">
        <v>21</v>
      </c>
      <c r="S5465" t="s">
        <v>21</v>
      </c>
    </row>
    <row r="5466" spans="1:19" hidden="1" x14ac:dyDescent="0.25">
      <c r="A5466">
        <v>21401010</v>
      </c>
      <c r="B5466" t="s">
        <v>26</v>
      </c>
      <c r="C5466" t="s">
        <v>19</v>
      </c>
      <c r="D5466">
        <v>17</v>
      </c>
      <c r="E5466">
        <v>20</v>
      </c>
      <c r="F5466">
        <v>3</v>
      </c>
      <c r="G5466">
        <v>1</v>
      </c>
      <c r="H5466" s="1">
        <v>3.3796296296296296E-3</v>
      </c>
      <c r="I5466">
        <v>2014</v>
      </c>
      <c r="J5466" t="s">
        <v>20</v>
      </c>
      <c r="K5466" s="2" t="str">
        <f>HYPERLINK("https://www.nba.com/stats/events?CFID=&amp;CFPARAMS=&amp;GameEventID=73&amp;GameID=0021401010&amp;Season=2014-15&amp;flag=1&amp;title=Leonard%20%203PT%20Jump%20Shot%20(8%20PTS)%20(Diaw%201%20AST)", "Leonard  3PT Jump Shot (8 PTS) (Diaw 1 AST)")</f>
        <v>Leonard  3PT Jump Shot (8 PTS) (Diaw 1 AST)</v>
      </c>
      <c r="L5466" s="2" t="str">
        <f>HYPERLINK("https://www.nba.com/game/...-vs-...-0021401010/play-by-play?watchFullGame=true", "SAS vs MIL - Q1 04:52.00")</f>
        <v>SAS vs MIL - Q1 04:52.00</v>
      </c>
      <c r="M5466">
        <v>0</v>
      </c>
      <c r="N5466">
        <v>-232</v>
      </c>
      <c r="O5466">
        <v>-10</v>
      </c>
      <c r="P5466">
        <v>-232</v>
      </c>
      <c r="Q5466">
        <v>-10</v>
      </c>
      <c r="R5466" t="s">
        <v>21</v>
      </c>
      <c r="S5466" t="s">
        <v>21</v>
      </c>
    </row>
    <row r="5467" spans="1:19" hidden="1" x14ac:dyDescent="0.25">
      <c r="A5467">
        <v>41800301</v>
      </c>
      <c r="B5467" t="s">
        <v>18</v>
      </c>
      <c r="C5467" t="s">
        <v>50</v>
      </c>
      <c r="D5467">
        <v>67</v>
      </c>
      <c r="E5467">
        <v>62</v>
      </c>
      <c r="F5467">
        <v>5</v>
      </c>
      <c r="G5467">
        <v>3</v>
      </c>
      <c r="H5467" s="1">
        <v>5.4629629629629629E-3</v>
      </c>
      <c r="I5467" t="s">
        <v>60</v>
      </c>
      <c r="J5467" t="s">
        <v>48</v>
      </c>
      <c r="K5467" s="2" t="str">
        <f>HYPERLINK("https://www.nba.com/stats/events?CFID=&amp;CFPARAMS=&amp;GameEventID=375&amp;GameID=0041800301&amp;Season=2018-19&amp;flag=1&amp;title=Leonard%201'%20Running%20Dunk%20(19%20PTS)%20(Gasol%203%20AST)", "Leonard 1' Running Dunk (19 PTS) (Gasol 3 AST)")</f>
        <v>Leonard 1' Running Dunk (19 PTS) (Gasol 3 AST)</v>
      </c>
      <c r="L5467" s="2" t="str">
        <f>HYPERLINK("https://www.nba.com/game/...-vs-...-0041800301/play-by-play?watchFullGame=true", "TOR vs MIL - Q3 07:52.00")</f>
        <v>TOR vs MIL - Q3 07:52.00</v>
      </c>
      <c r="M5467">
        <v>1</v>
      </c>
      <c r="N5467">
        <v>5</v>
      </c>
      <c r="O5467">
        <v>13</v>
      </c>
      <c r="P5467">
        <v>5</v>
      </c>
      <c r="Q5467">
        <v>13</v>
      </c>
      <c r="R5467" t="s">
        <v>21</v>
      </c>
      <c r="S5467" t="s">
        <v>21</v>
      </c>
    </row>
    <row r="5468" spans="1:19" hidden="1" x14ac:dyDescent="0.25">
      <c r="A5468">
        <v>41800112</v>
      </c>
      <c r="B5468" t="s">
        <v>18</v>
      </c>
      <c r="C5468" t="s">
        <v>25</v>
      </c>
      <c r="D5468">
        <v>66</v>
      </c>
      <c r="E5468">
        <v>47</v>
      </c>
      <c r="F5468">
        <v>19</v>
      </c>
      <c r="G5468">
        <v>3</v>
      </c>
      <c r="H5468" s="1">
        <v>5.6018518518518518E-3</v>
      </c>
      <c r="I5468" t="s">
        <v>60</v>
      </c>
      <c r="J5468" t="s">
        <v>48</v>
      </c>
      <c r="K5468" s="2" t="str">
        <f>HYPERLINK("https://www.nba.com/stats/events?CFID=&amp;CFPARAMS=&amp;GameEventID=379&amp;GameID=0041800112&amp;Season=2018-19&amp;flag=1&amp;title=Leonard%201'%20Driving%20Dunk%20(27%20PTS)", "Leonard 1' Driving Dunk (27 PTS)")</f>
        <v>Leonard 1' Driving Dunk (27 PTS)</v>
      </c>
      <c r="L5468" s="2" t="str">
        <f>HYPERLINK("https://www.nba.com/game/...-vs-...-0041800112/play-by-play?watchFullGame=true", "TOR vs ORL - Q3 08:04.00")</f>
        <v>TOR vs ORL - Q3 08:04.00</v>
      </c>
      <c r="M5468">
        <v>1</v>
      </c>
      <c r="N5468">
        <v>5</v>
      </c>
      <c r="O5468">
        <v>4</v>
      </c>
      <c r="P5468">
        <v>5</v>
      </c>
      <c r="Q5468">
        <v>4</v>
      </c>
      <c r="R5468" t="s">
        <v>21</v>
      </c>
      <c r="S5468" t="s">
        <v>21</v>
      </c>
    </row>
    <row r="5469" spans="1:19" hidden="1" x14ac:dyDescent="0.25">
      <c r="A5469">
        <v>21600053</v>
      </c>
      <c r="B5469" t="s">
        <v>26</v>
      </c>
      <c r="C5469" t="s">
        <v>19</v>
      </c>
      <c r="D5469">
        <v>42</v>
      </c>
      <c r="E5469">
        <v>47</v>
      </c>
      <c r="F5469">
        <v>5</v>
      </c>
      <c r="G5469">
        <v>2</v>
      </c>
      <c r="H5469" s="1">
        <v>3.4027777777777776E-3</v>
      </c>
      <c r="I5469">
        <v>2016</v>
      </c>
      <c r="J5469" t="s">
        <v>20</v>
      </c>
      <c r="K5469" s="2" t="str">
        <f>HYPERLINK("https://www.nba.com/stats/events?CFID=&amp;CFPARAMS=&amp;GameEventID=180&amp;GameID=0021600053&amp;Season=2016-17&amp;flag=1&amp;title=Leonard%20%203PT%20Jump%20Shot%20(16%20PTS)", "Leonard  3PT Jump Shot (16 PTS)")</f>
        <v>Leonard  3PT Jump Shot (16 PTS)</v>
      </c>
      <c r="L5469" s="2" t="str">
        <f>HYPERLINK("https://www.nba.com/game/...-vs-...-0021600053/play-by-play?watchFullGame=true", "SAS vs UTA - Q2 04:54.00")</f>
        <v>SAS vs UTA - Q2 04:54.00</v>
      </c>
      <c r="M5469">
        <v>0</v>
      </c>
      <c r="N5469">
        <v>-232</v>
      </c>
      <c r="O5469">
        <v>-10</v>
      </c>
      <c r="P5469">
        <v>-232</v>
      </c>
      <c r="Q5469">
        <v>-10</v>
      </c>
      <c r="R5469" t="s">
        <v>21</v>
      </c>
      <c r="S5469" t="s">
        <v>21</v>
      </c>
    </row>
    <row r="5470" spans="1:19" hidden="1" x14ac:dyDescent="0.25">
      <c r="A5470">
        <v>21800658</v>
      </c>
      <c r="B5470" t="s">
        <v>18</v>
      </c>
      <c r="C5470" t="s">
        <v>50</v>
      </c>
      <c r="D5470">
        <v>2</v>
      </c>
      <c r="E5470">
        <v>0</v>
      </c>
      <c r="F5470">
        <v>2</v>
      </c>
      <c r="G5470">
        <v>1</v>
      </c>
      <c r="H5470" s="1">
        <v>7.9745370370370369E-3</v>
      </c>
      <c r="I5470">
        <v>2018</v>
      </c>
      <c r="J5470" t="s">
        <v>48</v>
      </c>
      <c r="K5470" s="2" t="str">
        <f>HYPERLINK("https://www.nba.com/stats/events?CFID=&amp;CFPARAMS=&amp;GameEventID=11&amp;GameID=0021800658&amp;Season=2018-19&amp;flag=1&amp;title=Leonard%201'%20Running%20Dunk%20(2%20PTS)", "Leonard 1' Running Dunk (2 PTS)")</f>
        <v>Leonard 1' Running Dunk (2 PTS)</v>
      </c>
      <c r="L5470" s="2" t="str">
        <f>HYPERLINK("https://www.nba.com/game/...-vs-...-0021800658/play-by-play?watchFullGame=true", "TOR vs BOS - Q1 11:29.00")</f>
        <v>TOR vs BOS - Q1 11:29.00</v>
      </c>
      <c r="M5470">
        <v>1</v>
      </c>
      <c r="N5470">
        <v>5</v>
      </c>
      <c r="O5470">
        <v>13</v>
      </c>
      <c r="P5470">
        <v>5</v>
      </c>
      <c r="Q5470">
        <v>13</v>
      </c>
      <c r="R5470" t="s">
        <v>21</v>
      </c>
      <c r="S5470" t="s">
        <v>21</v>
      </c>
    </row>
    <row r="5471" spans="1:19" hidden="1" x14ac:dyDescent="0.25">
      <c r="A5471">
        <v>21300554</v>
      </c>
      <c r="B5471" t="s">
        <v>18</v>
      </c>
      <c r="C5471" t="s">
        <v>24</v>
      </c>
      <c r="D5471">
        <v>95</v>
      </c>
      <c r="E5471">
        <v>79</v>
      </c>
      <c r="F5471">
        <v>16</v>
      </c>
      <c r="G5471">
        <v>4</v>
      </c>
      <c r="H5471" s="1">
        <v>3.425925925925926E-3</v>
      </c>
      <c r="I5471">
        <v>2013</v>
      </c>
      <c r="J5471" t="s">
        <v>20</v>
      </c>
      <c r="K5471" s="2" t="str">
        <f>HYPERLINK("https://www.nba.com/stats/events?CFID=&amp;CFPARAMS=&amp;GameEventID=430&amp;GameID=0021300554&amp;Season=2013-14&amp;flag=1&amp;title=Leonard%20%20Layup%20(17%20PTS)", "Leonard  Layup (17 PTS)")</f>
        <v>Leonard  Layup (17 PTS)</v>
      </c>
      <c r="L5471" s="2" t="str">
        <f>HYPERLINK("https://www.nba.com/game/...-vs-...-0021300554/play-by-play?watchFullGame=true", "SAS vs MIN - Q4 04:56.00")</f>
        <v>SAS vs MIN - Q4 04:56.00</v>
      </c>
      <c r="M5471">
        <v>0</v>
      </c>
      <c r="N5471">
        <v>-2</v>
      </c>
      <c r="O5471">
        <v>0</v>
      </c>
      <c r="P5471">
        <v>-2</v>
      </c>
      <c r="Q5471">
        <v>0</v>
      </c>
      <c r="R5471" t="s">
        <v>21</v>
      </c>
      <c r="S5471" t="s">
        <v>21</v>
      </c>
    </row>
    <row r="5472" spans="1:19" hidden="1" x14ac:dyDescent="0.25">
      <c r="A5472">
        <v>41600155</v>
      </c>
      <c r="B5472" t="s">
        <v>26</v>
      </c>
      <c r="C5472" t="s">
        <v>19</v>
      </c>
      <c r="D5472">
        <v>41</v>
      </c>
      <c r="E5472">
        <v>37</v>
      </c>
      <c r="F5472">
        <v>4</v>
      </c>
      <c r="G5472">
        <v>2</v>
      </c>
      <c r="H5472" s="1">
        <v>3.5763888888888889E-3</v>
      </c>
      <c r="I5472" t="s">
        <v>58</v>
      </c>
      <c r="J5472" t="s">
        <v>20</v>
      </c>
      <c r="K5472" s="2" t="str">
        <f>HYPERLINK("https://www.nba.com/stats/events?CFID=&amp;CFPARAMS=&amp;GameEventID=186&amp;GameID=0041600155&amp;Season=2016-17&amp;flag=1&amp;title=Leonard%20%203PT%20Jump%20Shot%20(8%20PTS)%20(Parker%201%20AST)", "Leonard  3PT Jump Shot (8 PTS) (Parker 1 AST)")</f>
        <v>Leonard  3PT Jump Shot (8 PTS) (Parker 1 AST)</v>
      </c>
      <c r="L5472" s="2" t="str">
        <f>HYPERLINK("https://www.nba.com/game/...-vs-...-0041600155/play-by-play?watchFullGame=true", "SAS vs MEM - Q2 05:09.00")</f>
        <v>SAS vs MEM - Q2 05:09.00</v>
      </c>
      <c r="M5472">
        <v>0</v>
      </c>
      <c r="N5472">
        <v>-233</v>
      </c>
      <c r="O5472">
        <v>16</v>
      </c>
      <c r="P5472">
        <v>-233</v>
      </c>
      <c r="Q5472">
        <v>16</v>
      </c>
      <c r="R5472" t="s">
        <v>21</v>
      </c>
      <c r="S5472" t="s">
        <v>21</v>
      </c>
    </row>
    <row r="5473" spans="1:19" hidden="1" x14ac:dyDescent="0.25">
      <c r="A5473">
        <v>21400220</v>
      </c>
      <c r="B5473" t="s">
        <v>26</v>
      </c>
      <c r="C5473" t="s">
        <v>19</v>
      </c>
      <c r="D5473">
        <v>94</v>
      </c>
      <c r="E5473">
        <v>91</v>
      </c>
      <c r="F5473">
        <v>3</v>
      </c>
      <c r="G5473">
        <v>4</v>
      </c>
      <c r="H5473" s="1">
        <v>3.6458333333333334E-3</v>
      </c>
      <c r="I5473">
        <v>2014</v>
      </c>
      <c r="J5473" t="s">
        <v>20</v>
      </c>
      <c r="K5473" s="2" t="str">
        <f>HYPERLINK("https://www.nba.com/stats/events?CFID=&amp;CFPARAMS=&amp;GameEventID=438&amp;GameID=0021400220&amp;Season=2014-15&amp;flag=1&amp;title=Leonard%20%203PT%20Jump%20Shot%20(18%20PTS)%20(Green%203%20AST)", "Leonard  3PT Jump Shot (18 PTS) (Green 3 AST)")</f>
        <v>Leonard  3PT Jump Shot (18 PTS) (Green 3 AST)</v>
      </c>
      <c r="L5473" s="2" t="str">
        <f>HYPERLINK("https://www.nba.com/game/...-vs-...-0021400220/play-by-play?watchFullGame=true", "SAS vs IND - Q4 05:15.00")</f>
        <v>SAS vs IND - Q4 05:15.00</v>
      </c>
      <c r="M5473">
        <v>0</v>
      </c>
      <c r="N5473">
        <v>-232</v>
      </c>
      <c r="O5473">
        <v>-2</v>
      </c>
      <c r="P5473">
        <v>-232</v>
      </c>
      <c r="Q5473">
        <v>-2</v>
      </c>
      <c r="R5473" t="s">
        <v>21</v>
      </c>
      <c r="S5473" t="s">
        <v>21</v>
      </c>
    </row>
    <row r="5474" spans="1:19" hidden="1" x14ac:dyDescent="0.25">
      <c r="A5474">
        <v>21400089</v>
      </c>
      <c r="B5474" t="s">
        <v>18</v>
      </c>
      <c r="C5474" t="s">
        <v>28</v>
      </c>
      <c r="D5474">
        <v>40</v>
      </c>
      <c r="E5474">
        <v>43</v>
      </c>
      <c r="F5474">
        <v>3</v>
      </c>
      <c r="G5474">
        <v>2</v>
      </c>
      <c r="H5474" s="1">
        <v>3.6574074074074074E-3</v>
      </c>
      <c r="I5474">
        <v>2014</v>
      </c>
      <c r="J5474" t="s">
        <v>20</v>
      </c>
      <c r="K5474" s="2" t="str">
        <f>HYPERLINK("https://www.nba.com/stats/events?CFID=&amp;CFPARAMS=&amp;GameEventID=183&amp;GameID=0021400089&amp;Season=2014-15&amp;flag=1&amp;title=Leonard%20%20Tip%20Shot%20(3%20PTS)", "Leonard  Tip Shot (3 PTS)")</f>
        <v>Leonard  Tip Shot (3 PTS)</v>
      </c>
      <c r="L5474" s="2" t="str">
        <f>HYPERLINK("https://www.nba.com/game/...-vs-...-0021400089/play-by-play?watchFullGame=true", "SAS vs NOP - Q2 05:16.00")</f>
        <v>SAS vs NOP - Q2 05:16.00</v>
      </c>
      <c r="M5474">
        <v>0</v>
      </c>
      <c r="N5474">
        <v>0</v>
      </c>
      <c r="O5474">
        <v>1</v>
      </c>
      <c r="P5474">
        <v>0</v>
      </c>
      <c r="Q5474">
        <v>1</v>
      </c>
      <c r="R5474" t="s">
        <v>21</v>
      </c>
      <c r="S5474" t="s">
        <v>21</v>
      </c>
    </row>
    <row r="5475" spans="1:19" hidden="1" x14ac:dyDescent="0.25">
      <c r="A5475">
        <v>21601193</v>
      </c>
      <c r="B5475" t="s">
        <v>26</v>
      </c>
      <c r="C5475" t="s">
        <v>19</v>
      </c>
      <c r="D5475">
        <v>13</v>
      </c>
      <c r="E5475">
        <v>13</v>
      </c>
      <c r="F5475">
        <v>0</v>
      </c>
      <c r="G5475">
        <v>1</v>
      </c>
      <c r="H5475" s="1">
        <v>3.7037037037037038E-3</v>
      </c>
      <c r="I5475">
        <v>2016</v>
      </c>
      <c r="J5475" t="s">
        <v>20</v>
      </c>
      <c r="K5475" s="2" t="str">
        <f>HYPERLINK("https://www.nba.com/stats/events?CFID=&amp;CFPARAMS=&amp;GameEventID=66&amp;GameID=0021601193&amp;Season=2016-17&amp;flag=1&amp;title=Leonard%203PT%20Jump%20Shot%20(3%20PTS)%20(Anderson%201%20AST)", "Leonard 3PT Jump Shot (3 PTS) (Anderson 1 AST)")</f>
        <v>Leonard 3PT Jump Shot (3 PTS) (Anderson 1 AST)</v>
      </c>
      <c r="L5475" s="2" t="str">
        <f>HYPERLINK("https://www.nba.com/game/...-vs-...-0021601193/play-by-play?watchFullGame=true", "SAS vs LAC - Q1 05:20.00")</f>
        <v>SAS vs LAC - Q1 05:20.00</v>
      </c>
      <c r="M5475">
        <v>0</v>
      </c>
      <c r="N5475">
        <v>-228</v>
      </c>
      <c r="O5475">
        <v>-5</v>
      </c>
      <c r="P5475">
        <v>-228</v>
      </c>
      <c r="Q5475">
        <v>-5</v>
      </c>
      <c r="R5475" t="s">
        <v>21</v>
      </c>
      <c r="S5475" t="s">
        <v>21</v>
      </c>
    </row>
    <row r="5476" spans="1:19" hidden="1" x14ac:dyDescent="0.25">
      <c r="A5476">
        <v>21600942</v>
      </c>
      <c r="B5476" t="s">
        <v>26</v>
      </c>
      <c r="C5476" t="s">
        <v>19</v>
      </c>
      <c r="D5476">
        <v>12</v>
      </c>
      <c r="E5476">
        <v>17</v>
      </c>
      <c r="F5476">
        <v>5</v>
      </c>
      <c r="G5476">
        <v>1</v>
      </c>
      <c r="H5476" s="1">
        <v>3.7152777777777778E-3</v>
      </c>
      <c r="I5476">
        <v>2016</v>
      </c>
      <c r="J5476" t="s">
        <v>20</v>
      </c>
      <c r="K5476" s="2" t="str">
        <f>HYPERLINK("https://www.nba.com/stats/events?CFID=&amp;CFPARAMS=&amp;GameEventID=47&amp;GameID=0021600942&amp;Season=2016-17&amp;flag=1&amp;title=Leonard%20%203PT%20Jump%20Shot%20(8%20PTS)%20(Mills%202%20AST)", "Leonard  3PT Jump Shot (8 PTS) (Mills 2 AST)")</f>
        <v>Leonard  3PT Jump Shot (8 PTS) (Mills 2 AST)</v>
      </c>
      <c r="L5476" s="2" t="str">
        <f>HYPERLINK("https://www.nba.com/game/...-vs-...-0021600942/play-by-play?watchFullGame=true", "SAS vs HOU - Q1 05:21.00")</f>
        <v>SAS vs HOU - Q1 05:21.00</v>
      </c>
      <c r="M5476">
        <v>0</v>
      </c>
      <c r="N5476">
        <v>-230</v>
      </c>
      <c r="O5476">
        <v>-6</v>
      </c>
      <c r="P5476">
        <v>-230</v>
      </c>
      <c r="Q5476">
        <v>-6</v>
      </c>
      <c r="R5476" t="s">
        <v>21</v>
      </c>
      <c r="S5476" t="s">
        <v>21</v>
      </c>
    </row>
    <row r="5477" spans="1:19" hidden="1" x14ac:dyDescent="0.25">
      <c r="A5477">
        <v>41200231</v>
      </c>
      <c r="B5477" t="s">
        <v>18</v>
      </c>
      <c r="C5477" t="s">
        <v>23</v>
      </c>
      <c r="D5477">
        <v>57</v>
      </c>
      <c r="E5477">
        <v>58</v>
      </c>
      <c r="F5477">
        <v>1</v>
      </c>
      <c r="G5477">
        <v>3</v>
      </c>
      <c r="H5477" s="1">
        <v>6.7708333333333336E-3</v>
      </c>
      <c r="I5477" t="s">
        <v>53</v>
      </c>
      <c r="J5477" t="s">
        <v>20</v>
      </c>
      <c r="K5477" s="2" t="str">
        <f>HYPERLINK("https://www.nba.com/stats/events?CFID=&amp;CFPARAMS=&amp;GameEventID=290&amp;GameID=0041200231&amp;Season=2012-13&amp;flag=1&amp;title=Leonard%202'%20Dunk%20(5%20PTS)", "Leonard 2' Dunk (5 PTS)")</f>
        <v>Leonard 2' Dunk (5 PTS)</v>
      </c>
      <c r="L5477" s="2" t="str">
        <f>HYPERLINK("https://www.nba.com/game/...-vs-...-0041200231/play-by-play?watchFullGame=true", "SAS vs GSW - Q3 09:45.00")</f>
        <v>SAS vs GSW - Q3 09:45.00</v>
      </c>
      <c r="M5477">
        <v>2</v>
      </c>
      <c r="N5477">
        <v>6</v>
      </c>
      <c r="O5477">
        <v>15</v>
      </c>
      <c r="P5477">
        <v>6</v>
      </c>
      <c r="Q5477">
        <v>15</v>
      </c>
      <c r="R5477" t="s">
        <v>21</v>
      </c>
      <c r="S5477" t="s">
        <v>21</v>
      </c>
    </row>
    <row r="5478" spans="1:19" hidden="1" x14ac:dyDescent="0.25">
      <c r="A5478">
        <v>41300225</v>
      </c>
      <c r="B5478" t="s">
        <v>18</v>
      </c>
      <c r="C5478" t="s">
        <v>23</v>
      </c>
      <c r="D5478">
        <v>59</v>
      </c>
      <c r="E5478">
        <v>44</v>
      </c>
      <c r="F5478">
        <v>15</v>
      </c>
      <c r="G5478">
        <v>3</v>
      </c>
      <c r="H5478" s="1">
        <v>7.3263888888888892E-3</v>
      </c>
      <c r="I5478" t="s">
        <v>55</v>
      </c>
      <c r="J5478" t="s">
        <v>20</v>
      </c>
      <c r="K5478" s="2" t="str">
        <f>HYPERLINK("https://www.nba.com/stats/events?CFID=&amp;CFPARAMS=&amp;GameEventID=254&amp;GameID=0041300225&amp;Season=2013-14&amp;flag=1&amp;title=Leonard%202'%20Dunk%20(15%20PTS)", "Leonard 2' Dunk (15 PTS)")</f>
        <v>Leonard 2' Dunk (15 PTS)</v>
      </c>
      <c r="L5478" s="2" t="str">
        <f>HYPERLINK("https://www.nba.com/game/...-vs-...-0041300225/play-by-play?watchFullGame=true", "SAS vs POR - Q3 10:33.00")</f>
        <v>SAS vs POR - Q3 10:33.00</v>
      </c>
      <c r="M5478">
        <v>2</v>
      </c>
      <c r="N5478">
        <v>6</v>
      </c>
      <c r="O5478">
        <v>15</v>
      </c>
      <c r="P5478">
        <v>6</v>
      </c>
      <c r="Q5478">
        <v>15</v>
      </c>
      <c r="R5478" t="s">
        <v>21</v>
      </c>
      <c r="S5478" t="s">
        <v>21</v>
      </c>
    </row>
    <row r="5479" spans="1:19" x14ac:dyDescent="0.25">
      <c r="A5479">
        <v>21800008</v>
      </c>
      <c r="B5479" t="s">
        <v>26</v>
      </c>
      <c r="C5479" t="s">
        <v>19</v>
      </c>
      <c r="D5479">
        <v>82</v>
      </c>
      <c r="E5479">
        <v>63</v>
      </c>
      <c r="F5479">
        <v>19</v>
      </c>
      <c r="G5479">
        <v>3</v>
      </c>
      <c r="H5479" s="1">
        <v>4.0509259259259257E-3</v>
      </c>
      <c r="I5479">
        <v>2018</v>
      </c>
      <c r="J5479" t="s">
        <v>48</v>
      </c>
      <c r="K5479" s="2" t="str">
        <f>HYPERLINK("https://www.nba.com/stats/events?CFID=&amp;CFPARAMS=&amp;GameEventID=431&amp;GameID=0021800008&amp;Season=2018-19&amp;flag=1&amp;title=Leonard%203PT%20Jump%20Shot%20(19%20PTS)%20(Siakam%202%20AST)", "Leonard 3PT Jump Shot (19 PTS) (Siakam 2 AST)")</f>
        <v>Leonard 3PT Jump Shot (19 PTS) (Siakam 2 AST)</v>
      </c>
      <c r="L5479" s="2" t="str">
        <f>HYPERLINK("https://www.nba.com/game/...-vs-...-0021800008/play-by-play?watchFullGame=true", "TOR vs CLE - Q3 05:50.00")</f>
        <v>TOR vs CLE - Q3 05:50.00</v>
      </c>
      <c r="M5479">
        <v>0</v>
      </c>
      <c r="N5479">
        <v>-231</v>
      </c>
      <c r="O5479">
        <v>-13</v>
      </c>
      <c r="P5479">
        <v>-231</v>
      </c>
      <c r="Q5479">
        <v>-13</v>
      </c>
      <c r="R5479" t="s">
        <v>21</v>
      </c>
      <c r="S5479" t="s">
        <v>21</v>
      </c>
    </row>
    <row r="5480" spans="1:19" hidden="1" x14ac:dyDescent="0.25">
      <c r="A5480">
        <v>41200235</v>
      </c>
      <c r="B5480" t="s">
        <v>26</v>
      </c>
      <c r="C5480" t="s">
        <v>19</v>
      </c>
      <c r="D5480">
        <v>95</v>
      </c>
      <c r="E5480">
        <v>84</v>
      </c>
      <c r="F5480">
        <v>11</v>
      </c>
      <c r="G5480">
        <v>4</v>
      </c>
      <c r="H5480" s="1">
        <v>4.0740740740740737E-3</v>
      </c>
      <c r="I5480" t="s">
        <v>53</v>
      </c>
      <c r="J5480" t="s">
        <v>20</v>
      </c>
      <c r="K5480" s="2" t="str">
        <f>HYPERLINK("https://www.nba.com/stats/events?CFID=&amp;CFPARAMS=&amp;GameEventID=436&amp;GameID=0041200235&amp;Season=2012-13&amp;flag=1&amp;title=Leonard%20%203PT%20Jump%20Shot%20(17%20PTS)%20(Parker%2010%20AST)", "Leonard  3PT Jump Shot (17 PTS) (Parker 10 AST)")</f>
        <v>Leonard  3PT Jump Shot (17 PTS) (Parker 10 AST)</v>
      </c>
      <c r="L5480" s="2" t="str">
        <f>HYPERLINK("https://www.nba.com/game/...-vs-...-0041200235/play-by-play?watchFullGame=true", "SAS vs GSW - Q4 05:52.00")</f>
        <v>SAS vs GSW - Q4 05:52.00</v>
      </c>
      <c r="M5480">
        <v>0</v>
      </c>
      <c r="N5480">
        <v>-223</v>
      </c>
      <c r="O5480">
        <v>23</v>
      </c>
      <c r="P5480">
        <v>-223</v>
      </c>
      <c r="Q5480">
        <v>23</v>
      </c>
      <c r="R5480" t="s">
        <v>21</v>
      </c>
      <c r="S5480" t="s">
        <v>21</v>
      </c>
    </row>
    <row r="5481" spans="1:19" hidden="1" x14ac:dyDescent="0.25">
      <c r="A5481">
        <v>21300465</v>
      </c>
      <c r="B5481" t="s">
        <v>18</v>
      </c>
      <c r="C5481" t="s">
        <v>23</v>
      </c>
      <c r="D5481">
        <v>18</v>
      </c>
      <c r="E5481">
        <v>6</v>
      </c>
      <c r="F5481">
        <v>12</v>
      </c>
      <c r="G5481">
        <v>1</v>
      </c>
      <c r="H5481" s="1">
        <v>4.2592592592592595E-3</v>
      </c>
      <c r="I5481">
        <v>2013</v>
      </c>
      <c r="J5481" t="s">
        <v>20</v>
      </c>
      <c r="K5481" s="2" t="str">
        <f>HYPERLINK("https://www.nba.com/stats/events?CFID=&amp;CFPARAMS=&amp;GameEventID=61&amp;GameID=0021300465&amp;Season=2013-14&amp;flag=1&amp;title=Leonard%201'%20Dunk%20(2%20PTS)%20(Splitter%201%20AST)", "Leonard 1' Dunk (2 PTS) (Splitter 1 AST)")</f>
        <v>Leonard 1' Dunk (2 PTS) (Splitter 1 AST)</v>
      </c>
      <c r="L5481" s="2" t="str">
        <f>HYPERLINK("https://www.nba.com/game/...-vs-...-0021300465/play-by-play?watchFullGame=true", "SAS vs BKN - Q1 06:08.00")</f>
        <v>SAS vs BKN - Q1 06:08.00</v>
      </c>
      <c r="M5481">
        <v>1</v>
      </c>
      <c r="N5481">
        <v>6</v>
      </c>
      <c r="O5481">
        <v>12</v>
      </c>
      <c r="P5481">
        <v>6</v>
      </c>
      <c r="Q5481">
        <v>12</v>
      </c>
      <c r="R5481" t="s">
        <v>21</v>
      </c>
      <c r="S5481" t="s">
        <v>21</v>
      </c>
    </row>
    <row r="5482" spans="1:19" hidden="1" x14ac:dyDescent="0.25">
      <c r="A5482">
        <v>41200403</v>
      </c>
      <c r="B5482" t="s">
        <v>18</v>
      </c>
      <c r="C5482" t="s">
        <v>23</v>
      </c>
      <c r="D5482">
        <v>88</v>
      </c>
      <c r="E5482">
        <v>63</v>
      </c>
      <c r="F5482">
        <v>25</v>
      </c>
      <c r="G5482">
        <v>4</v>
      </c>
      <c r="H5482" s="1">
        <v>7.060185185185185E-3</v>
      </c>
      <c r="I5482" t="s">
        <v>53</v>
      </c>
      <c r="J5482" t="s">
        <v>20</v>
      </c>
      <c r="K5482" s="2" t="str">
        <f>HYPERLINK("https://www.nba.com/stats/events?CFID=&amp;CFPARAMS=&amp;GameEventID=386&amp;GameID=0041200403&amp;Season=2012-13&amp;flag=1&amp;title=Leonard%201'%20Dunk%20(14%20PTS)%20(Neal%202%20AST)", "Leonard 1' Dunk (14 PTS) (Neal 2 AST)")</f>
        <v>Leonard 1' Dunk (14 PTS) (Neal 2 AST)</v>
      </c>
      <c r="L5482" s="2" t="str">
        <f>HYPERLINK("https://www.nba.com/game/...-vs-...-0041200403/play-by-play?watchFullGame=true", "SAS vs MIA - Q4 10:10.00")</f>
        <v>SAS vs MIA - Q4 10:10.00</v>
      </c>
      <c r="M5482">
        <v>1</v>
      </c>
      <c r="N5482">
        <v>6</v>
      </c>
      <c r="O5482">
        <v>7</v>
      </c>
      <c r="P5482">
        <v>6</v>
      </c>
      <c r="Q5482">
        <v>7</v>
      </c>
      <c r="R5482" t="s">
        <v>21</v>
      </c>
      <c r="S5482" t="s">
        <v>21</v>
      </c>
    </row>
    <row r="5483" spans="1:19" hidden="1" x14ac:dyDescent="0.25">
      <c r="A5483">
        <v>21300952</v>
      </c>
      <c r="B5483" t="s">
        <v>18</v>
      </c>
      <c r="C5483" t="s">
        <v>70</v>
      </c>
      <c r="D5483">
        <v>63</v>
      </c>
      <c r="E5483">
        <v>35</v>
      </c>
      <c r="F5483">
        <v>28</v>
      </c>
      <c r="G5483">
        <v>3</v>
      </c>
      <c r="H5483" s="1">
        <v>7.1990740740740739E-3</v>
      </c>
      <c r="I5483">
        <v>2013</v>
      </c>
      <c r="J5483" t="s">
        <v>20</v>
      </c>
      <c r="K5483" s="2" t="str">
        <f>HYPERLINK("https://www.nba.com/stats/events?CFID=&amp;CFPARAMS=&amp;GameEventID=237&amp;GameID=0021300952&amp;Season=2013-14&amp;flag=1&amp;title=Leonard%201'%20Slam%20Dunk%20(12%20PTS)%20(Diaw%201%20AST)", "Leonard 1' Slam Dunk (12 PTS) (Diaw 1 AST)")</f>
        <v>Leonard 1' Slam Dunk (12 PTS) (Diaw 1 AST)</v>
      </c>
      <c r="L5483" s="2" t="str">
        <f>HYPERLINK("https://www.nba.com/game/...-vs-...-0021300952/play-by-play?watchFullGame=true", "SAS vs CHI - Q3 10:22.00")</f>
        <v>SAS vs CHI - Q3 10:22.00</v>
      </c>
      <c r="M5483">
        <v>1</v>
      </c>
      <c r="N5483">
        <v>6</v>
      </c>
      <c r="O5483">
        <v>12</v>
      </c>
      <c r="P5483">
        <v>6</v>
      </c>
      <c r="Q5483">
        <v>12</v>
      </c>
      <c r="R5483" t="s">
        <v>21</v>
      </c>
      <c r="S5483" t="s">
        <v>21</v>
      </c>
    </row>
    <row r="5484" spans="1:19" hidden="1" x14ac:dyDescent="0.25">
      <c r="A5484">
        <v>21800930</v>
      </c>
      <c r="B5484" t="s">
        <v>18</v>
      </c>
      <c r="C5484" t="s">
        <v>71</v>
      </c>
      <c r="D5484">
        <v>18</v>
      </c>
      <c r="E5484">
        <v>11</v>
      </c>
      <c r="F5484">
        <v>7</v>
      </c>
      <c r="G5484">
        <v>1</v>
      </c>
      <c r="H5484" s="1">
        <v>4.1435185185185186E-3</v>
      </c>
      <c r="I5484">
        <v>2018</v>
      </c>
      <c r="J5484" t="s">
        <v>48</v>
      </c>
      <c r="K5484" s="2" t="str">
        <f>HYPERLINK("https://www.nba.com/stats/events?CFID=&amp;CFPARAMS=&amp;GameEventID=63&amp;GameID=0021800930&amp;Season=2018-19&amp;flag=1&amp;title=Leonard%20Running%20Finger%20Roll%20Layup%20(4%20PTS)%20(Gasol%202%20AST)", "Leonard Running Finger Roll Layup (4 PTS) (Gasol 2 AST)")</f>
        <v>Leonard Running Finger Roll Layup (4 PTS) (Gasol 2 AST)</v>
      </c>
      <c r="L5484" s="2" t="str">
        <f>HYPERLINK("https://www.nba.com/game/...-vs-...-0021800930/play-by-play?watchFullGame=true", "TOR vs POR - Q1 05:58.00")</f>
        <v>TOR vs POR - Q1 05:58.00</v>
      </c>
      <c r="M5484">
        <v>0</v>
      </c>
      <c r="N5484">
        <v>-4</v>
      </c>
      <c r="O5484">
        <v>-2</v>
      </c>
      <c r="P5484">
        <v>-4</v>
      </c>
      <c r="Q5484">
        <v>-2</v>
      </c>
      <c r="R5484" t="s">
        <v>21</v>
      </c>
      <c r="S5484" t="s">
        <v>21</v>
      </c>
    </row>
    <row r="5485" spans="1:19" hidden="1" x14ac:dyDescent="0.25">
      <c r="A5485">
        <v>21501063</v>
      </c>
      <c r="B5485" t="s">
        <v>18</v>
      </c>
      <c r="C5485" t="s">
        <v>52</v>
      </c>
      <c r="D5485">
        <v>70</v>
      </c>
      <c r="E5485">
        <v>55</v>
      </c>
      <c r="F5485">
        <v>15</v>
      </c>
      <c r="G5485">
        <v>3</v>
      </c>
      <c r="H5485" s="1">
        <v>4.178240740740741E-3</v>
      </c>
      <c r="I5485">
        <v>2015</v>
      </c>
      <c r="J5485" t="s">
        <v>20</v>
      </c>
      <c r="K5485" s="2" t="str">
        <f>HYPERLINK("https://www.nba.com/stats/events?CFID=&amp;CFPARAMS=&amp;GameEventID=296&amp;GameID=0021501063&amp;Season=2015-16&amp;flag=1&amp;title=Leonard%20Cutting%20Layup%20Shot%20(31%20PTS)%20(Duncan%204%20AST)", "Leonard Cutting Layup Shot (31 PTS) (Duncan 4 AST)")</f>
        <v>Leonard Cutting Layup Shot (31 PTS) (Duncan 4 AST)</v>
      </c>
      <c r="L5485" s="2" t="str">
        <f>HYPERLINK("https://www.nba.com/game/...-vs-...-0021501063/play-by-play?watchFullGame=true", "SAS vs MIA - Q3 06:01.00")</f>
        <v>SAS vs MIA - Q3 06:01.00</v>
      </c>
      <c r="M5485">
        <v>0</v>
      </c>
      <c r="N5485">
        <v>-1</v>
      </c>
      <c r="O5485">
        <v>0</v>
      </c>
      <c r="P5485">
        <v>-1</v>
      </c>
      <c r="Q5485">
        <v>0</v>
      </c>
      <c r="R5485" t="s">
        <v>21</v>
      </c>
      <c r="S5485" t="s">
        <v>21</v>
      </c>
    </row>
    <row r="5486" spans="1:19" x14ac:dyDescent="0.25">
      <c r="A5486">
        <v>21400220</v>
      </c>
      <c r="B5486" t="s">
        <v>26</v>
      </c>
      <c r="C5486" t="s">
        <v>19</v>
      </c>
      <c r="D5486">
        <v>14</v>
      </c>
      <c r="E5486">
        <v>10</v>
      </c>
      <c r="F5486">
        <v>4</v>
      </c>
      <c r="G5486">
        <v>1</v>
      </c>
      <c r="H5486" s="1">
        <v>4.2129629629629626E-3</v>
      </c>
      <c r="I5486">
        <v>2014</v>
      </c>
      <c r="J5486" t="s">
        <v>20</v>
      </c>
      <c r="K5486" s="2" t="str">
        <f>HYPERLINK("https://www.nba.com/stats/events?CFID=&amp;CFPARAMS=&amp;GameEventID=56&amp;GameID=0021400220&amp;Season=2014-15&amp;flag=1&amp;title=Leonard%20%203PT%20Jump%20Shot%20(7%20PTS)%20(Parker%201%20AST)", "Leonard  3PT Jump Shot (7 PTS) (Parker 1 AST)")</f>
        <v>Leonard  3PT Jump Shot (7 PTS) (Parker 1 AST)</v>
      </c>
      <c r="L5486" s="2" t="str">
        <f>HYPERLINK("https://www.nba.com/game/...-vs-...-0021400220/play-by-play?watchFullGame=true", "SAS vs IND - Q1 06:04.00")</f>
        <v>SAS vs IND - Q1 06:04.00</v>
      </c>
      <c r="M5486">
        <v>0</v>
      </c>
      <c r="N5486">
        <v>-229</v>
      </c>
      <c r="O5486">
        <v>-14</v>
      </c>
      <c r="P5486">
        <v>-229</v>
      </c>
      <c r="Q5486">
        <v>-14</v>
      </c>
      <c r="R5486" t="s">
        <v>21</v>
      </c>
      <c r="S5486" t="s">
        <v>21</v>
      </c>
    </row>
    <row r="5487" spans="1:19" hidden="1" x14ac:dyDescent="0.25">
      <c r="A5487">
        <v>21800161</v>
      </c>
      <c r="B5487" t="s">
        <v>18</v>
      </c>
      <c r="C5487" t="s">
        <v>25</v>
      </c>
      <c r="D5487">
        <v>84</v>
      </c>
      <c r="E5487">
        <v>71</v>
      </c>
      <c r="F5487">
        <v>13</v>
      </c>
      <c r="G5487">
        <v>3</v>
      </c>
      <c r="H5487" s="1">
        <v>2.9282407407407408E-3</v>
      </c>
      <c r="I5487">
        <v>2018</v>
      </c>
      <c r="J5487" t="s">
        <v>48</v>
      </c>
      <c r="K5487" s="2" t="str">
        <f>HYPERLINK("https://www.nba.com/stats/events?CFID=&amp;CFPARAMS=&amp;GameEventID=445&amp;GameID=0021800161&amp;Season=2018-19&amp;flag=1&amp;title=Leonard%202'%20Driving%20Dunk%20(17%20PTS)", "Leonard 2' Driving Dunk (17 PTS)")</f>
        <v>Leonard 2' Driving Dunk (17 PTS)</v>
      </c>
      <c r="L5487" s="2" t="str">
        <f>HYPERLINK("https://www.nba.com/game/...-vs-...-0021800161/play-by-play?watchFullGame=true", "TOR vs SAC - Q3 04:13.00")</f>
        <v>TOR vs SAC - Q3 04:13.00</v>
      </c>
      <c r="M5487">
        <v>2</v>
      </c>
      <c r="N5487">
        <v>7</v>
      </c>
      <c r="O5487">
        <v>15</v>
      </c>
      <c r="P5487">
        <v>7</v>
      </c>
      <c r="Q5487">
        <v>15</v>
      </c>
      <c r="R5487" t="s">
        <v>21</v>
      </c>
      <c r="S5487" t="s">
        <v>21</v>
      </c>
    </row>
    <row r="5488" spans="1:19" hidden="1" x14ac:dyDescent="0.25">
      <c r="A5488">
        <v>21400282</v>
      </c>
      <c r="B5488" t="s">
        <v>18</v>
      </c>
      <c r="C5488" t="s">
        <v>35</v>
      </c>
      <c r="D5488">
        <v>15</v>
      </c>
      <c r="E5488">
        <v>4</v>
      </c>
      <c r="F5488">
        <v>11</v>
      </c>
      <c r="G5488">
        <v>1</v>
      </c>
      <c r="H5488" s="1">
        <v>4.3750000000000004E-3</v>
      </c>
      <c r="I5488">
        <v>2014</v>
      </c>
      <c r="J5488" t="s">
        <v>20</v>
      </c>
      <c r="K5488" s="2" t="str">
        <f>HYPERLINK("https://www.nba.com/stats/events?CFID=&amp;CFPARAMS=&amp;GameEventID=50&amp;GameID=0021400282&amp;Season=2014-15&amp;flag=1&amp;title=Leonard%20%20Reverse%20Layup%20(7%20PTS)%20(Duncan%201%20AST)", "Leonard  Reverse Layup (7 PTS) (Duncan 1 AST)")</f>
        <v>Leonard  Reverse Layup (7 PTS) (Duncan 1 AST)</v>
      </c>
      <c r="L5488" s="2" t="str">
        <f>HYPERLINK("https://www.nba.com/game/...-vs-...-0021400282/play-by-play?watchFullGame=true", "SAS vs MEM - Q1 06:18.00")</f>
        <v>SAS vs MEM - Q1 06:18.00</v>
      </c>
      <c r="M5488">
        <v>0</v>
      </c>
      <c r="N5488">
        <v>-2</v>
      </c>
      <c r="O5488">
        <v>1</v>
      </c>
      <c r="P5488">
        <v>-2</v>
      </c>
      <c r="Q5488">
        <v>1</v>
      </c>
      <c r="R5488" t="s">
        <v>21</v>
      </c>
      <c r="S5488" t="s">
        <v>21</v>
      </c>
    </row>
    <row r="5489" spans="1:19" hidden="1" x14ac:dyDescent="0.25">
      <c r="A5489">
        <v>21301084</v>
      </c>
      <c r="B5489" t="s">
        <v>26</v>
      </c>
      <c r="C5489" t="s">
        <v>19</v>
      </c>
      <c r="D5489">
        <v>43</v>
      </c>
      <c r="E5489">
        <v>32</v>
      </c>
      <c r="F5489">
        <v>11</v>
      </c>
      <c r="G5489">
        <v>2</v>
      </c>
      <c r="H5489" s="1">
        <v>4.43287037037037E-3</v>
      </c>
      <c r="I5489">
        <v>2013</v>
      </c>
      <c r="J5489" t="s">
        <v>20</v>
      </c>
      <c r="K5489" s="2" t="str">
        <f>HYPERLINK("https://www.nba.com/stats/events?CFID=&amp;CFPARAMS=&amp;GameEventID=184&amp;GameID=0021301084&amp;Season=2013-14&amp;flag=1&amp;title=Leonard%20%203PT%20Jump%20Shot%20(7%20PTS)%20(Duncan%202%20AST)", "Leonard  3PT Jump Shot (7 PTS) (Duncan 2 AST)")</f>
        <v>Leonard  3PT Jump Shot (7 PTS) (Duncan 2 AST)</v>
      </c>
      <c r="L5489" s="2" t="str">
        <f>HYPERLINK("https://www.nba.com/game/...-vs-...-0021301084/play-by-play?watchFullGame=true", "SAS vs DEN - Q2 06:23.00")</f>
        <v>SAS vs DEN - Q2 06:23.00</v>
      </c>
      <c r="M5489">
        <v>0</v>
      </c>
      <c r="N5489">
        <v>-224</v>
      </c>
      <c r="O5489">
        <v>0</v>
      </c>
      <c r="P5489">
        <v>-224</v>
      </c>
      <c r="Q5489">
        <v>0</v>
      </c>
      <c r="R5489" t="s">
        <v>21</v>
      </c>
      <c r="S5489" t="s">
        <v>21</v>
      </c>
    </row>
    <row r="5490" spans="1:19" hidden="1" x14ac:dyDescent="0.25">
      <c r="A5490">
        <v>21801001</v>
      </c>
      <c r="B5490" t="s">
        <v>26</v>
      </c>
      <c r="C5490" t="s">
        <v>19</v>
      </c>
      <c r="D5490">
        <v>11</v>
      </c>
      <c r="E5490">
        <v>14</v>
      </c>
      <c r="F5490">
        <v>3</v>
      </c>
      <c r="G5490">
        <v>1</v>
      </c>
      <c r="H5490" s="1">
        <v>4.4444444444444444E-3</v>
      </c>
      <c r="I5490">
        <v>2018</v>
      </c>
      <c r="J5490" t="s">
        <v>48</v>
      </c>
      <c r="K5490" s="2" t="str">
        <f>HYPERLINK("https://www.nba.com/stats/events?CFID=&amp;CFPARAMS=&amp;GameEventID=62&amp;GameID=0021801001&amp;Season=2018-19&amp;flag=1&amp;title=Leonard%203PT%20Jump%20Shot%20(9%20PTS)%20(Siakam%201%20AST)", "Leonard 3PT Jump Shot (9 PTS) (Siakam 1 AST)")</f>
        <v>Leonard 3PT Jump Shot (9 PTS) (Siakam 1 AST)</v>
      </c>
      <c r="L5490" s="2" t="str">
        <f>HYPERLINK("https://www.nba.com/game/...-vs-...-0021801001/play-by-play?watchFullGame=true", "TOR vs CLE - Q1 06:24.00")</f>
        <v>TOR vs CLE - Q1 06:24.00</v>
      </c>
      <c r="M5490">
        <v>0</v>
      </c>
      <c r="N5490">
        <v>-232</v>
      </c>
      <c r="O5490">
        <v>-5</v>
      </c>
      <c r="P5490">
        <v>-232</v>
      </c>
      <c r="Q5490">
        <v>-5</v>
      </c>
      <c r="R5490" t="s">
        <v>21</v>
      </c>
      <c r="S5490" t="s">
        <v>21</v>
      </c>
    </row>
    <row r="5491" spans="1:19" hidden="1" x14ac:dyDescent="0.25">
      <c r="A5491">
        <v>21800602</v>
      </c>
      <c r="B5491" t="s">
        <v>26</v>
      </c>
      <c r="C5491" t="s">
        <v>19</v>
      </c>
      <c r="D5491">
        <v>39</v>
      </c>
      <c r="E5491">
        <v>45</v>
      </c>
      <c r="F5491">
        <v>6</v>
      </c>
      <c r="G5491">
        <v>2</v>
      </c>
      <c r="H5491" s="1">
        <v>4.4791666666666669E-3</v>
      </c>
      <c r="I5491">
        <v>2018</v>
      </c>
      <c r="J5491" t="s">
        <v>48</v>
      </c>
      <c r="K5491" s="2" t="str">
        <f>HYPERLINK("https://www.nba.com/stats/events?CFID=&amp;CFPARAMS=&amp;GameEventID=253&amp;GameID=0021800602&amp;Season=2018-19&amp;flag=1&amp;title=Leonard%203PT%20Jump%20Shot%20(12%20PTS)%20(Lowry%201%20AST)", "Leonard 3PT Jump Shot (12 PTS) (Lowry 1 AST)")</f>
        <v>Leonard 3PT Jump Shot (12 PTS) (Lowry 1 AST)</v>
      </c>
      <c r="L5491" s="2" t="str">
        <f>HYPERLINK("https://www.nba.com/game/...-vs-...-0021800602/play-by-play?watchFullGame=true", "TOR vs ATL - Q2 06:27.00")</f>
        <v>TOR vs ATL - Q2 06:27.00</v>
      </c>
      <c r="M5491">
        <v>0</v>
      </c>
      <c r="N5491">
        <v>232</v>
      </c>
      <c r="O5491">
        <v>2</v>
      </c>
      <c r="P5491">
        <v>232</v>
      </c>
      <c r="Q5491">
        <v>2</v>
      </c>
      <c r="R5491" t="s">
        <v>21</v>
      </c>
      <c r="S5491" t="s">
        <v>21</v>
      </c>
    </row>
    <row r="5492" spans="1:19" hidden="1" x14ac:dyDescent="0.25">
      <c r="A5492">
        <v>21601161</v>
      </c>
      <c r="B5492" t="s">
        <v>26</v>
      </c>
      <c r="C5492" t="s">
        <v>19</v>
      </c>
      <c r="D5492">
        <v>76</v>
      </c>
      <c r="E5492">
        <v>65</v>
      </c>
      <c r="F5492">
        <v>11</v>
      </c>
      <c r="G5492">
        <v>4</v>
      </c>
      <c r="H5492" s="1">
        <v>4.4907407407407405E-3</v>
      </c>
      <c r="I5492">
        <v>2016</v>
      </c>
      <c r="J5492" t="s">
        <v>20</v>
      </c>
      <c r="K5492" s="2" t="str">
        <f>HYPERLINK("https://www.nba.com/stats/events?CFID=&amp;CFPARAMS=&amp;GameEventID=395&amp;GameID=0021601161&amp;Season=2016-17&amp;flag=1&amp;title=Leonard%20%203PT%20Jump%20Shot%20(25%20PTS)%20(Simmons%203%20AST)", "Leonard  3PT Jump Shot (25 PTS) (Simmons 3 AST)")</f>
        <v>Leonard  3PT Jump Shot (25 PTS) (Simmons 3 AST)</v>
      </c>
      <c r="L5492" s="2" t="str">
        <f>HYPERLINK("https://www.nba.com/game/...-vs-...-0021601161/play-by-play?watchFullGame=true", "SAS vs MEM - Q4 06:28.00")</f>
        <v>SAS vs MEM - Q4 06:28.00</v>
      </c>
      <c r="M5492">
        <v>0</v>
      </c>
      <c r="N5492">
        <v>-227</v>
      </c>
      <c r="O5492">
        <v>11</v>
      </c>
      <c r="P5492">
        <v>-227</v>
      </c>
      <c r="Q5492">
        <v>11</v>
      </c>
      <c r="R5492" t="s">
        <v>21</v>
      </c>
      <c r="S5492" t="s">
        <v>21</v>
      </c>
    </row>
    <row r="5493" spans="1:19" hidden="1" x14ac:dyDescent="0.25">
      <c r="A5493">
        <v>21500061</v>
      </c>
      <c r="B5493" t="s">
        <v>18</v>
      </c>
      <c r="C5493" t="s">
        <v>52</v>
      </c>
      <c r="D5493">
        <v>37</v>
      </c>
      <c r="E5493">
        <v>32</v>
      </c>
      <c r="F5493">
        <v>5</v>
      </c>
      <c r="G5493">
        <v>2</v>
      </c>
      <c r="H5493" s="1">
        <v>4.4907407407407405E-3</v>
      </c>
      <c r="I5493">
        <v>2015</v>
      </c>
      <c r="J5493" t="s">
        <v>20</v>
      </c>
      <c r="K5493" s="2" t="str">
        <f>HYPERLINK("https://www.nba.com/stats/events?CFID=&amp;CFPARAMS=&amp;GameEventID=161&amp;GameID=0021500061&amp;Season=2015-16&amp;flag=1&amp;title=Leonard%20%20Cutting%20Layup%20Shot%20(9%20PTS)%20(Duncan%204%20AST)", "Leonard  Cutting Layup Shot (9 PTS) (Duncan 4 AST)")</f>
        <v>Leonard  Cutting Layup Shot (9 PTS) (Duncan 4 AST)</v>
      </c>
      <c r="L5493" s="2" t="str">
        <f>HYPERLINK("https://www.nba.com/game/...-vs-...-0021500061/play-by-play?watchFullGame=true", "SAS vs WAS - Q2 06:28.00")</f>
        <v>SAS vs WAS - Q2 06:28.00</v>
      </c>
      <c r="M5493">
        <v>0</v>
      </c>
      <c r="N5493">
        <v>-1</v>
      </c>
      <c r="O5493">
        <v>-1</v>
      </c>
      <c r="P5493">
        <v>-1</v>
      </c>
      <c r="Q5493">
        <v>-1</v>
      </c>
      <c r="R5493" t="s">
        <v>21</v>
      </c>
      <c r="S5493" t="s">
        <v>21</v>
      </c>
    </row>
    <row r="5494" spans="1:19" hidden="1" x14ac:dyDescent="0.25">
      <c r="A5494">
        <v>41800305</v>
      </c>
      <c r="B5494" t="s">
        <v>26</v>
      </c>
      <c r="C5494" t="s">
        <v>19</v>
      </c>
      <c r="D5494">
        <v>7</v>
      </c>
      <c r="E5494">
        <v>18</v>
      </c>
      <c r="F5494">
        <v>11</v>
      </c>
      <c r="G5494">
        <v>1</v>
      </c>
      <c r="H5494" s="1">
        <v>4.5023148148148149E-3</v>
      </c>
      <c r="I5494" t="s">
        <v>60</v>
      </c>
      <c r="J5494" t="s">
        <v>48</v>
      </c>
      <c r="K5494" s="2" t="str">
        <f>HYPERLINK("https://www.nba.com/stats/events?CFID=&amp;CFPARAMS=&amp;GameEventID=86&amp;GameID=0041800305&amp;Season=2018-19&amp;flag=1&amp;title=Leonard%203PT%20Jump%20Shot%20(6%20PTS)%20(Lowry%201%20AST)", "Leonard 3PT Jump Shot (6 PTS) (Lowry 1 AST)")</f>
        <v>Leonard 3PT Jump Shot (6 PTS) (Lowry 1 AST)</v>
      </c>
      <c r="L5494" s="2" t="str">
        <f>HYPERLINK("https://www.nba.com/game/...-vs-...-0041800305/play-by-play?watchFullGame=true", "TOR vs MIL - Q1 06:29.00")</f>
        <v>TOR vs MIL - Q1 06:29.00</v>
      </c>
      <c r="M5494">
        <v>0</v>
      </c>
      <c r="N5494">
        <v>-226</v>
      </c>
      <c r="O5494">
        <v>17</v>
      </c>
      <c r="P5494">
        <v>-226</v>
      </c>
      <c r="Q5494">
        <v>17</v>
      </c>
      <c r="R5494" t="s">
        <v>21</v>
      </c>
      <c r="S5494" t="s">
        <v>21</v>
      </c>
    </row>
    <row r="5495" spans="1:19" hidden="1" x14ac:dyDescent="0.25">
      <c r="A5495">
        <v>21500979</v>
      </c>
      <c r="B5495" t="s">
        <v>26</v>
      </c>
      <c r="C5495" t="s">
        <v>39</v>
      </c>
      <c r="D5495">
        <v>82</v>
      </c>
      <c r="E5495">
        <v>76</v>
      </c>
      <c r="F5495">
        <v>6</v>
      </c>
      <c r="G5495">
        <v>4</v>
      </c>
      <c r="H5495" s="1">
        <v>4.5138888888888885E-3</v>
      </c>
      <c r="I5495">
        <v>2015</v>
      </c>
      <c r="J5495" t="s">
        <v>20</v>
      </c>
      <c r="K5495" s="2" t="str">
        <f>HYPERLINK("https://www.nba.com/stats/events?CFID=&amp;CFPARAMS=&amp;GameEventID=448&amp;GameID=0021500979&amp;Season=2015-16&amp;flag=1&amp;title=Leonard%20%203PT%20Step%20Back%20Jump%20Shot%20(22%20PTS)%20(Mills%203%20AST)", "Leonard  3PT Step Back Jump Shot (22 PTS) (Mills 3 AST)")</f>
        <v>Leonard  3PT Step Back Jump Shot (22 PTS) (Mills 3 AST)</v>
      </c>
      <c r="L5495" s="2" t="str">
        <f>HYPERLINK("https://www.nba.com/game/...-vs-...-0021500979/play-by-play?watchFullGame=true", "SAS vs OKC - Q4 06:30.00")</f>
        <v>SAS vs OKC - Q4 06:30.00</v>
      </c>
      <c r="M5495">
        <v>0</v>
      </c>
      <c r="N5495">
        <v>228</v>
      </c>
      <c r="O5495">
        <v>51</v>
      </c>
      <c r="P5495">
        <v>228</v>
      </c>
      <c r="Q5495">
        <v>51</v>
      </c>
      <c r="R5495" t="s">
        <v>21</v>
      </c>
      <c r="S5495" t="s">
        <v>21</v>
      </c>
    </row>
    <row r="5496" spans="1:19" hidden="1" x14ac:dyDescent="0.25">
      <c r="A5496">
        <v>21300133</v>
      </c>
      <c r="B5496" t="s">
        <v>18</v>
      </c>
      <c r="C5496" t="s">
        <v>23</v>
      </c>
      <c r="D5496">
        <v>60</v>
      </c>
      <c r="E5496">
        <v>65</v>
      </c>
      <c r="F5496">
        <v>5</v>
      </c>
      <c r="G5496">
        <v>3</v>
      </c>
      <c r="H5496" s="1">
        <v>9.7222222222222219E-4</v>
      </c>
      <c r="I5496">
        <v>2013</v>
      </c>
      <c r="J5496" t="s">
        <v>20</v>
      </c>
      <c r="K5496" s="2" t="str">
        <f>HYPERLINK("https://www.nba.com/stats/events?CFID=&amp;CFPARAMS=&amp;GameEventID=346&amp;GameID=0021300133&amp;Season=2013-14&amp;flag=1&amp;title=Leonard%201'%20Dunk%20(4%20PTS)%20(Mills%201%20AST)", "Leonard 1' Dunk (4 PTS) (Mills 1 AST)")</f>
        <v>Leonard 1' Dunk (4 PTS) (Mills 1 AST)</v>
      </c>
      <c r="L5496" s="2" t="str">
        <f>HYPERLINK("https://www.nba.com/game/...-vs-...-0021300133/play-by-play?watchFullGame=true", "SAS vs UTA - Q3 01:24.00")</f>
        <v>SAS vs UTA - Q3 01:24.00</v>
      </c>
      <c r="M5496">
        <v>1</v>
      </c>
      <c r="N5496">
        <v>7</v>
      </c>
      <c r="O5496">
        <v>9</v>
      </c>
      <c r="P5496">
        <v>7</v>
      </c>
      <c r="Q5496">
        <v>9</v>
      </c>
      <c r="R5496" t="s">
        <v>21</v>
      </c>
      <c r="S5496" t="s">
        <v>21</v>
      </c>
    </row>
    <row r="5497" spans="1:19" hidden="1" x14ac:dyDescent="0.25">
      <c r="A5497">
        <v>21301123</v>
      </c>
      <c r="B5497" t="s">
        <v>18</v>
      </c>
      <c r="C5497" t="s">
        <v>23</v>
      </c>
      <c r="D5497">
        <v>16</v>
      </c>
      <c r="E5497">
        <v>6</v>
      </c>
      <c r="F5497">
        <v>10</v>
      </c>
      <c r="G5497">
        <v>1</v>
      </c>
      <c r="H5497" s="1">
        <v>4.340277777777778E-3</v>
      </c>
      <c r="I5497">
        <v>2013</v>
      </c>
      <c r="J5497" t="s">
        <v>20</v>
      </c>
      <c r="K5497" s="2" t="str">
        <f>HYPERLINK("https://www.nba.com/stats/events?CFID=&amp;CFPARAMS=&amp;GameEventID=53&amp;GameID=0021301123&amp;Season=2013-14&amp;flag=1&amp;title=Leonard%201'%20Dunk%20(2%20PTS)%20(Parker%203%20AST)", "Leonard 1' Dunk (2 PTS) (Parker 3 AST)")</f>
        <v>Leonard 1' Dunk (2 PTS) (Parker 3 AST)</v>
      </c>
      <c r="L5497" s="2" t="str">
        <f>HYPERLINK("https://www.nba.com/game/...-vs-...-0021301123/play-by-play?watchFullGame=true", "SAS vs GSW - Q1 06:15.00")</f>
        <v>SAS vs GSW - Q1 06:15.00</v>
      </c>
      <c r="M5497">
        <v>1</v>
      </c>
      <c r="N5497">
        <v>7</v>
      </c>
      <c r="O5497">
        <v>3</v>
      </c>
      <c r="P5497">
        <v>7</v>
      </c>
      <c r="Q5497">
        <v>3</v>
      </c>
      <c r="R5497" t="s">
        <v>21</v>
      </c>
      <c r="S5497" t="s">
        <v>21</v>
      </c>
    </row>
    <row r="5498" spans="1:19" hidden="1" x14ac:dyDescent="0.25">
      <c r="A5498">
        <v>21300604</v>
      </c>
      <c r="B5498" t="s">
        <v>18</v>
      </c>
      <c r="C5498" t="s">
        <v>23</v>
      </c>
      <c r="D5498">
        <v>69</v>
      </c>
      <c r="E5498">
        <v>46</v>
      </c>
      <c r="F5498">
        <v>23</v>
      </c>
      <c r="G5498">
        <v>3</v>
      </c>
      <c r="H5498" s="1">
        <v>4.43287037037037E-3</v>
      </c>
      <c r="I5498">
        <v>2013</v>
      </c>
      <c r="J5498" t="s">
        <v>20</v>
      </c>
      <c r="K5498" s="2" t="str">
        <f>HYPERLINK("https://www.nba.com/stats/events?CFID=&amp;CFPARAMS=&amp;GameEventID=285&amp;GameID=0021300604&amp;Season=2013-14&amp;flag=1&amp;title=Leonard%201'%20Dunk%20(11%20PTS)", "Leonard 1' Dunk (11 PTS)")</f>
        <v>Leonard 1' Dunk (11 PTS)</v>
      </c>
      <c r="L5498" s="2" t="str">
        <f>HYPERLINK("https://www.nba.com/game/...-vs-...-0021300604/play-by-play?watchFullGame=true", "SAS vs MIL - Q3 06:23.00")</f>
        <v>SAS vs MIL - Q3 06:23.00</v>
      </c>
      <c r="M5498">
        <v>1</v>
      </c>
      <c r="N5498">
        <v>7</v>
      </c>
      <c r="O5498">
        <v>1</v>
      </c>
      <c r="P5498">
        <v>7</v>
      </c>
      <c r="Q5498">
        <v>1</v>
      </c>
      <c r="R5498" t="s">
        <v>21</v>
      </c>
      <c r="S5498" t="s">
        <v>21</v>
      </c>
    </row>
    <row r="5499" spans="1:19" hidden="1" x14ac:dyDescent="0.25">
      <c r="A5499">
        <v>21300859</v>
      </c>
      <c r="B5499" t="s">
        <v>18</v>
      </c>
      <c r="C5499" t="s">
        <v>68</v>
      </c>
      <c r="D5499">
        <v>15</v>
      </c>
      <c r="E5499">
        <v>9</v>
      </c>
      <c r="F5499">
        <v>6</v>
      </c>
      <c r="G5499">
        <v>1</v>
      </c>
      <c r="H5499" s="1">
        <v>4.8148148148148152E-3</v>
      </c>
      <c r="I5499">
        <v>2013</v>
      </c>
      <c r="J5499" t="s">
        <v>20</v>
      </c>
      <c r="K5499" s="2" t="str">
        <f>HYPERLINK("https://www.nba.com/stats/events?CFID=&amp;CFPARAMS=&amp;GameEventID=61&amp;GameID=0021300859&amp;Season=2013-14&amp;flag=1&amp;title=Leonard%201'%20Alley%20Oop%20Dunk%20(7%20PTS)%20(Joseph%202%20AST)", "Leonard 1' Alley Oop Dunk (7 PTS) (Joseph 2 AST)")</f>
        <v>Leonard 1' Alley Oop Dunk (7 PTS) (Joseph 2 AST)</v>
      </c>
      <c r="L5499" s="2" t="str">
        <f>HYPERLINK("https://www.nba.com/game/...-vs-...-0021300859/play-by-play?watchFullGame=true", "SAS vs DET - Q1 06:56.00")</f>
        <v>SAS vs DET - Q1 06:56.00</v>
      </c>
      <c r="M5499">
        <v>1</v>
      </c>
      <c r="N5499">
        <v>7</v>
      </c>
      <c r="O5499">
        <v>1</v>
      </c>
      <c r="P5499">
        <v>7</v>
      </c>
      <c r="Q5499">
        <v>1</v>
      </c>
      <c r="R5499" t="s">
        <v>21</v>
      </c>
      <c r="S5499" t="s">
        <v>21</v>
      </c>
    </row>
    <row r="5500" spans="1:19" hidden="1" x14ac:dyDescent="0.25">
      <c r="A5500">
        <v>41200152</v>
      </c>
      <c r="B5500" t="s">
        <v>18</v>
      </c>
      <c r="C5500" t="s">
        <v>68</v>
      </c>
      <c r="D5500">
        <v>35</v>
      </c>
      <c r="E5500">
        <v>32</v>
      </c>
      <c r="F5500">
        <v>3</v>
      </c>
      <c r="G5500">
        <v>2</v>
      </c>
      <c r="H5500" s="1">
        <v>5.5208333333333333E-3</v>
      </c>
      <c r="I5500" t="s">
        <v>53</v>
      </c>
      <c r="J5500" t="s">
        <v>20</v>
      </c>
      <c r="K5500" s="2" t="str">
        <f>HYPERLINK("https://www.nba.com/stats/events?CFID=&amp;CFPARAMS=&amp;GameEventID=157&amp;GameID=0041200152&amp;Season=2012-13&amp;flag=1&amp;title=Leonard%201'%20Alley%20Oop%20Dunk%20(10%20PTS)%20(Parker%203%20AST)", "Leonard 1' Alley Oop Dunk (10 PTS) (Parker 3 AST)")</f>
        <v>Leonard 1' Alley Oop Dunk (10 PTS) (Parker 3 AST)</v>
      </c>
      <c r="L5500" s="2" t="str">
        <f>HYPERLINK("https://www.nba.com/game/...-vs-...-0041200152/play-by-play?watchFullGame=true", "SAS vs LAL - Q2 07:57.00")</f>
        <v>SAS vs LAL - Q2 07:57.00</v>
      </c>
      <c r="M5500">
        <v>1</v>
      </c>
      <c r="N5500">
        <v>7</v>
      </c>
      <c r="O5500">
        <v>-3</v>
      </c>
      <c r="P5500">
        <v>7</v>
      </c>
      <c r="Q5500">
        <v>-3</v>
      </c>
      <c r="R5500" t="s">
        <v>21</v>
      </c>
      <c r="S5500" t="s">
        <v>21</v>
      </c>
    </row>
    <row r="5501" spans="1:19" hidden="1" x14ac:dyDescent="0.25">
      <c r="A5501">
        <v>41800212</v>
      </c>
      <c r="B5501" t="s">
        <v>26</v>
      </c>
      <c r="C5501" t="s">
        <v>19</v>
      </c>
      <c r="D5501">
        <v>51</v>
      </c>
      <c r="E5501">
        <v>55</v>
      </c>
      <c r="F5501">
        <v>4</v>
      </c>
      <c r="G5501">
        <v>3</v>
      </c>
      <c r="H5501" s="1">
        <v>4.6527777777777774E-3</v>
      </c>
      <c r="I5501" t="s">
        <v>60</v>
      </c>
      <c r="J5501" t="s">
        <v>48</v>
      </c>
      <c r="K5501" s="2" t="str">
        <f>HYPERLINK("https://www.nba.com/stats/events?CFID=&amp;CFPARAMS=&amp;GameEventID=385&amp;GameID=0041800212&amp;Season=2018-19&amp;flag=1&amp;title=Leonard%203PT%20Jump%20Shot%20(23%20PTS)", "Leonard 3PT Jump Shot (23 PTS)")</f>
        <v>Leonard 3PT Jump Shot (23 PTS)</v>
      </c>
      <c r="L5501" s="2" t="str">
        <f>HYPERLINK("https://www.nba.com/game/...-vs-...-0041800212/play-by-play?watchFullGame=true", "TOR vs PHI - Q3 06:42.00")</f>
        <v>TOR vs PHI - Q3 06:42.00</v>
      </c>
      <c r="M5501">
        <v>0</v>
      </c>
      <c r="N5501">
        <v>231</v>
      </c>
      <c r="O5501">
        <v>23</v>
      </c>
      <c r="P5501">
        <v>231</v>
      </c>
      <c r="Q5501">
        <v>23</v>
      </c>
      <c r="R5501" t="s">
        <v>21</v>
      </c>
      <c r="S5501" t="s">
        <v>21</v>
      </c>
    </row>
    <row r="5502" spans="1:19" hidden="1" x14ac:dyDescent="0.25">
      <c r="A5502">
        <v>41500233</v>
      </c>
      <c r="B5502" t="s">
        <v>26</v>
      </c>
      <c r="C5502" t="s">
        <v>19</v>
      </c>
      <c r="D5502">
        <v>15</v>
      </c>
      <c r="E5502">
        <v>11</v>
      </c>
      <c r="F5502">
        <v>4</v>
      </c>
      <c r="G5502">
        <v>1</v>
      </c>
      <c r="H5502" s="1">
        <v>4.6643518518518518E-3</v>
      </c>
      <c r="I5502" t="s">
        <v>57</v>
      </c>
      <c r="J5502" t="s">
        <v>20</v>
      </c>
      <c r="K5502" s="2" t="str">
        <f>HYPERLINK("https://www.nba.com/stats/events?CFID=&amp;CFPARAMS=&amp;GameEventID=40&amp;GameID=0041500233&amp;Season=2015-16&amp;flag=1&amp;title=Leonard%20%203PT%20Jump%20Shot%20(6%20PTS)%20(Parker%203%20AST)", "Leonard  3PT Jump Shot (6 PTS) (Parker 3 AST)")</f>
        <v>Leonard  3PT Jump Shot (6 PTS) (Parker 3 AST)</v>
      </c>
      <c r="L5502" s="2" t="str">
        <f>HYPERLINK("https://www.nba.com/game/...-vs-...-0041500233/play-by-play?watchFullGame=true", "SAS vs OKC - Q1 06:43.00")</f>
        <v>SAS vs OKC - Q1 06:43.00</v>
      </c>
      <c r="M5502">
        <v>0</v>
      </c>
      <c r="N5502">
        <v>230</v>
      </c>
      <c r="O5502">
        <v>3</v>
      </c>
      <c r="P5502">
        <v>230</v>
      </c>
      <c r="Q5502">
        <v>3</v>
      </c>
      <c r="R5502" t="s">
        <v>21</v>
      </c>
      <c r="S5502" t="s">
        <v>21</v>
      </c>
    </row>
    <row r="5503" spans="1:19" hidden="1" x14ac:dyDescent="0.25">
      <c r="A5503">
        <v>21300465</v>
      </c>
      <c r="B5503" t="s">
        <v>18</v>
      </c>
      <c r="C5503" t="s">
        <v>35</v>
      </c>
      <c r="D5503">
        <v>71</v>
      </c>
      <c r="E5503">
        <v>48</v>
      </c>
      <c r="F5503">
        <v>23</v>
      </c>
      <c r="G5503">
        <v>3</v>
      </c>
      <c r="H5503" s="1">
        <v>4.6874999999999998E-3</v>
      </c>
      <c r="I5503">
        <v>2013</v>
      </c>
      <c r="J5503" t="s">
        <v>20</v>
      </c>
      <c r="K5503" s="2" t="str">
        <f>HYPERLINK("https://www.nba.com/stats/events?CFID=&amp;CFPARAMS=&amp;GameEventID=329&amp;GameID=0021300465&amp;Season=2013-14&amp;flag=1&amp;title=Leonard%20%20Reverse%20Layup%20(4%20PTS)%20(Diaw%202%20AST)", "Leonard  Reverse Layup (4 PTS) (Diaw 2 AST)")</f>
        <v>Leonard  Reverse Layup (4 PTS) (Diaw 2 AST)</v>
      </c>
      <c r="L5503" s="2" t="str">
        <f>HYPERLINK("https://www.nba.com/game/...-vs-...-0021300465/play-by-play?watchFullGame=true", "SAS vs BKN - Q3 06:45.00")</f>
        <v>SAS vs BKN - Q3 06:45.00</v>
      </c>
      <c r="M5503">
        <v>0</v>
      </c>
      <c r="N5503">
        <v>-2</v>
      </c>
      <c r="O5503">
        <v>3</v>
      </c>
      <c r="P5503">
        <v>-2</v>
      </c>
      <c r="Q5503">
        <v>3</v>
      </c>
      <c r="R5503" t="s">
        <v>21</v>
      </c>
      <c r="S5503" t="s">
        <v>21</v>
      </c>
    </row>
    <row r="5504" spans="1:19" hidden="1" x14ac:dyDescent="0.25">
      <c r="A5504">
        <v>21800470</v>
      </c>
      <c r="B5504" t="s">
        <v>18</v>
      </c>
      <c r="C5504" t="s">
        <v>22</v>
      </c>
      <c r="D5504">
        <v>48</v>
      </c>
      <c r="E5504">
        <v>39</v>
      </c>
      <c r="F5504">
        <v>9</v>
      </c>
      <c r="G5504">
        <v>2</v>
      </c>
      <c r="H5504" s="1">
        <v>4.7106481481481478E-3</v>
      </c>
      <c r="I5504">
        <v>2018</v>
      </c>
      <c r="J5504" t="s">
        <v>48</v>
      </c>
      <c r="K5504" s="2" t="str">
        <f>HYPERLINK("https://www.nba.com/stats/events?CFID=&amp;CFPARAMS=&amp;GameEventID=213&amp;GameID=0021800470&amp;Season=2018-19&amp;flag=1&amp;title=Leonard%20Driving%20Layup%20(8%20PTS)", "Leonard Driving Layup (8 PTS)")</f>
        <v>Leonard Driving Layup (8 PTS)</v>
      </c>
      <c r="L5504" s="2" t="str">
        <f>HYPERLINK("https://www.nba.com/game/...-vs-...-0021800470/play-by-play?watchFullGame=true", "TOR vs CLE - Q2 06:47.00")</f>
        <v>TOR vs CLE - Q2 06:47.00</v>
      </c>
      <c r="M5504">
        <v>0</v>
      </c>
      <c r="N5504">
        <v>3</v>
      </c>
      <c r="O5504">
        <v>1</v>
      </c>
      <c r="P5504">
        <v>3</v>
      </c>
      <c r="Q5504">
        <v>1</v>
      </c>
      <c r="R5504" t="s">
        <v>21</v>
      </c>
      <c r="S5504" t="s">
        <v>21</v>
      </c>
    </row>
    <row r="5505" spans="1:19" hidden="1" x14ac:dyDescent="0.25">
      <c r="A5505">
        <v>21300898</v>
      </c>
      <c r="B5505" t="s">
        <v>18</v>
      </c>
      <c r="C5505" t="s">
        <v>24</v>
      </c>
      <c r="D5505">
        <v>108</v>
      </c>
      <c r="E5505">
        <v>80</v>
      </c>
      <c r="F5505">
        <v>28</v>
      </c>
      <c r="G5505">
        <v>4</v>
      </c>
      <c r="H5505" s="1">
        <v>4.7337962962962967E-3</v>
      </c>
      <c r="I5505">
        <v>2013</v>
      </c>
      <c r="J5505" t="s">
        <v>20</v>
      </c>
      <c r="K5505" s="2" t="str">
        <f>HYPERLINK("https://www.nba.com/stats/events?CFID=&amp;CFPARAMS=&amp;GameEventID=485&amp;GameID=0021300898&amp;Season=2013-14&amp;flag=1&amp;title=Leonard%20%20Layup%20(18%20PTS)%20(Green%203%20AST)", "Leonard  Layup (18 PTS) (Green 3 AST)")</f>
        <v>Leonard  Layup (18 PTS) (Green 3 AST)</v>
      </c>
      <c r="L5505" s="2" t="str">
        <f>HYPERLINK("https://www.nba.com/game/...-vs-...-0021300898/play-by-play?watchFullGame=true", "SAS vs CLE - Q4 06:49.00")</f>
        <v>SAS vs CLE - Q4 06:49.00</v>
      </c>
      <c r="M5505">
        <v>0</v>
      </c>
      <c r="N5505">
        <v>0</v>
      </c>
      <c r="O5505">
        <v>1</v>
      </c>
      <c r="P5505">
        <v>0</v>
      </c>
      <c r="Q5505">
        <v>1</v>
      </c>
      <c r="R5505" t="s">
        <v>21</v>
      </c>
      <c r="S5505" t="s">
        <v>21</v>
      </c>
    </row>
    <row r="5506" spans="1:19" hidden="1" x14ac:dyDescent="0.25">
      <c r="A5506">
        <v>21300338</v>
      </c>
      <c r="B5506" t="s">
        <v>18</v>
      </c>
      <c r="C5506" t="s">
        <v>23</v>
      </c>
      <c r="D5506">
        <v>64</v>
      </c>
      <c r="E5506">
        <v>54</v>
      </c>
      <c r="F5506">
        <v>10</v>
      </c>
      <c r="G5506">
        <v>3</v>
      </c>
      <c r="H5506" s="1">
        <v>8.1365740740740738E-3</v>
      </c>
      <c r="I5506">
        <v>2013</v>
      </c>
      <c r="J5506" t="s">
        <v>20</v>
      </c>
      <c r="K5506" s="2" t="str">
        <f>HYPERLINK("https://www.nba.com/stats/events?CFID=&amp;CFPARAMS=&amp;GameEventID=252&amp;GameID=0021300338&amp;Season=2013-14&amp;flag=1&amp;title=Leonard%201'%20Dunk%20(10%20PTS)", "Leonard 1' Dunk (10 PTS)")</f>
        <v>Leonard 1' Dunk (10 PTS)</v>
      </c>
      <c r="L5506" s="2" t="str">
        <f>HYPERLINK("https://www.nba.com/game/...-vs-...-0021300338/play-by-play?watchFullGame=true", "SAS vs MIN - Q3 11:43.00")</f>
        <v>SAS vs MIN - Q3 11:43.00</v>
      </c>
      <c r="M5506">
        <v>1</v>
      </c>
      <c r="N5506">
        <v>7</v>
      </c>
      <c r="O5506">
        <v>1</v>
      </c>
      <c r="P5506">
        <v>7</v>
      </c>
      <c r="Q5506">
        <v>1</v>
      </c>
      <c r="R5506" t="s">
        <v>21</v>
      </c>
      <c r="S5506" t="s">
        <v>21</v>
      </c>
    </row>
    <row r="5507" spans="1:19" hidden="1" x14ac:dyDescent="0.25">
      <c r="A5507">
        <v>21800538</v>
      </c>
      <c r="B5507" t="s">
        <v>18</v>
      </c>
      <c r="C5507" t="s">
        <v>71</v>
      </c>
      <c r="D5507">
        <v>27</v>
      </c>
      <c r="E5507">
        <v>26</v>
      </c>
      <c r="F5507">
        <v>1</v>
      </c>
      <c r="G5507">
        <v>2</v>
      </c>
      <c r="H5507" s="1">
        <v>4.8148148148148152E-3</v>
      </c>
      <c r="I5507">
        <v>2018</v>
      </c>
      <c r="J5507" t="s">
        <v>48</v>
      </c>
      <c r="K5507" s="2" t="str">
        <f>HYPERLINK("https://www.nba.com/stats/events?CFID=&amp;CFPARAMS=&amp;GameEventID=186&amp;GameID=0021800538&amp;Season=2018-19&amp;flag=1&amp;title=Leonard%20Running%20Finger%20Roll%20Layup%20(8%20PTS)", "Leonard Running Finger Roll Layup (8 PTS)")</f>
        <v>Leonard Running Finger Roll Layup (8 PTS)</v>
      </c>
      <c r="L5507" s="2" t="str">
        <f>HYPERLINK("https://www.nba.com/game/...-vs-...-0021800538/play-by-play?watchFullGame=true", "TOR vs CHI - Q2 06:56.00")</f>
        <v>TOR vs CHI - Q2 06:56.00</v>
      </c>
      <c r="M5507">
        <v>0</v>
      </c>
      <c r="N5507">
        <v>-4</v>
      </c>
      <c r="O5507">
        <v>-2</v>
      </c>
      <c r="P5507">
        <v>-4</v>
      </c>
      <c r="Q5507">
        <v>-2</v>
      </c>
      <c r="R5507" t="s">
        <v>21</v>
      </c>
      <c r="S5507" t="s">
        <v>21</v>
      </c>
    </row>
    <row r="5508" spans="1:19" hidden="1" x14ac:dyDescent="0.25">
      <c r="A5508">
        <v>41300313</v>
      </c>
      <c r="B5508" t="s">
        <v>18</v>
      </c>
      <c r="C5508" t="s">
        <v>24</v>
      </c>
      <c r="D5508">
        <v>82</v>
      </c>
      <c r="E5508">
        <v>97</v>
      </c>
      <c r="F5508">
        <v>15</v>
      </c>
      <c r="G5508">
        <v>4</v>
      </c>
      <c r="H5508" s="1">
        <v>4.8958333333333336E-3</v>
      </c>
      <c r="I5508" t="s">
        <v>55</v>
      </c>
      <c r="J5508" t="s">
        <v>20</v>
      </c>
      <c r="K5508" s="2" t="str">
        <f>HYPERLINK("https://www.nba.com/stats/events?CFID=&amp;CFPARAMS=&amp;GameEventID=478&amp;GameID=0041300313&amp;Season=2013-14&amp;flag=1&amp;title=Leonard%20%20Layup%20(10%20PTS)%20(Ginobili%204%20AST)", "Leonard  Layup (10 PTS) (Ginobili 4 AST)")</f>
        <v>Leonard  Layup (10 PTS) (Ginobili 4 AST)</v>
      </c>
      <c r="L5508" s="2" t="str">
        <f>HYPERLINK("https://www.nba.com/game/...-vs-...-0041300313/play-by-play?watchFullGame=true", "SAS vs OKC - Q4 07:03.00")</f>
        <v>SAS vs OKC - Q4 07:03.00</v>
      </c>
      <c r="M5508">
        <v>0</v>
      </c>
      <c r="N5508">
        <v>-2</v>
      </c>
      <c r="O5508">
        <v>1</v>
      </c>
      <c r="P5508">
        <v>-2</v>
      </c>
      <c r="Q5508">
        <v>1</v>
      </c>
      <c r="R5508" t="s">
        <v>21</v>
      </c>
      <c r="S5508" t="s">
        <v>21</v>
      </c>
    </row>
    <row r="5509" spans="1:19" hidden="1" x14ac:dyDescent="0.25">
      <c r="A5509">
        <v>21400266</v>
      </c>
      <c r="B5509" t="s">
        <v>26</v>
      </c>
      <c r="C5509" t="s">
        <v>19</v>
      </c>
      <c r="D5509">
        <v>7</v>
      </c>
      <c r="E5509">
        <v>9</v>
      </c>
      <c r="F5509">
        <v>2</v>
      </c>
      <c r="G5509">
        <v>1</v>
      </c>
      <c r="H5509" s="1">
        <v>4.9074074074074072E-3</v>
      </c>
      <c r="I5509">
        <v>2014</v>
      </c>
      <c r="J5509" t="s">
        <v>20</v>
      </c>
      <c r="K5509" s="2" t="str">
        <f>HYPERLINK("https://www.nba.com/stats/events?CFID=&amp;CFPARAMS=&amp;GameEventID=51&amp;GameID=0021400266&amp;Season=2014-15&amp;flag=1&amp;title=Leonard%20%203PT%20Jump%20Shot%20(4%20PTS)%20(Parker%201%20AST)", "Leonard  3PT Jump Shot (4 PTS) (Parker 1 AST)")</f>
        <v>Leonard  3PT Jump Shot (4 PTS) (Parker 1 AST)</v>
      </c>
      <c r="L5509" s="2" t="str">
        <f>HYPERLINK("https://www.nba.com/game/...-vs-...-0021400266/play-by-play?watchFullGame=true", "SAS vs BKN - Q1 07:04.00")</f>
        <v>SAS vs BKN - Q1 07:04.00</v>
      </c>
      <c r="M5509">
        <v>0</v>
      </c>
      <c r="N5509">
        <v>233</v>
      </c>
      <c r="O5509">
        <v>22</v>
      </c>
      <c r="P5509">
        <v>233</v>
      </c>
      <c r="Q5509">
        <v>22</v>
      </c>
      <c r="R5509" t="s">
        <v>21</v>
      </c>
      <c r="S5509" t="s">
        <v>21</v>
      </c>
    </row>
    <row r="5510" spans="1:19" hidden="1" x14ac:dyDescent="0.25">
      <c r="A5510">
        <v>41800301</v>
      </c>
      <c r="B5510" t="s">
        <v>18</v>
      </c>
      <c r="C5510" t="s">
        <v>23</v>
      </c>
      <c r="D5510">
        <v>59</v>
      </c>
      <c r="E5510">
        <v>51</v>
      </c>
      <c r="F5510">
        <v>8</v>
      </c>
      <c r="G5510">
        <v>2</v>
      </c>
      <c r="H5510" s="1">
        <v>1.111111111111111E-4</v>
      </c>
      <c r="I5510" t="s">
        <v>60</v>
      </c>
      <c r="J5510" t="s">
        <v>48</v>
      </c>
      <c r="K5510" s="2" t="str">
        <f>HYPERLINK("https://www.nba.com/stats/events?CFID=&amp;CFPARAMS=&amp;GameEventID=311&amp;GameID=0041800301&amp;Season=2018-19&amp;flag=1&amp;title=Leonard%202'%20Dunk%20(15%20PTS)%20(Green%202%20AST)", "Leonard 2' Dunk (15 PTS) (Green 2 AST)")</f>
        <v>Leonard 2' Dunk (15 PTS) (Green 2 AST)</v>
      </c>
      <c r="L5510" s="2" t="str">
        <f>HYPERLINK("https://www.nba.com/game/...-vs-...-0041800301/play-by-play?watchFullGame=true", "TOR vs MIL - Q2 00:09.60")</f>
        <v>TOR vs MIL - Q2 00:09.60</v>
      </c>
      <c r="M5510">
        <v>2</v>
      </c>
      <c r="N5510">
        <v>8</v>
      </c>
      <c r="O5510">
        <v>13</v>
      </c>
      <c r="P5510">
        <v>8</v>
      </c>
      <c r="Q5510">
        <v>13</v>
      </c>
      <c r="R5510" t="s">
        <v>21</v>
      </c>
      <c r="S5510" t="s">
        <v>21</v>
      </c>
    </row>
    <row r="5511" spans="1:19" hidden="1" x14ac:dyDescent="0.25">
      <c r="A5511">
        <v>21600874</v>
      </c>
      <c r="B5511" t="s">
        <v>18</v>
      </c>
      <c r="C5511" t="s">
        <v>44</v>
      </c>
      <c r="D5511">
        <v>13</v>
      </c>
      <c r="E5511">
        <v>5</v>
      </c>
      <c r="F5511">
        <v>8</v>
      </c>
      <c r="G5511">
        <v>1</v>
      </c>
      <c r="H5511" s="1">
        <v>4.9652777777777777E-3</v>
      </c>
      <c r="I5511">
        <v>2016</v>
      </c>
      <c r="J5511" t="s">
        <v>20</v>
      </c>
      <c r="K5511" s="2" t="str">
        <f>HYPERLINK("https://www.nba.com/stats/events?CFID=&amp;CFPARAMS=&amp;GameEventID=36&amp;GameID=0021600874&amp;Season=2016-17&amp;flag=1&amp;title=Leonard%20%20Driving%20Reverse%20Layup%20(5%20PTS)%20(Parker%205%20AST)", "Leonard  Driving Reverse Layup (5 PTS) (Parker 5 AST)")</f>
        <v>Leonard  Driving Reverse Layup (5 PTS) (Parker 5 AST)</v>
      </c>
      <c r="L5511" s="2" t="str">
        <f>HYPERLINK("https://www.nba.com/game/...-vs-...-0021600874/play-by-play?watchFullGame=true", "SAS vs LAL - Q1 07:09.00")</f>
        <v>SAS vs LAL - Q1 07:09.00</v>
      </c>
      <c r="M5511">
        <v>0</v>
      </c>
      <c r="N5511">
        <v>3</v>
      </c>
      <c r="O5511">
        <v>1</v>
      </c>
      <c r="P5511">
        <v>3</v>
      </c>
      <c r="Q5511">
        <v>1</v>
      </c>
      <c r="R5511" t="s">
        <v>21</v>
      </c>
      <c r="S5511" t="s">
        <v>21</v>
      </c>
    </row>
    <row r="5512" spans="1:19" hidden="1" x14ac:dyDescent="0.25">
      <c r="A5512">
        <v>21801180</v>
      </c>
      <c r="B5512" t="s">
        <v>18</v>
      </c>
      <c r="C5512" t="s">
        <v>25</v>
      </c>
      <c r="D5512">
        <v>60</v>
      </c>
      <c r="E5512">
        <v>50</v>
      </c>
      <c r="F5512">
        <v>10</v>
      </c>
      <c r="G5512">
        <v>2</v>
      </c>
      <c r="H5512" s="1">
        <v>1.3194444444444445E-3</v>
      </c>
      <c r="I5512">
        <v>2018</v>
      </c>
      <c r="J5512" t="s">
        <v>48</v>
      </c>
      <c r="K5512" s="2" t="str">
        <f>HYPERLINK("https://www.nba.com/stats/events?CFID=&amp;CFPARAMS=&amp;GameEventID=300&amp;GameID=0021801180&amp;Season=2018-19&amp;flag=1&amp;title=Leonard%202'%20Driving%20Dunk%20(14%20PTS)", "Leonard 2' Driving Dunk (14 PTS)")</f>
        <v>Leonard 2' Driving Dunk (14 PTS)</v>
      </c>
      <c r="L5512" s="2" t="str">
        <f>HYPERLINK("https://www.nba.com/game/...-vs-...-0021801180/play-by-play?watchFullGame=true", "TOR vs CHA - Q2 01:54.00")</f>
        <v>TOR vs CHA - Q2 01:54.00</v>
      </c>
      <c r="M5512">
        <v>2</v>
      </c>
      <c r="N5512">
        <v>8</v>
      </c>
      <c r="O5512">
        <v>13</v>
      </c>
      <c r="P5512">
        <v>8</v>
      </c>
      <c r="Q5512">
        <v>13</v>
      </c>
      <c r="R5512" t="s">
        <v>21</v>
      </c>
      <c r="S5512" t="s">
        <v>21</v>
      </c>
    </row>
    <row r="5513" spans="1:19" hidden="1" x14ac:dyDescent="0.25">
      <c r="A5513">
        <v>21500590</v>
      </c>
      <c r="B5513" t="s">
        <v>18</v>
      </c>
      <c r="C5513" t="s">
        <v>40</v>
      </c>
      <c r="D5513">
        <v>85</v>
      </c>
      <c r="E5513">
        <v>75</v>
      </c>
      <c r="F5513">
        <v>10</v>
      </c>
      <c r="G5513">
        <v>4</v>
      </c>
      <c r="H5513" s="1">
        <v>5.092592592592593E-3</v>
      </c>
      <c r="I5513">
        <v>2015</v>
      </c>
      <c r="J5513" t="s">
        <v>20</v>
      </c>
      <c r="K5513" s="2" t="str">
        <f>HYPERLINK("https://www.nba.com/stats/events?CFID=&amp;CFPARAMS=&amp;GameEventID=418&amp;GameID=0021500590&amp;Season=2015-16&amp;flag=1&amp;title=Leonard%20%20Driving%20Finger%20Roll%20Layup%20(18%20PTS)%20(Mills%201%20AST)", "Leonard  Driving Finger Roll Layup (18 PTS) (Mills 1 AST)")</f>
        <v>Leonard  Driving Finger Roll Layup (18 PTS) (Mills 1 AST)</v>
      </c>
      <c r="L5513" s="2" t="str">
        <f>HYPERLINK("https://www.nba.com/game/...-vs-...-0021500590/play-by-play?watchFullGame=true", "SAS vs CLE - Q4 07:20.00")</f>
        <v>SAS vs CLE - Q4 07:20.00</v>
      </c>
      <c r="M5513">
        <v>0</v>
      </c>
      <c r="N5513">
        <v>-4</v>
      </c>
      <c r="O5513">
        <v>2</v>
      </c>
      <c r="P5513">
        <v>-4</v>
      </c>
      <c r="Q5513">
        <v>2</v>
      </c>
      <c r="R5513" t="s">
        <v>21</v>
      </c>
      <c r="S5513" t="s">
        <v>21</v>
      </c>
    </row>
    <row r="5514" spans="1:19" hidden="1" x14ac:dyDescent="0.25">
      <c r="A5514">
        <v>41400162</v>
      </c>
      <c r="B5514" t="s">
        <v>18</v>
      </c>
      <c r="C5514" t="s">
        <v>47</v>
      </c>
      <c r="D5514">
        <v>59</v>
      </c>
      <c r="E5514">
        <v>53</v>
      </c>
      <c r="F5514">
        <v>6</v>
      </c>
      <c r="G5514">
        <v>3</v>
      </c>
      <c r="H5514" s="1">
        <v>5.092592592592593E-3</v>
      </c>
      <c r="I5514" t="s">
        <v>56</v>
      </c>
      <c r="J5514" t="s">
        <v>20</v>
      </c>
      <c r="K5514" s="2" t="str">
        <f>HYPERLINK("https://www.nba.com/stats/events?CFID=&amp;CFPARAMS=&amp;GameEventID=294&amp;GameID=0041400162&amp;Season=2014-15&amp;flag=1&amp;title=Leonard%20%20Hook%20Shot%20(13%20PTS)", "Leonard  Hook Shot (13 PTS)")</f>
        <v>Leonard  Hook Shot (13 PTS)</v>
      </c>
      <c r="L5514" s="2" t="str">
        <f>HYPERLINK("https://www.nba.com/game/...-vs-...-0041400162/play-by-play?watchFullGame=true", "SAS vs LAC - Q3 07:20.00")</f>
        <v>SAS vs LAC - Q3 07:20.00</v>
      </c>
      <c r="M5514">
        <v>0</v>
      </c>
      <c r="N5514">
        <v>0</v>
      </c>
      <c r="O5514">
        <v>1</v>
      </c>
      <c r="P5514">
        <v>0</v>
      </c>
      <c r="Q5514">
        <v>1</v>
      </c>
      <c r="R5514" t="s">
        <v>21</v>
      </c>
      <c r="S5514" t="s">
        <v>21</v>
      </c>
    </row>
    <row r="5515" spans="1:19" hidden="1" x14ac:dyDescent="0.25">
      <c r="A5515">
        <v>41800306</v>
      </c>
      <c r="B5515" t="s">
        <v>18</v>
      </c>
      <c r="C5515" t="s">
        <v>50</v>
      </c>
      <c r="D5515">
        <v>87</v>
      </c>
      <c r="E5515">
        <v>79</v>
      </c>
      <c r="F5515">
        <v>8</v>
      </c>
      <c r="G5515">
        <v>4</v>
      </c>
      <c r="H5515" s="1">
        <v>4.6990740740740743E-3</v>
      </c>
      <c r="I5515" t="s">
        <v>60</v>
      </c>
      <c r="J5515" t="s">
        <v>48</v>
      </c>
      <c r="K5515" s="2" t="str">
        <f>HYPERLINK("https://www.nba.com/stats/events?CFID=&amp;CFPARAMS=&amp;GameEventID=556&amp;GameID=0041800306&amp;Season=2018-19&amp;flag=1&amp;title=Leonard%202'%20Running%20Dunk%20(22%20PTS)%20(Lowry%207%20AST)", "Leonard 2' Running Dunk (22 PTS) (Lowry 7 AST)")</f>
        <v>Leonard 2' Running Dunk (22 PTS) (Lowry 7 AST)</v>
      </c>
      <c r="L5515" s="2" t="str">
        <f>HYPERLINK("https://www.nba.com/game/...-vs-...-0041800306/play-by-play?watchFullGame=true", "TOR vs MIL - Q4 06:46.00")</f>
        <v>TOR vs MIL - Q4 06:46.00</v>
      </c>
      <c r="M5515">
        <v>2</v>
      </c>
      <c r="N5515">
        <v>8</v>
      </c>
      <c r="O5515">
        <v>16</v>
      </c>
      <c r="P5515">
        <v>8</v>
      </c>
      <c r="Q5515">
        <v>16</v>
      </c>
      <c r="R5515" t="s">
        <v>21</v>
      </c>
      <c r="S5515" t="s">
        <v>21</v>
      </c>
    </row>
    <row r="5516" spans="1:19" hidden="1" x14ac:dyDescent="0.25">
      <c r="A5516">
        <v>21800055</v>
      </c>
      <c r="B5516" t="s">
        <v>18</v>
      </c>
      <c r="C5516" t="s">
        <v>22</v>
      </c>
      <c r="D5516">
        <v>68</v>
      </c>
      <c r="E5516">
        <v>60</v>
      </c>
      <c r="F5516">
        <v>8</v>
      </c>
      <c r="G5516">
        <v>3</v>
      </c>
      <c r="H5516" s="1">
        <v>5.162037037037037E-3</v>
      </c>
      <c r="I5516">
        <v>2018</v>
      </c>
      <c r="J5516" t="s">
        <v>48</v>
      </c>
      <c r="K5516" s="2" t="str">
        <f>HYPERLINK("https://www.nba.com/stats/events?CFID=&amp;CFPARAMS=&amp;GameEventID=388&amp;GameID=0021800055&amp;Season=2018-19&amp;flag=1&amp;title=Leonard%20Driving%20Layup%20(22%20PTS)", "Leonard Driving Layup (22 PTS)")</f>
        <v>Leonard Driving Layup (22 PTS)</v>
      </c>
      <c r="L5516" s="2" t="str">
        <f>HYPERLINK("https://www.nba.com/game/...-vs-...-0021800055/play-by-play?watchFullGame=true", "TOR vs MIN - Q3 07:26.00")</f>
        <v>TOR vs MIN - Q3 07:26.00</v>
      </c>
      <c r="M5516">
        <v>0</v>
      </c>
      <c r="N5516">
        <v>1</v>
      </c>
      <c r="O5516">
        <v>-2</v>
      </c>
      <c r="P5516">
        <v>1</v>
      </c>
      <c r="Q5516">
        <v>-2</v>
      </c>
      <c r="R5516" t="s">
        <v>21</v>
      </c>
      <c r="S5516" t="s">
        <v>21</v>
      </c>
    </row>
    <row r="5517" spans="1:19" x14ac:dyDescent="0.25">
      <c r="A5517">
        <v>21401113</v>
      </c>
      <c r="B5517" t="s">
        <v>26</v>
      </c>
      <c r="C5517" t="s">
        <v>19</v>
      </c>
      <c r="D5517">
        <v>10</v>
      </c>
      <c r="E5517">
        <v>10</v>
      </c>
      <c r="F5517">
        <v>0</v>
      </c>
      <c r="G5517">
        <v>1</v>
      </c>
      <c r="H5517" s="1">
        <v>5.185185185185185E-3</v>
      </c>
      <c r="I5517">
        <v>2014</v>
      </c>
      <c r="J5517" t="s">
        <v>20</v>
      </c>
      <c r="K5517" s="2" t="str">
        <f>HYPERLINK("https://www.nba.com/stats/events?CFID=&amp;CFPARAMS=&amp;GameEventID=39&amp;GameID=0021401113&amp;Season=2014-15&amp;flag=1&amp;title=Leonard%203PT%20Jump%20Shot%20(7%20PTS)%20(Parker%201%20AST)", "Leonard 3PT Jump Shot (7 PTS) (Parker 1 AST)")</f>
        <v>Leonard 3PT Jump Shot (7 PTS) (Parker 1 AST)</v>
      </c>
      <c r="L5517" s="2" t="str">
        <f>HYPERLINK("https://www.nba.com/game/...-vs-...-0021401113/play-by-play?watchFullGame=true", "SAS vs ORL - Q1 07:28.00")</f>
        <v>SAS vs ORL - Q1 07:28.00</v>
      </c>
      <c r="M5517">
        <v>0</v>
      </c>
      <c r="N5517">
        <v>-232</v>
      </c>
      <c r="O5517">
        <v>-13</v>
      </c>
      <c r="P5517">
        <v>-232</v>
      </c>
      <c r="Q5517">
        <v>-13</v>
      </c>
      <c r="R5517" t="s">
        <v>21</v>
      </c>
      <c r="S5517" t="s">
        <v>21</v>
      </c>
    </row>
    <row r="5518" spans="1:19" hidden="1" x14ac:dyDescent="0.25">
      <c r="A5518">
        <v>41800303</v>
      </c>
      <c r="B5518" t="s">
        <v>18</v>
      </c>
      <c r="C5518" t="s">
        <v>50</v>
      </c>
      <c r="D5518">
        <v>112</v>
      </c>
      <c r="E5518">
        <v>109</v>
      </c>
      <c r="F5518">
        <v>3</v>
      </c>
      <c r="G5518">
        <v>6</v>
      </c>
      <c r="H5518" s="1">
        <v>1.2962962962962963E-3</v>
      </c>
      <c r="I5518" t="s">
        <v>60</v>
      </c>
      <c r="J5518" t="s">
        <v>48</v>
      </c>
      <c r="K5518" s="2" t="str">
        <f>HYPERLINK("https://www.nba.com/stats/events?CFID=&amp;CFPARAMS=&amp;GameEventID=847&amp;GameID=0041800303&amp;Season=2018-19&amp;flag=1&amp;title=Leonard%201'%20Running%20Dunk%20(32%20PTS)", "Leonard 1' Running Dunk (32 PTS)")</f>
        <v>Leonard 1' Running Dunk (32 PTS)</v>
      </c>
      <c r="L5518" s="2" t="str">
        <f>HYPERLINK("https://www.nba.com/game/...-vs-...-0041800303/play-by-play?watchFullGame=true", "TOR vs MIL - Q6 01:52.00")</f>
        <v>TOR vs MIL - Q6 01:52.00</v>
      </c>
      <c r="M5518">
        <v>1</v>
      </c>
      <c r="N5518">
        <v>8</v>
      </c>
      <c r="O5518">
        <v>11</v>
      </c>
      <c r="P5518">
        <v>8</v>
      </c>
      <c r="Q5518">
        <v>11</v>
      </c>
      <c r="R5518" t="s">
        <v>21</v>
      </c>
      <c r="S5518" t="s">
        <v>21</v>
      </c>
    </row>
    <row r="5519" spans="1:19" hidden="1" x14ac:dyDescent="0.25">
      <c r="A5519">
        <v>21600114</v>
      </c>
      <c r="B5519" t="s">
        <v>18</v>
      </c>
      <c r="C5519" t="s">
        <v>22</v>
      </c>
      <c r="D5519">
        <v>68</v>
      </c>
      <c r="E5519">
        <v>72</v>
      </c>
      <c r="F5519">
        <v>4</v>
      </c>
      <c r="G5519">
        <v>3</v>
      </c>
      <c r="H5519" s="1">
        <v>5.2430555555555555E-3</v>
      </c>
      <c r="I5519">
        <v>2016</v>
      </c>
      <c r="J5519" t="s">
        <v>20</v>
      </c>
      <c r="K5519" s="2" t="str">
        <f>HYPERLINK("https://www.nba.com/stats/events?CFID=&amp;CFPARAMS=&amp;GameEventID=344&amp;GameID=0021600114&amp;Season=2016-17&amp;flag=1&amp;title=Leonard%20%20Driving%20Layup%20(21%20PTS)%20(Mills%208%20AST)", "Leonard  Driving Layup (21 PTS) (Mills 8 AST)")</f>
        <v>Leonard  Driving Layup (21 PTS) (Mills 8 AST)</v>
      </c>
      <c r="L5519" s="2" t="str">
        <f>HYPERLINK("https://www.nba.com/game/...-vs-...-0021600114/play-by-play?watchFullGame=true", "SAS vs HOU - Q3 07:33.00")</f>
        <v>SAS vs HOU - Q3 07:33.00</v>
      </c>
      <c r="M5519">
        <v>0</v>
      </c>
      <c r="N5519">
        <v>1</v>
      </c>
      <c r="O5519">
        <v>2</v>
      </c>
      <c r="P5519">
        <v>1</v>
      </c>
      <c r="Q5519">
        <v>2</v>
      </c>
      <c r="R5519" t="s">
        <v>21</v>
      </c>
      <c r="S5519" t="s">
        <v>21</v>
      </c>
    </row>
    <row r="5520" spans="1:19" hidden="1" x14ac:dyDescent="0.25">
      <c r="A5520">
        <v>21800563</v>
      </c>
      <c r="B5520" t="s">
        <v>18</v>
      </c>
      <c r="C5520" t="s">
        <v>50</v>
      </c>
      <c r="D5520">
        <v>66</v>
      </c>
      <c r="E5520">
        <v>88</v>
      </c>
      <c r="F5520">
        <v>22</v>
      </c>
      <c r="G5520">
        <v>3</v>
      </c>
      <c r="H5520" s="1">
        <v>2.1759259259259258E-3</v>
      </c>
      <c r="I5520">
        <v>2018</v>
      </c>
      <c r="J5520" t="s">
        <v>48</v>
      </c>
      <c r="K5520" s="2" t="str">
        <f>HYPERLINK("https://www.nba.com/stats/events?CFID=&amp;CFPARAMS=&amp;GameEventID=425&amp;GameID=0021800563&amp;Season=2018-19&amp;flag=1&amp;title=Leonard%201'%20Running%20Dunk%20(17%20PTS)%20(Siakam%207%20AST)", "Leonard 1' Running Dunk (17 PTS) (Siakam 7 AST)")</f>
        <v>Leonard 1' Running Dunk (17 PTS) (Siakam 7 AST)</v>
      </c>
      <c r="L5520" s="2" t="str">
        <f>HYPERLINK("https://www.nba.com/game/...-vs-...-0021800563/play-by-play?watchFullGame=true", "TOR vs SAS - Q3 03:08.00")</f>
        <v>TOR vs SAS - Q3 03:08.00</v>
      </c>
      <c r="M5520">
        <v>1</v>
      </c>
      <c r="N5520">
        <v>8</v>
      </c>
      <c r="O5520">
        <v>12</v>
      </c>
      <c r="P5520">
        <v>8</v>
      </c>
      <c r="Q5520">
        <v>12</v>
      </c>
      <c r="R5520" t="s">
        <v>21</v>
      </c>
      <c r="S5520" t="s">
        <v>21</v>
      </c>
    </row>
    <row r="5521" spans="1:19" hidden="1" x14ac:dyDescent="0.25">
      <c r="A5521">
        <v>41800115</v>
      </c>
      <c r="B5521" t="s">
        <v>18</v>
      </c>
      <c r="C5521" t="s">
        <v>50</v>
      </c>
      <c r="D5521">
        <v>88</v>
      </c>
      <c r="E5521">
        <v>58</v>
      </c>
      <c r="F5521">
        <v>30</v>
      </c>
      <c r="G5521">
        <v>3</v>
      </c>
      <c r="H5521" s="1">
        <v>2.8124999999999999E-3</v>
      </c>
      <c r="I5521" t="s">
        <v>60</v>
      </c>
      <c r="J5521" t="s">
        <v>48</v>
      </c>
      <c r="K5521" s="2" t="str">
        <f>HYPERLINK("https://www.nba.com/stats/events?CFID=&amp;CFPARAMS=&amp;GameEventID=420&amp;GameID=0041800115&amp;Season=2018-19&amp;flag=1&amp;title=Leonard%201'%20Running%20Dunk%20(27%20PTS)%20(Lowry%209%20AST)", "Leonard 1' Running Dunk (27 PTS) (Lowry 9 AST)")</f>
        <v>Leonard 1' Running Dunk (27 PTS) (Lowry 9 AST)</v>
      </c>
      <c r="L5521" s="2" t="str">
        <f>HYPERLINK("https://www.nba.com/game/...-vs-...-0041800115/play-by-play?watchFullGame=true", "TOR vs ORL - Q3 04:03.00")</f>
        <v>TOR vs ORL - Q3 04:03.00</v>
      </c>
      <c r="M5521">
        <v>1</v>
      </c>
      <c r="N5521">
        <v>8</v>
      </c>
      <c r="O5521">
        <v>5</v>
      </c>
      <c r="P5521">
        <v>8</v>
      </c>
      <c r="Q5521">
        <v>5</v>
      </c>
      <c r="R5521" t="s">
        <v>21</v>
      </c>
      <c r="S5521" t="s">
        <v>21</v>
      </c>
    </row>
    <row r="5522" spans="1:19" hidden="1" x14ac:dyDescent="0.25">
      <c r="A5522">
        <v>21401098</v>
      </c>
      <c r="B5522" t="s">
        <v>26</v>
      </c>
      <c r="C5522" t="s">
        <v>19</v>
      </c>
      <c r="D5522">
        <v>85</v>
      </c>
      <c r="E5522">
        <v>75</v>
      </c>
      <c r="F5522">
        <v>10</v>
      </c>
      <c r="G5522">
        <v>4</v>
      </c>
      <c r="H5522" s="1">
        <v>5.2893518518518515E-3</v>
      </c>
      <c r="I5522">
        <v>2014</v>
      </c>
      <c r="J5522" t="s">
        <v>20</v>
      </c>
      <c r="K5522" s="2" t="str">
        <f>HYPERLINK("https://www.nba.com/stats/events?CFID=&amp;CFPARAMS=&amp;GameEventID=381&amp;GameID=0021401098&amp;Season=2014-15&amp;flag=1&amp;title=Leonard%203PT%20Jump%20Shot%20(25%20PTS)%20(Parker%205%20AST)", "Leonard 3PT Jump Shot (25 PTS) (Parker 5 AST)")</f>
        <v>Leonard 3PT Jump Shot (25 PTS) (Parker 5 AST)</v>
      </c>
      <c r="L5522" s="2" t="str">
        <f>HYPERLINK("https://www.nba.com/game/...-vs-...-0021401098/play-by-play?watchFullGame=true", "SAS vs MEM - Q4 07:37.00")</f>
        <v>SAS vs MEM - Q4 07:37.00</v>
      </c>
      <c r="M5522">
        <v>0</v>
      </c>
      <c r="N5522">
        <v>-223</v>
      </c>
      <c r="O5522">
        <v>7</v>
      </c>
      <c r="P5522">
        <v>-223</v>
      </c>
      <c r="Q5522">
        <v>7</v>
      </c>
      <c r="R5522" t="s">
        <v>21</v>
      </c>
      <c r="S5522" t="s">
        <v>21</v>
      </c>
    </row>
    <row r="5523" spans="1:19" hidden="1" x14ac:dyDescent="0.25">
      <c r="A5523">
        <v>41800213</v>
      </c>
      <c r="B5523" t="s">
        <v>18</v>
      </c>
      <c r="C5523" t="s">
        <v>25</v>
      </c>
      <c r="D5523">
        <v>64</v>
      </c>
      <c r="E5523">
        <v>77</v>
      </c>
      <c r="F5523">
        <v>13</v>
      </c>
      <c r="G5523">
        <v>3</v>
      </c>
      <c r="H5523" s="1">
        <v>4.4907407407407405E-3</v>
      </c>
      <c r="I5523" t="s">
        <v>60</v>
      </c>
      <c r="J5523" t="s">
        <v>48</v>
      </c>
      <c r="K5523" s="2" t="str">
        <f>HYPERLINK("https://www.nba.com/stats/events?CFID=&amp;CFPARAMS=&amp;GameEventID=403&amp;GameID=0041800213&amp;Season=2018-19&amp;flag=1&amp;title=Leonard%201'%20Driving%20Dunk%20(22%20PTS)", "Leonard 1' Driving Dunk (22 PTS)")</f>
        <v>Leonard 1' Driving Dunk (22 PTS)</v>
      </c>
      <c r="L5523" s="2" t="str">
        <f>HYPERLINK("https://www.nba.com/game/...-vs-...-0041800213/play-by-play?watchFullGame=true", "TOR vs PHI - Q3 06:28.00")</f>
        <v>TOR vs PHI - Q3 06:28.00</v>
      </c>
      <c r="M5523">
        <v>1</v>
      </c>
      <c r="N5523">
        <v>8</v>
      </c>
      <c r="O5523">
        <v>8</v>
      </c>
      <c r="P5523">
        <v>8</v>
      </c>
      <c r="Q5523">
        <v>8</v>
      </c>
      <c r="R5523" t="s">
        <v>21</v>
      </c>
      <c r="S5523" t="s">
        <v>21</v>
      </c>
    </row>
    <row r="5524" spans="1:19" hidden="1" x14ac:dyDescent="0.25">
      <c r="A5524">
        <v>41300405</v>
      </c>
      <c r="B5524" t="s">
        <v>18</v>
      </c>
      <c r="C5524" t="s">
        <v>24</v>
      </c>
      <c r="D5524">
        <v>52</v>
      </c>
      <c r="E5524">
        <v>42</v>
      </c>
      <c r="F5524">
        <v>10</v>
      </c>
      <c r="G5524">
        <v>3</v>
      </c>
      <c r="H5524" s="1">
        <v>5.3009259259259259E-3</v>
      </c>
      <c r="I5524" t="s">
        <v>55</v>
      </c>
      <c r="J5524" t="s">
        <v>20</v>
      </c>
      <c r="K5524" s="2" t="str">
        <f>HYPERLINK("https://www.nba.com/stats/events?CFID=&amp;CFPARAMS=&amp;GameEventID=296&amp;GameID=0041300405&amp;Season=2013-14&amp;flag=1&amp;title=Leonard%20%20Layup%20(18%20PTS)%20(Duncan%201%20AST)", "Leonard  Layup (18 PTS) (Duncan 1 AST)")</f>
        <v>Leonard  Layup (18 PTS) (Duncan 1 AST)</v>
      </c>
      <c r="L5524" s="2" t="str">
        <f>HYPERLINK("https://www.nba.com/game/...-vs-...-0041300405/play-by-play?watchFullGame=true", "SAS vs MIA - Q3 07:38.00")</f>
        <v>SAS vs MIA - Q3 07:38.00</v>
      </c>
      <c r="M5524">
        <v>0</v>
      </c>
      <c r="N5524">
        <v>0</v>
      </c>
      <c r="O5524">
        <v>-2</v>
      </c>
      <c r="P5524">
        <v>0</v>
      </c>
      <c r="Q5524">
        <v>-2</v>
      </c>
      <c r="R5524" t="s">
        <v>21</v>
      </c>
      <c r="S5524" t="s">
        <v>21</v>
      </c>
    </row>
    <row r="5525" spans="1:19" hidden="1" x14ac:dyDescent="0.25">
      <c r="A5525">
        <v>21500347</v>
      </c>
      <c r="B5525" t="s">
        <v>26</v>
      </c>
      <c r="C5525" t="s">
        <v>39</v>
      </c>
      <c r="D5525">
        <v>90</v>
      </c>
      <c r="E5525">
        <v>67</v>
      </c>
      <c r="F5525">
        <v>23</v>
      </c>
      <c r="G5525">
        <v>4</v>
      </c>
      <c r="H5525" s="1">
        <v>5.3125000000000004E-3</v>
      </c>
      <c r="I5525">
        <v>2015</v>
      </c>
      <c r="J5525" t="s">
        <v>20</v>
      </c>
      <c r="K5525" s="2" t="str">
        <f>HYPERLINK("https://www.nba.com/stats/events?CFID=&amp;CFPARAMS=&amp;GameEventID=444&amp;GameID=0021500347&amp;Season=2015-16&amp;flag=1&amp;title=Leonard%20%203PT%20Step%20Back%20Jump%20Shot%20(22%20PTS)", "Leonard  3PT Step Back Jump Shot (22 PTS)")</f>
        <v>Leonard  3PT Step Back Jump Shot (22 PTS)</v>
      </c>
      <c r="L5525" s="2" t="str">
        <f>HYPERLINK("https://www.nba.com/game/...-vs-...-0021500347/play-by-play?watchFullGame=true", "SAS vs ATL - Q4 07:39.00")</f>
        <v>SAS vs ATL - Q4 07:39.00</v>
      </c>
      <c r="M5525">
        <v>0</v>
      </c>
      <c r="N5525">
        <v>223</v>
      </c>
      <c r="O5525">
        <v>51</v>
      </c>
      <c r="P5525">
        <v>223</v>
      </c>
      <c r="Q5525">
        <v>51</v>
      </c>
      <c r="R5525" t="s">
        <v>21</v>
      </c>
      <c r="S5525" t="s">
        <v>21</v>
      </c>
    </row>
    <row r="5526" spans="1:19" hidden="1" x14ac:dyDescent="0.25">
      <c r="A5526">
        <v>21300296</v>
      </c>
      <c r="B5526" t="s">
        <v>26</v>
      </c>
      <c r="C5526" t="s">
        <v>19</v>
      </c>
      <c r="D5526">
        <v>9</v>
      </c>
      <c r="E5526">
        <v>6</v>
      </c>
      <c r="F5526">
        <v>3</v>
      </c>
      <c r="G5526">
        <v>1</v>
      </c>
      <c r="H5526" s="1">
        <v>5.324074074074074E-3</v>
      </c>
      <c r="I5526">
        <v>2013</v>
      </c>
      <c r="J5526" t="s">
        <v>20</v>
      </c>
      <c r="K5526" s="2" t="str">
        <f>HYPERLINK("https://www.nba.com/stats/events?CFID=&amp;CFPARAMS=&amp;GameEventID=31&amp;GameID=0021300296&amp;Season=2013-14&amp;flag=1&amp;title=Leonard%203PT%20Jump%20Shot%20(3%20PTS)", "Leonard 3PT Jump Shot (3 PTS)")</f>
        <v>Leonard 3PT Jump Shot (3 PTS)</v>
      </c>
      <c r="L5526" s="2" t="str">
        <f>HYPERLINK("https://www.nba.com/game/...-vs-...-0021300296/play-by-play?watchFullGame=true", "SAS vs IND - Q1 07:40.00")</f>
        <v>SAS vs IND - Q1 07:40.00</v>
      </c>
      <c r="M5526">
        <v>0</v>
      </c>
      <c r="N5526">
        <v>-223</v>
      </c>
      <c r="O5526">
        <v>-2</v>
      </c>
      <c r="P5526">
        <v>-223</v>
      </c>
      <c r="Q5526">
        <v>-2</v>
      </c>
      <c r="R5526" t="s">
        <v>21</v>
      </c>
      <c r="S5526" t="s">
        <v>21</v>
      </c>
    </row>
    <row r="5527" spans="1:19" hidden="1" x14ac:dyDescent="0.25">
      <c r="A5527">
        <v>21400064</v>
      </c>
      <c r="B5527" t="s">
        <v>26</v>
      </c>
      <c r="C5527" t="s">
        <v>19</v>
      </c>
      <c r="D5527">
        <v>15</v>
      </c>
      <c r="E5527">
        <v>9</v>
      </c>
      <c r="F5527">
        <v>6</v>
      </c>
      <c r="G5527">
        <v>1</v>
      </c>
      <c r="H5527" s="1">
        <v>5.3356481481481484E-3</v>
      </c>
      <c r="I5527">
        <v>2014</v>
      </c>
      <c r="J5527" t="s">
        <v>20</v>
      </c>
      <c r="K5527" s="2" t="str">
        <f>HYPERLINK("https://www.nba.com/stats/events?CFID=&amp;CFPARAMS=&amp;GameEventID=34&amp;GameID=0021400064&amp;Season=2014-15&amp;flag=1&amp;title=Leonard%20%203PT%20Jump%20Shot%20(3%20PTS)%20(Parker%202%20AST)", "Leonard  3PT Jump Shot (3 PTS) (Parker 2 AST)")</f>
        <v>Leonard  3PT Jump Shot (3 PTS) (Parker 2 AST)</v>
      </c>
      <c r="L5527" s="2" t="str">
        <f>HYPERLINK("https://www.nba.com/game/...-vs-...-0021400064/play-by-play?watchFullGame=true", "SAS vs ATL - Q1 07:41.00")</f>
        <v>SAS vs ATL - Q1 07:41.00</v>
      </c>
      <c r="M5527">
        <v>0</v>
      </c>
      <c r="N5527">
        <v>-226</v>
      </c>
      <c r="O5527">
        <v>-6</v>
      </c>
      <c r="P5527">
        <v>-226</v>
      </c>
      <c r="Q5527">
        <v>-6</v>
      </c>
      <c r="R5527" t="s">
        <v>21</v>
      </c>
      <c r="S5527" t="s">
        <v>21</v>
      </c>
    </row>
    <row r="5528" spans="1:19" hidden="1" x14ac:dyDescent="0.25">
      <c r="A5528">
        <v>21401157</v>
      </c>
      <c r="B5528" t="s">
        <v>26</v>
      </c>
      <c r="C5528" t="s">
        <v>19</v>
      </c>
      <c r="D5528">
        <v>38</v>
      </c>
      <c r="E5528">
        <v>21</v>
      </c>
      <c r="F5528">
        <v>17</v>
      </c>
      <c r="G5528">
        <v>2</v>
      </c>
      <c r="H5528" s="1">
        <v>5.3819444444444444E-3</v>
      </c>
      <c r="I5528">
        <v>2014</v>
      </c>
      <c r="J5528" t="s">
        <v>20</v>
      </c>
      <c r="K5528" s="2" t="str">
        <f>HYPERLINK("https://www.nba.com/stats/events?CFID=&amp;CFPARAMS=&amp;GameEventID=185&amp;GameID=0021401157&amp;Season=2014-15&amp;flag=1&amp;title=Leonard%20%203PT%20Jump%20Shot%20(15%20PTS)%20(Diaw%203%20AST)", "Leonard  3PT Jump Shot (15 PTS) (Diaw 3 AST)")</f>
        <v>Leonard  3PT Jump Shot (15 PTS) (Diaw 3 AST)</v>
      </c>
      <c r="L5528" s="2" t="str">
        <f>HYPERLINK("https://www.nba.com/game/...-vs-...-0021401157/play-by-play?watchFullGame=true", "SAS vs OKC - Q2 07:45.00")</f>
        <v>SAS vs OKC - Q2 07:45.00</v>
      </c>
      <c r="M5528">
        <v>0</v>
      </c>
      <c r="N5528">
        <v>231</v>
      </c>
      <c r="O5528">
        <v>23</v>
      </c>
      <c r="P5528">
        <v>231</v>
      </c>
      <c r="Q5528">
        <v>23</v>
      </c>
      <c r="R5528" t="s">
        <v>21</v>
      </c>
      <c r="S5528" t="s">
        <v>21</v>
      </c>
    </row>
    <row r="5529" spans="1:19" hidden="1" x14ac:dyDescent="0.25">
      <c r="A5529">
        <v>21300573</v>
      </c>
      <c r="B5529" t="s">
        <v>26</v>
      </c>
      <c r="C5529" t="s">
        <v>19</v>
      </c>
      <c r="D5529">
        <v>91</v>
      </c>
      <c r="E5529">
        <v>79</v>
      </c>
      <c r="F5529">
        <v>12</v>
      </c>
      <c r="G5529">
        <v>4</v>
      </c>
      <c r="H5529" s="1">
        <v>5.4050925925925924E-3</v>
      </c>
      <c r="I5529">
        <v>2013</v>
      </c>
      <c r="J5529" t="s">
        <v>20</v>
      </c>
      <c r="K5529" s="2" t="str">
        <f>HYPERLINK("https://www.nba.com/stats/events?CFID=&amp;CFPARAMS=&amp;GameEventID=386&amp;GameID=0021300573&amp;Season=2013-14&amp;flag=1&amp;title=Leonard%20%203PT%20Jump%20Shot%20(15%20PTS)%20(Ayres%202%20AST)", "Leonard  3PT Jump Shot (15 PTS) (Ayres 2 AST)")</f>
        <v>Leonard  3PT Jump Shot (15 PTS) (Ayres 2 AST)</v>
      </c>
      <c r="L5529" s="2" t="str">
        <f>HYPERLINK("https://www.nba.com/game/...-vs-...-0021300573/play-by-play?watchFullGame=true", "SAS vs UTA - Q4 07:47.00")</f>
        <v>SAS vs UTA - Q4 07:47.00</v>
      </c>
      <c r="M5529">
        <v>0</v>
      </c>
      <c r="N5529">
        <v>230</v>
      </c>
      <c r="O5529">
        <v>19</v>
      </c>
      <c r="P5529">
        <v>230</v>
      </c>
      <c r="Q5529">
        <v>19</v>
      </c>
      <c r="R5529" t="s">
        <v>21</v>
      </c>
      <c r="S5529" t="s">
        <v>21</v>
      </c>
    </row>
    <row r="5530" spans="1:19" hidden="1" x14ac:dyDescent="0.25">
      <c r="A5530">
        <v>21801169</v>
      </c>
      <c r="B5530" t="s">
        <v>18</v>
      </c>
      <c r="C5530" t="s">
        <v>46</v>
      </c>
      <c r="D5530">
        <v>15</v>
      </c>
      <c r="E5530">
        <v>13</v>
      </c>
      <c r="F5530">
        <v>2</v>
      </c>
      <c r="G5530">
        <v>1</v>
      </c>
      <c r="H5530" s="1">
        <v>2.9398148148148148E-3</v>
      </c>
      <c r="I5530">
        <v>2018</v>
      </c>
      <c r="J5530" t="s">
        <v>48</v>
      </c>
      <c r="K5530" s="2" t="str">
        <f>HYPERLINK("https://www.nba.com/stats/events?CFID=&amp;CFPARAMS=&amp;GameEventID=98&amp;GameID=0021801169&amp;Season=2018-19&amp;flag=1&amp;title=Leonard%202'%20Cutting%20Dunk%20Shot%20(9%20PTS)%20(Siakam%201%20AST)", "Leonard 2' Cutting Dunk Shot (9 PTS) (Siakam 1 AST)")</f>
        <v>Leonard 2' Cutting Dunk Shot (9 PTS) (Siakam 1 AST)</v>
      </c>
      <c r="L5530" s="2" t="str">
        <f>HYPERLINK("https://www.nba.com/game/...-vs-...-0021801169/play-by-play?watchFullGame=true", "TOR vs BKN - Q1 04:14.00")</f>
        <v>TOR vs BKN - Q1 04:14.00</v>
      </c>
      <c r="M5530">
        <v>2</v>
      </c>
      <c r="N5530">
        <v>9</v>
      </c>
      <c r="O5530">
        <v>19</v>
      </c>
      <c r="P5530">
        <v>9</v>
      </c>
      <c r="Q5530">
        <v>19</v>
      </c>
      <c r="R5530" t="s">
        <v>21</v>
      </c>
      <c r="S5530" t="s">
        <v>21</v>
      </c>
    </row>
    <row r="5531" spans="1:19" hidden="1" x14ac:dyDescent="0.25">
      <c r="A5531">
        <v>21300993</v>
      </c>
      <c r="B5531" t="s">
        <v>18</v>
      </c>
      <c r="C5531" t="s">
        <v>25</v>
      </c>
      <c r="D5531">
        <v>12</v>
      </c>
      <c r="E5531">
        <v>6</v>
      </c>
      <c r="F5531">
        <v>6</v>
      </c>
      <c r="G5531">
        <v>1</v>
      </c>
      <c r="H5531" s="1">
        <v>4.9768518518518521E-3</v>
      </c>
      <c r="I5531">
        <v>2013</v>
      </c>
      <c r="J5531" t="s">
        <v>20</v>
      </c>
      <c r="K5531" s="2" t="str">
        <f>HYPERLINK("https://www.nba.com/stats/events?CFID=&amp;CFPARAMS=&amp;GameEventID=33&amp;GameID=0021300993&amp;Season=2013-14&amp;flag=1&amp;title=Leonard%202'%20Driving%20Dunk%20(2%20PTS)%20(Green%201%20AST)", "Leonard 2' Driving Dunk (2 PTS) (Green 1 AST)")</f>
        <v>Leonard 2' Driving Dunk (2 PTS) (Green 1 AST)</v>
      </c>
      <c r="L5531" s="2" t="str">
        <f>HYPERLINK("https://www.nba.com/game/...-vs-...-0021300993/play-by-play?watchFullGame=true", "SAS vs UTA - Q1 07:10.00")</f>
        <v>SAS vs UTA - Q1 07:10.00</v>
      </c>
      <c r="M5531">
        <v>2</v>
      </c>
      <c r="N5531">
        <v>9</v>
      </c>
      <c r="O5531">
        <v>-13</v>
      </c>
      <c r="P5531">
        <v>9</v>
      </c>
      <c r="Q5531">
        <v>-13</v>
      </c>
      <c r="R5531" t="s">
        <v>21</v>
      </c>
      <c r="S5531" t="s">
        <v>21</v>
      </c>
    </row>
    <row r="5532" spans="1:19" hidden="1" x14ac:dyDescent="0.25">
      <c r="A5532">
        <v>41800115</v>
      </c>
      <c r="B5532" t="s">
        <v>26</v>
      </c>
      <c r="C5532" t="s">
        <v>19</v>
      </c>
      <c r="D5532">
        <v>76</v>
      </c>
      <c r="E5532">
        <v>56</v>
      </c>
      <c r="F5532">
        <v>20</v>
      </c>
      <c r="G5532">
        <v>3</v>
      </c>
      <c r="H5532" s="1">
        <v>5.4861111111111109E-3</v>
      </c>
      <c r="I5532" t="s">
        <v>60</v>
      </c>
      <c r="J5532" t="s">
        <v>48</v>
      </c>
      <c r="K5532" s="2" t="str">
        <f>HYPERLINK("https://www.nba.com/stats/events?CFID=&amp;CFPARAMS=&amp;GameEventID=377&amp;GameID=0041800115&amp;Season=2018-19&amp;flag=1&amp;title=Leonard%203PT%20Jump%20Shot%20(23%20PTS)%20(Siakam%204%20AST)", "Leonard 3PT Jump Shot (23 PTS) (Siakam 4 AST)")</f>
        <v>Leonard 3PT Jump Shot (23 PTS) (Siakam 4 AST)</v>
      </c>
      <c r="L5532" s="2" t="str">
        <f>HYPERLINK("https://www.nba.com/game/...-vs-...-0041800115/play-by-play?watchFullGame=true", "TOR vs ORL - Q3 07:54.00")</f>
        <v>TOR vs ORL - Q3 07:54.00</v>
      </c>
      <c r="M5532">
        <v>0</v>
      </c>
      <c r="N5532">
        <v>-221</v>
      </c>
      <c r="O5532">
        <v>-26</v>
      </c>
      <c r="P5532">
        <v>-221</v>
      </c>
      <c r="Q5532">
        <v>-26</v>
      </c>
      <c r="R5532" t="s">
        <v>21</v>
      </c>
      <c r="S5532" t="s">
        <v>21</v>
      </c>
    </row>
    <row r="5533" spans="1:19" hidden="1" x14ac:dyDescent="0.25">
      <c r="A5533">
        <v>41500153</v>
      </c>
      <c r="B5533" t="s">
        <v>26</v>
      </c>
      <c r="C5533" t="s">
        <v>19</v>
      </c>
      <c r="D5533">
        <v>12</v>
      </c>
      <c r="E5533">
        <v>4</v>
      </c>
      <c r="F5533">
        <v>8</v>
      </c>
      <c r="G5533">
        <v>1</v>
      </c>
      <c r="H5533" s="1">
        <v>5.5208333333333333E-3</v>
      </c>
      <c r="I5533" t="s">
        <v>57</v>
      </c>
      <c r="J5533" t="s">
        <v>20</v>
      </c>
      <c r="K5533" s="2" t="str">
        <f>HYPERLINK("https://www.nba.com/stats/events?CFID=&amp;CFPARAMS=&amp;GameEventID=26&amp;GameID=0041500153&amp;Season=2015-16&amp;flag=1&amp;title=Leonard%20%203PT%20Jump%20Shot%20(7%20PTS)%20(Parker%202%20AST)", "Leonard  3PT Jump Shot (7 PTS) (Parker 2 AST)")</f>
        <v>Leonard  3PT Jump Shot (7 PTS) (Parker 2 AST)</v>
      </c>
      <c r="L5533" s="2" t="str">
        <f>HYPERLINK("https://www.nba.com/game/...-vs-...-0041500153/play-by-play?watchFullGame=true", "SAS vs MEM - Q1 07:57.00")</f>
        <v>SAS vs MEM - Q1 07:57.00</v>
      </c>
      <c r="M5533">
        <v>0</v>
      </c>
      <c r="N5533">
        <v>-228</v>
      </c>
      <c r="O5533">
        <v>-11</v>
      </c>
      <c r="P5533">
        <v>-228</v>
      </c>
      <c r="Q5533">
        <v>-11</v>
      </c>
      <c r="R5533" t="s">
        <v>21</v>
      </c>
      <c r="S5533" t="s">
        <v>21</v>
      </c>
    </row>
    <row r="5534" spans="1:19" x14ac:dyDescent="0.25">
      <c r="A5534">
        <v>21300100</v>
      </c>
      <c r="B5534" t="s">
        <v>26</v>
      </c>
      <c r="C5534" t="s">
        <v>19</v>
      </c>
      <c r="D5534">
        <v>66</v>
      </c>
      <c r="E5534">
        <v>42</v>
      </c>
      <c r="F5534">
        <v>24</v>
      </c>
      <c r="G5534">
        <v>3</v>
      </c>
      <c r="H5534" s="1">
        <v>5.5439814814814813E-3</v>
      </c>
      <c r="I5534">
        <v>2013</v>
      </c>
      <c r="J5534" t="s">
        <v>20</v>
      </c>
      <c r="K5534" s="2" t="str">
        <f>HYPERLINK("https://www.nba.com/stats/events?CFID=&amp;CFPARAMS=&amp;GameEventID=255&amp;GameID=0021300100&amp;Season=2013-14&amp;flag=1&amp;title=Leonard%20%203PT%20Jump%20Shot%20(9%20PTS)%20(Parker%208%20AST)", "Leonard  3PT Jump Shot (9 PTS) (Parker 8 AST)")</f>
        <v>Leonard  3PT Jump Shot (9 PTS) (Parker 8 AST)</v>
      </c>
      <c r="L5534" s="2" t="str">
        <f>HYPERLINK("https://www.nba.com/game/...-vs-...-0021300100/play-by-play?watchFullGame=true", "SAS vs PHI - Q3 07:59.00")</f>
        <v>SAS vs PHI - Q3 07:59.00</v>
      </c>
      <c r="M5534">
        <v>0</v>
      </c>
      <c r="N5534">
        <v>-228</v>
      </c>
      <c r="O5534">
        <v>-19</v>
      </c>
      <c r="P5534">
        <v>-228</v>
      </c>
      <c r="Q5534">
        <v>-19</v>
      </c>
      <c r="R5534" t="s">
        <v>21</v>
      </c>
      <c r="S5534" t="s">
        <v>21</v>
      </c>
    </row>
    <row r="5535" spans="1:19" hidden="1" x14ac:dyDescent="0.25">
      <c r="A5535">
        <v>41600231</v>
      </c>
      <c r="B5535" t="s">
        <v>26</v>
      </c>
      <c r="C5535" t="s">
        <v>19</v>
      </c>
      <c r="D5535">
        <v>45</v>
      </c>
      <c r="E5535">
        <v>73</v>
      </c>
      <c r="F5535">
        <v>28</v>
      </c>
      <c r="G5535">
        <v>3</v>
      </c>
      <c r="H5535" s="1">
        <v>5.5902777777777773E-3</v>
      </c>
      <c r="I5535" t="s">
        <v>58</v>
      </c>
      <c r="J5535" t="s">
        <v>20</v>
      </c>
      <c r="K5535" s="2" t="str">
        <f>HYPERLINK("https://www.nba.com/stats/events?CFID=&amp;CFPARAMS=&amp;GameEventID=299&amp;GameID=0041600231&amp;Season=2016-17&amp;flag=1&amp;title=Leonard%203PT%20Jump%20Shot%20(15%20PTS)%20(Parker%202%20AST)", "Leonard 3PT Jump Shot (15 PTS) (Parker 2 AST)")</f>
        <v>Leonard 3PT Jump Shot (15 PTS) (Parker 2 AST)</v>
      </c>
      <c r="L5535" s="2" t="str">
        <f>HYPERLINK("https://www.nba.com/game/...-vs-...-0041600231/play-by-play?watchFullGame=true", "SAS vs HOU - Q3 08:03.00")</f>
        <v>SAS vs HOU - Q3 08:03.00</v>
      </c>
      <c r="M5535">
        <v>0</v>
      </c>
      <c r="N5535">
        <v>-222</v>
      </c>
      <c r="O5535">
        <v>7</v>
      </c>
      <c r="P5535">
        <v>-222</v>
      </c>
      <c r="Q5535">
        <v>7</v>
      </c>
      <c r="R5535" t="s">
        <v>21</v>
      </c>
      <c r="S5535" t="s">
        <v>21</v>
      </c>
    </row>
    <row r="5536" spans="1:19" hidden="1" x14ac:dyDescent="0.25">
      <c r="A5536">
        <v>21800271</v>
      </c>
      <c r="B5536" t="s">
        <v>26</v>
      </c>
      <c r="C5536" t="s">
        <v>19</v>
      </c>
      <c r="D5536">
        <v>76</v>
      </c>
      <c r="E5536">
        <v>73</v>
      </c>
      <c r="F5536">
        <v>3</v>
      </c>
      <c r="G5536">
        <v>3</v>
      </c>
      <c r="H5536" s="1">
        <v>5.6018518518518518E-3</v>
      </c>
      <c r="I5536">
        <v>2018</v>
      </c>
      <c r="J5536" t="s">
        <v>48</v>
      </c>
      <c r="K5536" s="2" t="str">
        <f>HYPERLINK("https://www.nba.com/stats/events?CFID=&amp;CFPARAMS=&amp;GameEventID=429&amp;GameID=0021800271&amp;Season=2018-19&amp;flag=1&amp;title=Leonard%203PT%20Jump%20Shot%20(18%20PTS)%20(Siakam%203%20AST)", "Leonard 3PT Jump Shot (18 PTS) (Siakam 3 AST)")</f>
        <v>Leonard 3PT Jump Shot (18 PTS) (Siakam 3 AST)</v>
      </c>
      <c r="L5536" s="2" t="str">
        <f>HYPERLINK("https://www.nba.com/game/...-vs-...-0021800271/play-by-play?watchFullGame=true", "TOR vs WAS - Q3 08:04.00")</f>
        <v>TOR vs WAS - Q3 08:04.00</v>
      </c>
      <c r="M5536">
        <v>0</v>
      </c>
      <c r="N5536">
        <v>229</v>
      </c>
      <c r="O5536">
        <v>-8</v>
      </c>
      <c r="P5536">
        <v>229</v>
      </c>
      <c r="Q5536">
        <v>-8</v>
      </c>
      <c r="R5536" t="s">
        <v>21</v>
      </c>
      <c r="S5536" t="s">
        <v>21</v>
      </c>
    </row>
    <row r="5537" spans="1:19" hidden="1" x14ac:dyDescent="0.25">
      <c r="A5537">
        <v>21400139</v>
      </c>
      <c r="B5537" t="s">
        <v>26</v>
      </c>
      <c r="C5537" t="s">
        <v>19</v>
      </c>
      <c r="D5537">
        <v>50</v>
      </c>
      <c r="E5537">
        <v>53</v>
      </c>
      <c r="F5537">
        <v>3</v>
      </c>
      <c r="G5537">
        <v>3</v>
      </c>
      <c r="H5537" s="1">
        <v>5.6828703703703702E-3</v>
      </c>
      <c r="I5537">
        <v>2014</v>
      </c>
      <c r="J5537" t="s">
        <v>20</v>
      </c>
      <c r="K5537" s="2" t="str">
        <f>HYPERLINK("https://www.nba.com/stats/events?CFID=&amp;CFPARAMS=&amp;GameEventID=271&amp;GameID=0021400139&amp;Season=2014-15&amp;flag=1&amp;title=Leonard%20%203PT%20Jump%20Shot%20(9%20PTS)%20(Parker%203%20AST)", "Leonard  3PT Jump Shot (9 PTS) (Parker 3 AST)")</f>
        <v>Leonard  3PT Jump Shot (9 PTS) (Parker 3 AST)</v>
      </c>
      <c r="L5537" s="2" t="str">
        <f>HYPERLINK("https://www.nba.com/game/...-vs-...-0021400139/play-by-play?watchFullGame=true", "SAS vs SAC - Q3 08:11.00")</f>
        <v>SAS vs SAC - Q3 08:11.00</v>
      </c>
      <c r="M5537">
        <v>0</v>
      </c>
      <c r="N5537">
        <v>-231</v>
      </c>
      <c r="O5537">
        <v>41</v>
      </c>
      <c r="P5537">
        <v>-231</v>
      </c>
      <c r="Q5537">
        <v>41</v>
      </c>
      <c r="R5537" t="s">
        <v>21</v>
      </c>
      <c r="S5537" t="s">
        <v>21</v>
      </c>
    </row>
    <row r="5538" spans="1:19" hidden="1" x14ac:dyDescent="0.25">
      <c r="A5538">
        <v>21300224</v>
      </c>
      <c r="B5538" t="s">
        <v>18</v>
      </c>
      <c r="C5538" t="s">
        <v>25</v>
      </c>
      <c r="D5538">
        <v>34</v>
      </c>
      <c r="E5538">
        <v>34</v>
      </c>
      <c r="F5538">
        <v>0</v>
      </c>
      <c r="G5538">
        <v>2</v>
      </c>
      <c r="H5538" s="1">
        <v>4.1319444444444442E-3</v>
      </c>
      <c r="I5538">
        <v>2013</v>
      </c>
      <c r="J5538" t="s">
        <v>20</v>
      </c>
      <c r="K5538" s="2" t="str">
        <f>HYPERLINK("https://www.nba.com/stats/events?CFID=&amp;CFPARAMS=&amp;GameEventID=171&amp;GameID=0021300224&amp;Season=2013-14&amp;flag=1&amp;title=Leonard%201'%20Driving%20Dunk%20(7%20PTS)%20(Parker%204%20AST)", "Leonard 1' Driving Dunk (7 PTS) (Parker 4 AST)")</f>
        <v>Leonard 1' Driving Dunk (7 PTS) (Parker 4 AST)</v>
      </c>
      <c r="L5538" s="2" t="str">
        <f>HYPERLINK("https://www.nba.com/game/...-vs-...-0021300224/play-by-play?watchFullGame=true", "SAS vs OKC - Q2 05:57.00")</f>
        <v>SAS vs OKC - Q2 05:57.00</v>
      </c>
      <c r="M5538">
        <v>1</v>
      </c>
      <c r="N5538">
        <v>9</v>
      </c>
      <c r="O5538">
        <v>6</v>
      </c>
      <c r="P5538">
        <v>9</v>
      </c>
      <c r="Q5538">
        <v>6</v>
      </c>
      <c r="R5538" t="s">
        <v>21</v>
      </c>
      <c r="S5538" t="s">
        <v>21</v>
      </c>
    </row>
    <row r="5539" spans="1:19" hidden="1" x14ac:dyDescent="0.25">
      <c r="A5539">
        <v>41800216</v>
      </c>
      <c r="B5539" t="s">
        <v>18</v>
      </c>
      <c r="C5539" t="s">
        <v>50</v>
      </c>
      <c r="D5539">
        <v>35</v>
      </c>
      <c r="E5539">
        <v>42</v>
      </c>
      <c r="F5539">
        <v>7</v>
      </c>
      <c r="G5539">
        <v>2</v>
      </c>
      <c r="H5539" s="1">
        <v>4.1550925925925922E-3</v>
      </c>
      <c r="I5539" t="s">
        <v>60</v>
      </c>
      <c r="J5539" t="s">
        <v>48</v>
      </c>
      <c r="K5539" s="2" t="str">
        <f>HYPERLINK("https://www.nba.com/stats/events?CFID=&amp;CFPARAMS=&amp;GameEventID=232&amp;GameID=0041800216&amp;Season=2018-19&amp;flag=1&amp;title=Leonard%201'%20Running%20Dunk%20(14%20PTS)%20(Lowry%203%20AST)", "Leonard 1' Running Dunk (14 PTS) (Lowry 3 AST)")</f>
        <v>Leonard 1' Running Dunk (14 PTS) (Lowry 3 AST)</v>
      </c>
      <c r="L5539" s="2" t="str">
        <f>HYPERLINK("https://www.nba.com/game/...-vs-...-0041800216/play-by-play?watchFullGame=true", "TOR vs PHI - Q2 05:59.00")</f>
        <v>TOR vs PHI - Q2 05:59.00</v>
      </c>
      <c r="M5539">
        <v>1</v>
      </c>
      <c r="N5539">
        <v>9</v>
      </c>
      <c r="O5539">
        <v>9</v>
      </c>
      <c r="P5539">
        <v>9</v>
      </c>
      <c r="Q5539">
        <v>9</v>
      </c>
      <c r="R5539" t="s">
        <v>21</v>
      </c>
      <c r="S5539" t="s">
        <v>21</v>
      </c>
    </row>
    <row r="5540" spans="1:19" hidden="1" x14ac:dyDescent="0.25">
      <c r="A5540">
        <v>21600865</v>
      </c>
      <c r="B5540" t="s">
        <v>18</v>
      </c>
      <c r="C5540" t="s">
        <v>25</v>
      </c>
      <c r="D5540">
        <v>6</v>
      </c>
      <c r="E5540">
        <v>2</v>
      </c>
      <c r="F5540">
        <v>4</v>
      </c>
      <c r="G5540">
        <v>1</v>
      </c>
      <c r="H5540" s="1">
        <v>5.2199074074074075E-3</v>
      </c>
      <c r="I5540">
        <v>2016</v>
      </c>
      <c r="J5540" t="s">
        <v>20</v>
      </c>
      <c r="K5540" s="2" t="str">
        <f>HYPERLINK("https://www.nba.com/stats/events?CFID=&amp;CFPARAMS=&amp;GameEventID=27&amp;GameID=0021600865&amp;Season=2016-17&amp;flag=1&amp;title=Leonard%201'%20Driving%20Dunk%20(4%20PTS)", "Leonard 1' Driving Dunk (4 PTS)")</f>
        <v>Leonard 1' Driving Dunk (4 PTS)</v>
      </c>
      <c r="L5540" s="2" t="str">
        <f>HYPERLINK("https://www.nba.com/game/...-vs-...-0021600865/play-by-play?watchFullGame=true", "SAS vs LAC - Q1 07:31.00")</f>
        <v>SAS vs LAC - Q1 07:31.00</v>
      </c>
      <c r="M5540">
        <v>1</v>
      </c>
      <c r="N5540">
        <v>9</v>
      </c>
      <c r="O5540">
        <v>7</v>
      </c>
      <c r="P5540">
        <v>9</v>
      </c>
      <c r="Q5540">
        <v>7</v>
      </c>
      <c r="R5540" t="s">
        <v>21</v>
      </c>
      <c r="S5540" t="s">
        <v>21</v>
      </c>
    </row>
    <row r="5541" spans="1:19" hidden="1" x14ac:dyDescent="0.25">
      <c r="A5541">
        <v>21400921</v>
      </c>
      <c r="B5541" t="s">
        <v>18</v>
      </c>
      <c r="C5541" t="s">
        <v>24</v>
      </c>
      <c r="D5541">
        <v>42</v>
      </c>
      <c r="E5541">
        <v>39</v>
      </c>
      <c r="F5541">
        <v>3</v>
      </c>
      <c r="G5541">
        <v>2</v>
      </c>
      <c r="H5541" s="1">
        <v>5.7407407407407407E-3</v>
      </c>
      <c r="I5541">
        <v>2014</v>
      </c>
      <c r="J5541" t="s">
        <v>20</v>
      </c>
      <c r="K5541" s="2" t="str">
        <f>HYPERLINK("https://www.nba.com/stats/events?CFID=&amp;CFPARAMS=&amp;GameEventID=170&amp;GameID=0021400921&amp;Season=2014-15&amp;flag=1&amp;title=Leonard%20%20Layup%20(7%20PTS)", "Leonard  Layup (7 PTS)")</f>
        <v>Leonard  Layup (7 PTS)</v>
      </c>
      <c r="L5541" s="2" t="str">
        <f>HYPERLINK("https://www.nba.com/game/...-vs-...-0021400921/play-by-play?watchFullGame=true", "SAS vs DEN - Q2 08:16.00")</f>
        <v>SAS vs DEN - Q2 08:16.00</v>
      </c>
      <c r="M5541">
        <v>0</v>
      </c>
      <c r="N5541">
        <v>-4</v>
      </c>
      <c r="O5541">
        <v>-2</v>
      </c>
      <c r="P5541">
        <v>-4</v>
      </c>
      <c r="Q5541">
        <v>-2</v>
      </c>
      <c r="R5541" t="s">
        <v>21</v>
      </c>
      <c r="S5541" t="s">
        <v>21</v>
      </c>
    </row>
    <row r="5542" spans="1:19" hidden="1" x14ac:dyDescent="0.25">
      <c r="A5542">
        <v>21300296</v>
      </c>
      <c r="B5542" t="s">
        <v>18</v>
      </c>
      <c r="C5542" t="s">
        <v>25</v>
      </c>
      <c r="D5542">
        <v>73</v>
      </c>
      <c r="E5542">
        <v>95</v>
      </c>
      <c r="F5542">
        <v>22</v>
      </c>
      <c r="G5542">
        <v>4</v>
      </c>
      <c r="H5542" s="1">
        <v>5.8796296296296296E-3</v>
      </c>
      <c r="I5542">
        <v>2013</v>
      </c>
      <c r="J5542" t="s">
        <v>20</v>
      </c>
      <c r="K5542" s="2" t="str">
        <f>HYPERLINK("https://www.nba.com/stats/events?CFID=&amp;CFPARAMS=&amp;GameEventID=357&amp;GameID=0021300296&amp;Season=2013-14&amp;flag=1&amp;title=Leonard%201'%20Driving%20Dunk%20(15%20PTS)", "Leonard 1' Driving Dunk (15 PTS)")</f>
        <v>Leonard 1' Driving Dunk (15 PTS)</v>
      </c>
      <c r="L5542" s="2" t="str">
        <f>HYPERLINK("https://www.nba.com/game/...-vs-...-0021300296/play-by-play?watchFullGame=true", "SAS vs IND - Q4 08:28.00")</f>
        <v>SAS vs IND - Q4 08:28.00</v>
      </c>
      <c r="M5542">
        <v>1</v>
      </c>
      <c r="N5542">
        <v>9</v>
      </c>
      <c r="O5542">
        <v>0</v>
      </c>
      <c r="P5542">
        <v>9</v>
      </c>
      <c r="Q5542">
        <v>0</v>
      </c>
      <c r="R5542" t="s">
        <v>21</v>
      </c>
      <c r="S5542" t="s">
        <v>21</v>
      </c>
    </row>
    <row r="5543" spans="1:19" hidden="1" x14ac:dyDescent="0.25">
      <c r="A5543">
        <v>41800114</v>
      </c>
      <c r="B5543" t="s">
        <v>18</v>
      </c>
      <c r="C5543" t="s">
        <v>22</v>
      </c>
      <c r="D5543">
        <v>92</v>
      </c>
      <c r="E5543">
        <v>75</v>
      </c>
      <c r="F5543">
        <v>17</v>
      </c>
      <c r="G5543">
        <v>4</v>
      </c>
      <c r="H5543" s="1">
        <v>5.7986111111111112E-3</v>
      </c>
      <c r="I5543" t="s">
        <v>60</v>
      </c>
      <c r="J5543" t="s">
        <v>48</v>
      </c>
      <c r="K5543" s="2" t="str">
        <f>HYPERLINK("https://www.nba.com/stats/events?CFID=&amp;CFPARAMS=&amp;GameEventID=476&amp;GameID=0041800114&amp;Season=2018-19&amp;flag=1&amp;title=Leonard%20Driving%20Layup%20(32%20PTS)", "Leonard Driving Layup (32 PTS)")</f>
        <v>Leonard Driving Layup (32 PTS)</v>
      </c>
      <c r="L5543" s="2" t="str">
        <f>HYPERLINK("https://www.nba.com/game/...-vs-...-0041800114/play-by-play?watchFullGame=true", "TOR vs ORL - Q4 08:21.00")</f>
        <v>TOR vs ORL - Q4 08:21.00</v>
      </c>
      <c r="M5543">
        <v>0</v>
      </c>
      <c r="N5543">
        <v>-2</v>
      </c>
      <c r="O5543">
        <v>4</v>
      </c>
      <c r="P5543">
        <v>-2</v>
      </c>
      <c r="Q5543">
        <v>4</v>
      </c>
      <c r="R5543" t="s">
        <v>21</v>
      </c>
      <c r="S5543" t="s">
        <v>21</v>
      </c>
    </row>
    <row r="5544" spans="1:19" hidden="1" x14ac:dyDescent="0.25">
      <c r="A5544">
        <v>21300312</v>
      </c>
      <c r="B5544" t="s">
        <v>26</v>
      </c>
      <c r="C5544" t="s">
        <v>19</v>
      </c>
      <c r="D5544">
        <v>9</v>
      </c>
      <c r="E5544">
        <v>13</v>
      </c>
      <c r="F5544">
        <v>4</v>
      </c>
      <c r="G5544">
        <v>1</v>
      </c>
      <c r="H5544" s="1">
        <v>5.8333333333333336E-3</v>
      </c>
      <c r="I5544">
        <v>2013</v>
      </c>
      <c r="J5544" t="s">
        <v>20</v>
      </c>
      <c r="K5544" s="2" t="str">
        <f>HYPERLINK("https://www.nba.com/stats/events?CFID=&amp;CFPARAMS=&amp;GameEventID=20&amp;GameID=0021300312&amp;Season=2013-14&amp;flag=1&amp;title=Leonard%20%203PT%20Jump%20Shot%20(3%20PTS)%20(Parker%203%20AST)", "Leonard  3PT Jump Shot (3 PTS) (Parker 3 AST)")</f>
        <v>Leonard  3PT Jump Shot (3 PTS) (Parker 3 AST)</v>
      </c>
      <c r="L5544" s="2" t="str">
        <f>HYPERLINK("https://www.nba.com/game/...-vs-...-0021300312/play-by-play?watchFullGame=true", "SAS vs TOR - Q1 08:24.00")</f>
        <v>SAS vs TOR - Q1 08:24.00</v>
      </c>
      <c r="M5544">
        <v>0</v>
      </c>
      <c r="N5544">
        <v>-234</v>
      </c>
      <c r="O5544">
        <v>1</v>
      </c>
      <c r="P5544">
        <v>-234</v>
      </c>
      <c r="Q5544">
        <v>1</v>
      </c>
      <c r="R5544" t="s">
        <v>21</v>
      </c>
      <c r="S5544" t="s">
        <v>21</v>
      </c>
    </row>
    <row r="5545" spans="1:19" hidden="1" x14ac:dyDescent="0.25">
      <c r="A5545">
        <v>21500182</v>
      </c>
      <c r="B5545" t="s">
        <v>26</v>
      </c>
      <c r="C5545" t="s">
        <v>19</v>
      </c>
      <c r="D5545">
        <v>11</v>
      </c>
      <c r="E5545">
        <v>3</v>
      </c>
      <c r="F5545">
        <v>8</v>
      </c>
      <c r="G5545">
        <v>1</v>
      </c>
      <c r="H5545" s="1">
        <v>5.8449074074074072E-3</v>
      </c>
      <c r="I5545">
        <v>2015</v>
      </c>
      <c r="J5545" t="s">
        <v>20</v>
      </c>
      <c r="K5545" s="2" t="str">
        <f>HYPERLINK("https://www.nba.com/stats/events?CFID=&amp;CFPARAMS=&amp;GameEventID=39&amp;GameID=0021500182&amp;Season=2015-16&amp;flag=1&amp;title=Leonard%20%203PT%20Jump%20Shot%20(5%20PTS)%20(Duncan%201%20AST)", "Leonard  3PT Jump Shot (5 PTS) (Duncan 1 AST)")</f>
        <v>Leonard  3PT Jump Shot (5 PTS) (Duncan 1 AST)</v>
      </c>
      <c r="L5545" s="2" t="str">
        <f>HYPERLINK("https://www.nba.com/game/...-vs-...-0021500182/play-by-play?watchFullGame=true", "SAS vs NOP - Q1 08:25.00")</f>
        <v>SAS vs NOP - Q1 08:25.00</v>
      </c>
      <c r="M5545">
        <v>0</v>
      </c>
      <c r="N5545">
        <v>230</v>
      </c>
      <c r="O5545">
        <v>31</v>
      </c>
      <c r="P5545">
        <v>230</v>
      </c>
      <c r="Q5545">
        <v>31</v>
      </c>
      <c r="R5545" t="s">
        <v>21</v>
      </c>
      <c r="S5545" t="s">
        <v>21</v>
      </c>
    </row>
    <row r="5546" spans="1:19" hidden="1" x14ac:dyDescent="0.25">
      <c r="A5546">
        <v>21800909</v>
      </c>
      <c r="B5546" t="s">
        <v>26</v>
      </c>
      <c r="C5546" t="s">
        <v>19</v>
      </c>
      <c r="D5546">
        <v>71</v>
      </c>
      <c r="E5546">
        <v>52</v>
      </c>
      <c r="F5546">
        <v>19</v>
      </c>
      <c r="G5546">
        <v>3</v>
      </c>
      <c r="H5546" s="1">
        <v>5.8796296296296296E-3</v>
      </c>
      <c r="I5546">
        <v>2018</v>
      </c>
      <c r="J5546" t="s">
        <v>48</v>
      </c>
      <c r="K5546" s="2" t="str">
        <f>HYPERLINK("https://www.nba.com/stats/events?CFID=&amp;CFPARAMS=&amp;GameEventID=387&amp;GameID=0021800909&amp;Season=2018-19&amp;flag=1&amp;title=Leonard%203PT%20Jump%20Shot%20(15%20PTS)%20(Siakam%201%20AST)", "Leonard 3PT Jump Shot (15 PTS) (Siakam 1 AST)")</f>
        <v>Leonard 3PT Jump Shot (15 PTS) (Siakam 1 AST)</v>
      </c>
      <c r="L5546" s="2" t="str">
        <f>HYPERLINK("https://www.nba.com/game/...-vs-...-0021800909/play-by-play?watchFullGame=true", "TOR vs BOS - Q3 08:28.00")</f>
        <v>TOR vs BOS - Q3 08:28.00</v>
      </c>
      <c r="M5546">
        <v>0</v>
      </c>
      <c r="N5546">
        <v>234</v>
      </c>
      <c r="O5546">
        <v>18</v>
      </c>
      <c r="P5546">
        <v>234</v>
      </c>
      <c r="Q5546">
        <v>18</v>
      </c>
      <c r="R5546" t="s">
        <v>21</v>
      </c>
      <c r="S5546" t="s">
        <v>21</v>
      </c>
    </row>
    <row r="5547" spans="1:19" x14ac:dyDescent="0.25">
      <c r="A5547">
        <v>41300402</v>
      </c>
      <c r="B5547" t="s">
        <v>26</v>
      </c>
      <c r="C5547" t="s">
        <v>19</v>
      </c>
      <c r="D5547">
        <v>55</v>
      </c>
      <c r="E5547">
        <v>54</v>
      </c>
      <c r="F5547">
        <v>1</v>
      </c>
      <c r="G5547">
        <v>3</v>
      </c>
      <c r="H5547" s="1">
        <v>5.9143518518518521E-3</v>
      </c>
      <c r="I5547" t="s">
        <v>55</v>
      </c>
      <c r="J5547" t="s">
        <v>20</v>
      </c>
      <c r="K5547" s="2" t="str">
        <f>HYPERLINK("https://www.nba.com/stats/events?CFID=&amp;CFPARAMS=&amp;GameEventID=281&amp;GameID=0041300402&amp;Season=2013-14&amp;flag=1&amp;title=Leonard%20%203PT%20Jump%20Shot%20(6%20PTS)%20(Parker%205%20AST)", "Leonard  3PT Jump Shot (6 PTS) (Parker 5 AST)")</f>
        <v>Leonard  3PT Jump Shot (6 PTS) (Parker 5 AST)</v>
      </c>
      <c r="L5547" s="2" t="str">
        <f>HYPERLINK("https://www.nba.com/game/...-vs-...-0041300402/play-by-play?watchFullGame=true", "SAS vs MIA - Q3 08:31.00")</f>
        <v>SAS vs MIA - Q3 08:31.00</v>
      </c>
      <c r="M5547">
        <v>0</v>
      </c>
      <c r="N5547">
        <v>-232</v>
      </c>
      <c r="O5547">
        <v>-19</v>
      </c>
      <c r="P5547">
        <v>-232</v>
      </c>
      <c r="Q5547">
        <v>-19</v>
      </c>
      <c r="R5547" t="s">
        <v>21</v>
      </c>
      <c r="S5547" t="s">
        <v>21</v>
      </c>
    </row>
    <row r="5548" spans="1:19" hidden="1" x14ac:dyDescent="0.25">
      <c r="A5548">
        <v>41400163</v>
      </c>
      <c r="B5548" t="s">
        <v>18</v>
      </c>
      <c r="C5548" t="s">
        <v>24</v>
      </c>
      <c r="D5548">
        <v>54</v>
      </c>
      <c r="E5548">
        <v>40</v>
      </c>
      <c r="F5548">
        <v>14</v>
      </c>
      <c r="G5548">
        <v>3</v>
      </c>
      <c r="H5548" s="1">
        <v>5.9259259259259256E-3</v>
      </c>
      <c r="I5548" t="s">
        <v>56</v>
      </c>
      <c r="J5548" t="s">
        <v>20</v>
      </c>
      <c r="K5548" s="2" t="str">
        <f>HYPERLINK("https://www.nba.com/stats/events?CFID=&amp;CFPARAMS=&amp;GameEventID=265&amp;GameID=0041400163&amp;Season=2014-15&amp;flag=1&amp;title=Leonard%20%20Layup%20(22%20PTS)", "Leonard  Layup (22 PTS)")</f>
        <v>Leonard  Layup (22 PTS)</v>
      </c>
      <c r="L5548" s="2" t="str">
        <f>HYPERLINK("https://www.nba.com/game/...-vs-...-0041400163/play-by-play?watchFullGame=true", "SAS vs LAC - Q3 08:32.00")</f>
        <v>SAS vs LAC - Q3 08:32.00</v>
      </c>
      <c r="M5548">
        <v>0</v>
      </c>
      <c r="N5548">
        <v>-2</v>
      </c>
      <c r="O5548">
        <v>-3</v>
      </c>
      <c r="P5548">
        <v>-2</v>
      </c>
      <c r="Q5548">
        <v>-3</v>
      </c>
      <c r="R5548" t="s">
        <v>21</v>
      </c>
      <c r="S5548" t="s">
        <v>21</v>
      </c>
    </row>
    <row r="5549" spans="1:19" hidden="1" x14ac:dyDescent="0.25">
      <c r="A5549">
        <v>21801023</v>
      </c>
      <c r="B5549" t="s">
        <v>26</v>
      </c>
      <c r="C5549" t="s">
        <v>19</v>
      </c>
      <c r="D5549">
        <v>8</v>
      </c>
      <c r="E5549">
        <v>6</v>
      </c>
      <c r="F5549">
        <v>2</v>
      </c>
      <c r="G5549">
        <v>1</v>
      </c>
      <c r="H5549" s="1">
        <v>5.9606481481481481E-3</v>
      </c>
      <c r="I5549">
        <v>2018</v>
      </c>
      <c r="J5549" t="s">
        <v>48</v>
      </c>
      <c r="K5549" s="2" t="str">
        <f>HYPERLINK("https://www.nba.com/stats/events?CFID=&amp;CFPARAMS=&amp;GameEventID=53&amp;GameID=0021801023&amp;Season=2018-19&amp;flag=1&amp;title=Leonard%203PT%20Jump%20Shot%20(3%20PTS)%20(Siakam%201%20AST)", "Leonard 3PT Jump Shot (3 PTS) (Siakam 1 AST)")</f>
        <v>Leonard 3PT Jump Shot (3 PTS) (Siakam 1 AST)</v>
      </c>
      <c r="L5549" s="2" t="str">
        <f>HYPERLINK("https://www.nba.com/game/...-vs-...-0021801023/play-by-play?watchFullGame=true", "TOR vs LAL - Q1 08:35.00")</f>
        <v>TOR vs LAL - Q1 08:35.00</v>
      </c>
      <c r="M5549">
        <v>0</v>
      </c>
      <c r="N5549">
        <v>-228</v>
      </c>
      <c r="O5549">
        <v>-4</v>
      </c>
      <c r="P5549">
        <v>-228</v>
      </c>
      <c r="Q5549">
        <v>-4</v>
      </c>
      <c r="R5549" t="s">
        <v>21</v>
      </c>
      <c r="S5549" t="s">
        <v>21</v>
      </c>
    </row>
    <row r="5550" spans="1:19" hidden="1" x14ac:dyDescent="0.25">
      <c r="A5550">
        <v>21400177</v>
      </c>
      <c r="B5550" t="s">
        <v>26</v>
      </c>
      <c r="C5550" t="s">
        <v>19</v>
      </c>
      <c r="D5550">
        <v>70</v>
      </c>
      <c r="E5550">
        <v>50</v>
      </c>
      <c r="F5550">
        <v>20</v>
      </c>
      <c r="G5550">
        <v>3</v>
      </c>
      <c r="H5550" s="1">
        <v>5.9722222222222225E-3</v>
      </c>
      <c r="I5550">
        <v>2014</v>
      </c>
      <c r="J5550" t="s">
        <v>20</v>
      </c>
      <c r="K5550" s="2" t="str">
        <f>HYPERLINK("https://www.nba.com/stats/events?CFID=&amp;CFPARAMS=&amp;GameEventID=293&amp;GameID=0021400177&amp;Season=2014-15&amp;flag=1&amp;title=Leonard%20%203PT%20Jump%20Shot%20(11%20PTS)%20(Parker%204%20AST)", "Leonard  3PT Jump Shot (11 PTS) (Parker 4 AST)")</f>
        <v>Leonard  3PT Jump Shot (11 PTS) (Parker 4 AST)</v>
      </c>
      <c r="L5550" s="2" t="str">
        <f>HYPERLINK("https://www.nba.com/game/...-vs-...-0021400177/play-by-play?watchFullGame=true", "SAS vs MIN - Q3 08:36.00")</f>
        <v>SAS vs MIN - Q3 08:36.00</v>
      </c>
      <c r="M5550">
        <v>0</v>
      </c>
      <c r="N5550">
        <v>-226</v>
      </c>
      <c r="O5550">
        <v>4</v>
      </c>
      <c r="P5550">
        <v>-226</v>
      </c>
      <c r="Q5550">
        <v>4</v>
      </c>
      <c r="R5550" t="s">
        <v>21</v>
      </c>
      <c r="S5550" t="s">
        <v>21</v>
      </c>
    </row>
    <row r="5551" spans="1:19" hidden="1" x14ac:dyDescent="0.25">
      <c r="A5551">
        <v>21301054</v>
      </c>
      <c r="B5551" t="s">
        <v>18</v>
      </c>
      <c r="C5551" t="s">
        <v>23</v>
      </c>
      <c r="D5551">
        <v>13</v>
      </c>
      <c r="E5551">
        <v>7</v>
      </c>
      <c r="F5551">
        <v>6</v>
      </c>
      <c r="G5551">
        <v>1</v>
      </c>
      <c r="H5551" s="1">
        <v>5.3009259259259259E-3</v>
      </c>
      <c r="I5551">
        <v>2013</v>
      </c>
      <c r="J5551" t="s">
        <v>20</v>
      </c>
      <c r="K5551" s="2" t="str">
        <f>HYPERLINK("https://www.nba.com/stats/events?CFID=&amp;CFPARAMS=&amp;GameEventID=30&amp;GameID=0021301054&amp;Season=2013-14&amp;flag=1&amp;title=Leonard%201'%20Dunk%20(4%20PTS)", "Leonard 1' Dunk (4 PTS)")</f>
        <v>Leonard 1' Dunk (4 PTS)</v>
      </c>
      <c r="L5551" s="2" t="str">
        <f>HYPERLINK("https://www.nba.com/game/...-vs-...-0021301054/play-by-play?watchFullGame=true", "SAS vs PHI - Q1 07:38.00")</f>
        <v>SAS vs PHI - Q1 07:38.00</v>
      </c>
      <c r="M5551">
        <v>1</v>
      </c>
      <c r="N5551">
        <v>10</v>
      </c>
      <c r="O5551">
        <v>1</v>
      </c>
      <c r="P5551">
        <v>10</v>
      </c>
      <c r="Q5551">
        <v>1</v>
      </c>
      <c r="R5551" t="s">
        <v>21</v>
      </c>
      <c r="S5551" t="s">
        <v>21</v>
      </c>
    </row>
    <row r="5552" spans="1:19" hidden="1" x14ac:dyDescent="0.25">
      <c r="A5552">
        <v>41800404</v>
      </c>
      <c r="B5552" t="s">
        <v>26</v>
      </c>
      <c r="C5552" t="s">
        <v>19</v>
      </c>
      <c r="D5552">
        <v>88</v>
      </c>
      <c r="E5552">
        <v>72</v>
      </c>
      <c r="F5552">
        <v>16</v>
      </c>
      <c r="G5552">
        <v>4</v>
      </c>
      <c r="H5552" s="1">
        <v>6.0648148148148145E-3</v>
      </c>
      <c r="I5552" t="s">
        <v>60</v>
      </c>
      <c r="J5552" t="s">
        <v>48</v>
      </c>
      <c r="K5552" s="2" t="str">
        <f>HYPERLINK("https://www.nba.com/stats/events?CFID=&amp;CFPARAMS=&amp;GameEventID=551&amp;GameID=0041800404&amp;Season=2018-19&amp;flag=1&amp;title=Leonard%203PT%20Jump%20Shot%20(34%20PTS)%20(Lowry%204%20AST)", "Leonard 3PT Jump Shot (34 PTS) (Lowry 4 AST)")</f>
        <v>Leonard 3PT Jump Shot (34 PTS) (Lowry 4 AST)</v>
      </c>
      <c r="L5552" s="2" t="str">
        <f>HYPERLINK("https://www.nba.com/game/...-vs-...-0041800404/play-by-play?watchFullGame=true", "TOR vs GSW - Q4 08:44.00")</f>
        <v>TOR vs GSW - Q4 08:44.00</v>
      </c>
      <c r="M5552">
        <v>0</v>
      </c>
      <c r="N5552">
        <v>231</v>
      </c>
      <c r="O5552">
        <v>31</v>
      </c>
      <c r="P5552">
        <v>231</v>
      </c>
      <c r="Q5552">
        <v>31</v>
      </c>
      <c r="R5552" t="s">
        <v>21</v>
      </c>
      <c r="S5552" t="s">
        <v>21</v>
      </c>
    </row>
    <row r="5553" spans="1:19" hidden="1" x14ac:dyDescent="0.25">
      <c r="A5553">
        <v>41600154</v>
      </c>
      <c r="B5553" t="s">
        <v>26</v>
      </c>
      <c r="C5553" t="s">
        <v>39</v>
      </c>
      <c r="D5553">
        <v>9</v>
      </c>
      <c r="E5553">
        <v>5</v>
      </c>
      <c r="F5553">
        <v>4</v>
      </c>
      <c r="G5553">
        <v>1</v>
      </c>
      <c r="H5553" s="1">
        <v>6.0879629629629626E-3</v>
      </c>
      <c r="I5553" t="s">
        <v>58</v>
      </c>
      <c r="J5553" t="s">
        <v>20</v>
      </c>
      <c r="K5553" s="2" t="str">
        <f>HYPERLINK("https://www.nba.com/stats/events?CFID=&amp;CFPARAMS=&amp;GameEventID=21&amp;GameID=0041600154&amp;Season=2016-17&amp;flag=1&amp;title=Leonard%20%203PT%20Step%20Back%20Jump%20Shot%20(3%20PTS)%20(Parker%202%20AST)", "Leonard  3PT Step Back Jump Shot (3 PTS) (Parker 2 AST)")</f>
        <v>Leonard  3PT Step Back Jump Shot (3 PTS) (Parker 2 AST)</v>
      </c>
      <c r="L5553" s="2" t="str">
        <f>HYPERLINK("https://www.nba.com/game/...-vs-...-0041600154/play-by-play?watchFullGame=true", "SAS vs MEM - Q1 08:46.00")</f>
        <v>SAS vs MEM - Q1 08:46.00</v>
      </c>
      <c r="M5553">
        <v>0</v>
      </c>
      <c r="N5553">
        <v>-233</v>
      </c>
      <c r="O5553">
        <v>-26</v>
      </c>
      <c r="P5553">
        <v>-233</v>
      </c>
      <c r="Q5553">
        <v>-26</v>
      </c>
      <c r="R5553" t="s">
        <v>21</v>
      </c>
      <c r="S5553" t="s">
        <v>21</v>
      </c>
    </row>
    <row r="5554" spans="1:19" hidden="1" x14ac:dyDescent="0.25">
      <c r="A5554">
        <v>41300316</v>
      </c>
      <c r="B5554" t="s">
        <v>26</v>
      </c>
      <c r="C5554" t="s">
        <v>19</v>
      </c>
      <c r="D5554">
        <v>26</v>
      </c>
      <c r="E5554">
        <v>25</v>
      </c>
      <c r="F5554">
        <v>1</v>
      </c>
      <c r="G5554">
        <v>2</v>
      </c>
      <c r="H5554" s="1">
        <v>6.0879629629629626E-3</v>
      </c>
      <c r="I5554" t="s">
        <v>55</v>
      </c>
      <c r="J5554" t="s">
        <v>20</v>
      </c>
      <c r="K5554" s="2" t="str">
        <f>HYPERLINK("https://www.nba.com/stats/events?CFID=&amp;CFPARAMS=&amp;GameEventID=161&amp;GameID=0041300316&amp;Season=2013-14&amp;flag=1&amp;title=Leonard%20%203PT%20Jump%20Shot%20(9%20PTS)%20(Mills%201%20AST)", "Leonard  3PT Jump Shot (9 PTS) (Mills 1 AST)")</f>
        <v>Leonard  3PT Jump Shot (9 PTS) (Mills 1 AST)</v>
      </c>
      <c r="L5554" s="2" t="str">
        <f>HYPERLINK("https://www.nba.com/game/...-vs-...-0041300316/play-by-play?watchFullGame=true", "SAS vs OKC - Q2 08:46.00")</f>
        <v>SAS vs OKC - Q2 08:46.00</v>
      </c>
      <c r="M5554">
        <v>0</v>
      </c>
      <c r="N5554">
        <v>-224</v>
      </c>
      <c r="O5554">
        <v>19</v>
      </c>
      <c r="P5554">
        <v>-224</v>
      </c>
      <c r="Q5554">
        <v>19</v>
      </c>
      <c r="R5554" t="s">
        <v>21</v>
      </c>
      <c r="S5554" t="s">
        <v>21</v>
      </c>
    </row>
    <row r="5555" spans="1:19" hidden="1" x14ac:dyDescent="0.25">
      <c r="A5555">
        <v>41300316</v>
      </c>
      <c r="B5555" t="s">
        <v>18</v>
      </c>
      <c r="C5555" t="s">
        <v>23</v>
      </c>
      <c r="D5555">
        <v>51</v>
      </c>
      <c r="E5555">
        <v>51</v>
      </c>
      <c r="F5555">
        <v>0</v>
      </c>
      <c r="G5555">
        <v>3</v>
      </c>
      <c r="H5555" s="1">
        <v>6.1111111111111114E-3</v>
      </c>
      <c r="I5555" t="s">
        <v>55</v>
      </c>
      <c r="J5555" t="s">
        <v>20</v>
      </c>
      <c r="K5555" s="2" t="str">
        <f>HYPERLINK("https://www.nba.com/stats/events?CFID=&amp;CFPARAMS=&amp;GameEventID=276&amp;GameID=0041300316&amp;Season=2013-14&amp;flag=1&amp;title=Leonard%201'%20Dunk%20(13%20PTS)%20(Green%202%20AST)", "Leonard 1' Dunk (13 PTS) (Green 2 AST)")</f>
        <v>Leonard 1' Dunk (13 PTS) (Green 2 AST)</v>
      </c>
      <c r="L5555" s="2" t="str">
        <f>HYPERLINK("https://www.nba.com/game/...-vs-...-0041300316/play-by-play?watchFullGame=true", "SAS vs OKC - Q3 08:48.00")</f>
        <v>SAS vs OKC - Q3 08:48.00</v>
      </c>
      <c r="M5555">
        <v>1</v>
      </c>
      <c r="N5555">
        <v>10</v>
      </c>
      <c r="O5555">
        <v>-5</v>
      </c>
      <c r="P5555">
        <v>10</v>
      </c>
      <c r="Q5555">
        <v>-5</v>
      </c>
      <c r="R5555" t="s">
        <v>21</v>
      </c>
      <c r="S5555" t="s">
        <v>21</v>
      </c>
    </row>
    <row r="5556" spans="1:19" hidden="1" x14ac:dyDescent="0.25">
      <c r="A5556">
        <v>41300225</v>
      </c>
      <c r="B5556" t="s">
        <v>26</v>
      </c>
      <c r="C5556" t="s">
        <v>19</v>
      </c>
      <c r="D5556">
        <v>30</v>
      </c>
      <c r="E5556">
        <v>24</v>
      </c>
      <c r="F5556">
        <v>6</v>
      </c>
      <c r="G5556">
        <v>2</v>
      </c>
      <c r="H5556" s="1">
        <v>6.1342592592592594E-3</v>
      </c>
      <c r="I5556" t="s">
        <v>55</v>
      </c>
      <c r="J5556" t="s">
        <v>20</v>
      </c>
      <c r="K5556" s="2" t="str">
        <f>HYPERLINK("https://www.nba.com/stats/events?CFID=&amp;CFPARAMS=&amp;GameEventID=163&amp;GameID=0041300225&amp;Season=2013-14&amp;flag=1&amp;title=Leonard%20%203PT%20Jump%20Shot%20(7%20PTS)%20(Diaw%203%20AST)", "Leonard  3PT Jump Shot (7 PTS) (Diaw 3 AST)")</f>
        <v>Leonard  3PT Jump Shot (7 PTS) (Diaw 3 AST)</v>
      </c>
      <c r="L5556" s="2" t="str">
        <f>HYPERLINK("https://www.nba.com/game/...-vs-...-0041300225/play-by-play?watchFullGame=true", "SAS vs POR - Q2 08:50.00")</f>
        <v>SAS vs POR - Q2 08:50.00</v>
      </c>
      <c r="M5556">
        <v>0</v>
      </c>
      <c r="N5556">
        <v>-226</v>
      </c>
      <c r="O5556">
        <v>1</v>
      </c>
      <c r="P5556">
        <v>-226</v>
      </c>
      <c r="Q5556">
        <v>1</v>
      </c>
      <c r="R5556" t="s">
        <v>21</v>
      </c>
      <c r="S5556" t="s">
        <v>21</v>
      </c>
    </row>
    <row r="5557" spans="1:19" hidden="1" x14ac:dyDescent="0.25">
      <c r="A5557">
        <v>21801083</v>
      </c>
      <c r="B5557" t="s">
        <v>18</v>
      </c>
      <c r="C5557" t="s">
        <v>72</v>
      </c>
      <c r="D5557">
        <v>65</v>
      </c>
      <c r="E5557">
        <v>55</v>
      </c>
      <c r="F5557">
        <v>10</v>
      </c>
      <c r="G5557">
        <v>3</v>
      </c>
      <c r="H5557" s="1">
        <v>6.2268518518518515E-3</v>
      </c>
      <c r="I5557">
        <v>2018</v>
      </c>
      <c r="J5557" t="s">
        <v>48</v>
      </c>
      <c r="K5557" s="2" t="str">
        <f>HYPERLINK("https://www.nba.com/stats/events?CFID=&amp;CFPARAMS=&amp;GameEventID=328&amp;GameID=0021801083&amp;Season=2018-19&amp;flag=1&amp;title=Leonard%201'%20Putback%20Dunk%20(15%20PTS)", "Leonard 1' Putback Dunk (15 PTS)")</f>
        <v>Leonard 1' Putback Dunk (15 PTS)</v>
      </c>
      <c r="L5557" s="2" t="str">
        <f>HYPERLINK("https://www.nba.com/game/...-vs-...-0021801083/play-by-play?watchFullGame=true", "TOR vs OKC - Q3 08:58.00")</f>
        <v>TOR vs OKC - Q3 08:58.00</v>
      </c>
      <c r="M5557">
        <v>1</v>
      </c>
      <c r="N5557">
        <v>11</v>
      </c>
      <c r="O5557">
        <v>1</v>
      </c>
      <c r="P5557">
        <v>11</v>
      </c>
      <c r="Q5557">
        <v>1</v>
      </c>
      <c r="R5557" t="s">
        <v>21</v>
      </c>
      <c r="S5557" t="s">
        <v>21</v>
      </c>
    </row>
    <row r="5558" spans="1:19" hidden="1" x14ac:dyDescent="0.25">
      <c r="A5558">
        <v>41800305</v>
      </c>
      <c r="B5558" t="s">
        <v>18</v>
      </c>
      <c r="C5558" t="s">
        <v>50</v>
      </c>
      <c r="D5558">
        <v>34</v>
      </c>
      <c r="E5558">
        <v>34</v>
      </c>
      <c r="F5558">
        <v>0</v>
      </c>
      <c r="G5558">
        <v>2</v>
      </c>
      <c r="H5558" s="1">
        <v>3.8888888888888888E-3</v>
      </c>
      <c r="I5558" t="s">
        <v>60</v>
      </c>
      <c r="J5558" t="s">
        <v>48</v>
      </c>
      <c r="K5558" s="2" t="str">
        <f>HYPERLINK("https://www.nba.com/stats/events?CFID=&amp;CFPARAMS=&amp;GameEventID=254&amp;GameID=0041800305&amp;Season=2018-19&amp;flag=1&amp;title=Leonard%202'%20Running%20Dunk%20(11%20PTS)%20(Siakam%201%20AST)", "Leonard 2' Running Dunk (11 PTS) (Siakam 1 AST)")</f>
        <v>Leonard 2' Running Dunk (11 PTS) (Siakam 1 AST)</v>
      </c>
      <c r="L5558" s="2" t="str">
        <f>HYPERLINK("https://www.nba.com/game/...-vs-...-0041800305/play-by-play?watchFullGame=true", "TOR vs MIL - Q2 05:36.00")</f>
        <v>TOR vs MIL - Q2 05:36.00</v>
      </c>
      <c r="M5558">
        <v>2</v>
      </c>
      <c r="N5558">
        <v>12</v>
      </c>
      <c r="O5558">
        <v>21</v>
      </c>
      <c r="P5558">
        <v>12</v>
      </c>
      <c r="Q5558">
        <v>21</v>
      </c>
      <c r="R5558" t="s">
        <v>21</v>
      </c>
      <c r="S5558" t="s">
        <v>21</v>
      </c>
    </row>
    <row r="5559" spans="1:19" hidden="1" x14ac:dyDescent="0.25">
      <c r="A5559">
        <v>21300604</v>
      </c>
      <c r="B5559" t="s">
        <v>18</v>
      </c>
      <c r="C5559" t="s">
        <v>23</v>
      </c>
      <c r="D5559">
        <v>12</v>
      </c>
      <c r="E5559">
        <v>10</v>
      </c>
      <c r="F5559">
        <v>2</v>
      </c>
      <c r="G5559">
        <v>1</v>
      </c>
      <c r="H5559" s="1">
        <v>4.4907407407407405E-3</v>
      </c>
      <c r="I5559">
        <v>2013</v>
      </c>
      <c r="J5559" t="s">
        <v>20</v>
      </c>
      <c r="K5559" s="2" t="str">
        <f>HYPERLINK("https://www.nba.com/stats/events?CFID=&amp;CFPARAMS=&amp;GameEventID=49&amp;GameID=0021300604&amp;Season=2013-14&amp;flag=1&amp;title=Leonard%202'%20Dunk%20(5%20PTS)%20(Mills%202%20AST)", "Leonard 2' Dunk (5 PTS) (Mills 2 AST)")</f>
        <v>Leonard 2' Dunk (5 PTS) (Mills 2 AST)</v>
      </c>
      <c r="L5559" s="2" t="str">
        <f>HYPERLINK("https://www.nba.com/game/...-vs-...-0021300604/play-by-play?watchFullGame=true", "SAS vs MIL - Q1 06:28.00")</f>
        <v>SAS vs MIL - Q1 06:28.00</v>
      </c>
      <c r="M5559">
        <v>2</v>
      </c>
      <c r="N5559">
        <v>12</v>
      </c>
      <c r="O5559">
        <v>-10</v>
      </c>
      <c r="P5559">
        <v>12</v>
      </c>
      <c r="Q5559">
        <v>-10</v>
      </c>
      <c r="R5559" t="s">
        <v>21</v>
      </c>
      <c r="S5559" t="s">
        <v>21</v>
      </c>
    </row>
    <row r="5560" spans="1:19" hidden="1" x14ac:dyDescent="0.25">
      <c r="A5560">
        <v>41600235</v>
      </c>
      <c r="B5560" t="s">
        <v>18</v>
      </c>
      <c r="C5560" t="s">
        <v>35</v>
      </c>
      <c r="D5560">
        <v>60</v>
      </c>
      <c r="E5560">
        <v>65</v>
      </c>
      <c r="F5560">
        <v>5</v>
      </c>
      <c r="G5560">
        <v>3</v>
      </c>
      <c r="H5560" s="1">
        <v>6.2037037037037035E-3</v>
      </c>
      <c r="I5560" t="s">
        <v>58</v>
      </c>
      <c r="J5560" t="s">
        <v>20</v>
      </c>
      <c r="K5560" s="2" t="str">
        <f>HYPERLINK("https://www.nba.com/stats/events?CFID=&amp;CFPARAMS=&amp;GameEventID=307&amp;GameID=0041600235&amp;Season=2016-17&amp;flag=1&amp;title=Leonard%20Reverse%20Layup%20(14%20PTS)", "Leonard Reverse Layup (14 PTS)")</f>
        <v>Leonard Reverse Layup (14 PTS)</v>
      </c>
      <c r="L5560" s="2" t="str">
        <f>HYPERLINK("https://www.nba.com/game/...-vs-...-0041600235/play-by-play?watchFullGame=true", "SAS vs HOU - Q3 08:56.00")</f>
        <v>SAS vs HOU - Q3 08:56.00</v>
      </c>
      <c r="M5560">
        <v>0</v>
      </c>
      <c r="N5560">
        <v>0</v>
      </c>
      <c r="O5560">
        <v>-1</v>
      </c>
      <c r="P5560">
        <v>0</v>
      </c>
      <c r="Q5560">
        <v>-1</v>
      </c>
      <c r="R5560" t="s">
        <v>21</v>
      </c>
      <c r="S5560" t="s">
        <v>21</v>
      </c>
    </row>
    <row r="5561" spans="1:19" hidden="1" x14ac:dyDescent="0.25">
      <c r="A5561">
        <v>21800624</v>
      </c>
      <c r="B5561" t="s">
        <v>18</v>
      </c>
      <c r="C5561" t="s">
        <v>25</v>
      </c>
      <c r="D5561">
        <v>9</v>
      </c>
      <c r="E5561">
        <v>10</v>
      </c>
      <c r="F5561">
        <v>1</v>
      </c>
      <c r="G5561">
        <v>1</v>
      </c>
      <c r="H5561" s="1">
        <v>5.5902777777777773E-3</v>
      </c>
      <c r="I5561">
        <v>2018</v>
      </c>
      <c r="J5561" t="s">
        <v>48</v>
      </c>
      <c r="K5561" s="2" t="str">
        <f>HYPERLINK("https://www.nba.com/stats/events?CFID=&amp;CFPARAMS=&amp;GameEventID=46&amp;GameID=0021800624&amp;Season=2018-19&amp;flag=1&amp;title=Leonard%201'%20Driving%20Dunk%20(2%20PTS)%20(Lowry%202%20AST)", "Leonard 1' Driving Dunk (2 PTS) (Lowry 2 AST)")</f>
        <v>Leonard 1' Driving Dunk (2 PTS) (Lowry 2 AST)</v>
      </c>
      <c r="L5561" s="2" t="str">
        <f>HYPERLINK("https://www.nba.com/game/...-vs-...-0021800624/play-by-play?watchFullGame=true", "TOR vs BKN - Q1 08:03.00")</f>
        <v>TOR vs BKN - Q1 08:03.00</v>
      </c>
      <c r="M5561">
        <v>1</v>
      </c>
      <c r="N5561">
        <v>12</v>
      </c>
      <c r="O5561">
        <v>-1</v>
      </c>
      <c r="P5561">
        <v>12</v>
      </c>
      <c r="Q5561">
        <v>-1</v>
      </c>
      <c r="R5561" t="s">
        <v>21</v>
      </c>
      <c r="S5561" t="s">
        <v>21</v>
      </c>
    </row>
    <row r="5562" spans="1:19" hidden="1" x14ac:dyDescent="0.25">
      <c r="A5562">
        <v>21500275</v>
      </c>
      <c r="B5562" t="s">
        <v>18</v>
      </c>
      <c r="C5562" t="s">
        <v>24</v>
      </c>
      <c r="D5562">
        <v>10</v>
      </c>
      <c r="E5562">
        <v>7</v>
      </c>
      <c r="F5562">
        <v>3</v>
      </c>
      <c r="G5562">
        <v>1</v>
      </c>
      <c r="H5562" s="1">
        <v>6.2962962962962964E-3</v>
      </c>
      <c r="I5562">
        <v>2015</v>
      </c>
      <c r="J5562" t="s">
        <v>20</v>
      </c>
      <c r="K5562" s="2" t="str">
        <f>HYPERLINK("https://www.nba.com/stats/events?CFID=&amp;CFPARAMS=&amp;GameEventID=28&amp;GameID=0021500275&amp;Season=2015-16&amp;flag=1&amp;title=Leonard%20%20Layup%20(2%20PTS)%20(Duncan%201%20AST)", "Leonard  Layup (2 PTS) (Duncan 1 AST)")</f>
        <v>Leonard  Layup (2 PTS) (Duncan 1 AST)</v>
      </c>
      <c r="L5562" s="2" t="str">
        <f>HYPERLINK("https://www.nba.com/game/...-vs-...-0021500275/play-by-play?watchFullGame=true", "SAS vs MIL - Q1 09:04.00")</f>
        <v>SAS vs MIL - Q1 09:04.00</v>
      </c>
      <c r="M5562">
        <v>0</v>
      </c>
      <c r="N5562">
        <v>1</v>
      </c>
      <c r="O5562">
        <v>2</v>
      </c>
      <c r="P5562">
        <v>1</v>
      </c>
      <c r="Q5562">
        <v>2</v>
      </c>
      <c r="R5562" t="s">
        <v>21</v>
      </c>
      <c r="S5562" t="s">
        <v>21</v>
      </c>
    </row>
    <row r="5563" spans="1:19" hidden="1" x14ac:dyDescent="0.25">
      <c r="A5563">
        <v>21500532</v>
      </c>
      <c r="B5563" t="s">
        <v>26</v>
      </c>
      <c r="C5563" t="s">
        <v>19</v>
      </c>
      <c r="D5563">
        <v>42</v>
      </c>
      <c r="E5563">
        <v>27</v>
      </c>
      <c r="F5563">
        <v>15</v>
      </c>
      <c r="G5563">
        <v>2</v>
      </c>
      <c r="H5563" s="1">
        <v>6.3773148148148148E-3</v>
      </c>
      <c r="I5563">
        <v>2015</v>
      </c>
      <c r="J5563" t="s">
        <v>20</v>
      </c>
      <c r="K5563" s="2" t="str">
        <f>HYPERLINK("https://www.nba.com/stats/events?CFID=&amp;CFPARAMS=&amp;GameEventID=140&amp;GameID=0021500532&amp;Season=2015-16&amp;flag=1&amp;title=Leonard%20%203PT%20Jump%20Shot%20(10%20PTS)%20(Ginobili%201%20AST)", "Leonard  3PT Jump Shot (10 PTS) (Ginobili 1 AST)")</f>
        <v>Leonard  3PT Jump Shot (10 PTS) (Ginobili 1 AST)</v>
      </c>
      <c r="L5563" s="2" t="str">
        <f>HYPERLINK("https://www.nba.com/game/...-vs-...-0021500532/play-by-play?watchFullGame=true", "SAS vs UTA - Q2 09:11.00")</f>
        <v>SAS vs UTA - Q2 09:11.00</v>
      </c>
      <c r="M5563">
        <v>0</v>
      </c>
      <c r="N5563">
        <v>-232</v>
      </c>
      <c r="O5563">
        <v>2</v>
      </c>
      <c r="P5563">
        <v>-232</v>
      </c>
      <c r="Q5563">
        <v>2</v>
      </c>
      <c r="R5563" t="s">
        <v>21</v>
      </c>
      <c r="S5563" t="s">
        <v>21</v>
      </c>
    </row>
    <row r="5564" spans="1:19" x14ac:dyDescent="0.25">
      <c r="A5564">
        <v>21400906</v>
      </c>
      <c r="B5564" t="s">
        <v>26</v>
      </c>
      <c r="C5564" t="s">
        <v>19</v>
      </c>
      <c r="D5564">
        <v>9</v>
      </c>
      <c r="E5564">
        <v>2</v>
      </c>
      <c r="F5564">
        <v>7</v>
      </c>
      <c r="G5564">
        <v>1</v>
      </c>
      <c r="H5564" s="1">
        <v>6.4583333333333333E-3</v>
      </c>
      <c r="I5564">
        <v>2014</v>
      </c>
      <c r="J5564" t="s">
        <v>20</v>
      </c>
      <c r="K5564" s="2" t="str">
        <f>HYPERLINK("https://www.nba.com/stats/events?CFID=&amp;CFPARAMS=&amp;GameEventID=18&amp;GameID=0021400906&amp;Season=2014-15&amp;flag=1&amp;title=Leonard%20%203PT%20Jump%20Shot%20(7%20PTS)%20(Duncan%201%20AST)", "Leonard  3PT Jump Shot (7 PTS) (Duncan 1 AST)")</f>
        <v>Leonard  3PT Jump Shot (7 PTS) (Duncan 1 AST)</v>
      </c>
      <c r="L5564" s="2" t="str">
        <f>HYPERLINK("https://www.nba.com/game/...-vs-...-0021400906/play-by-play?watchFullGame=true", "SAS vs SAC - Q1 09:18.00")</f>
        <v>SAS vs SAC - Q1 09:18.00</v>
      </c>
      <c r="M5564">
        <v>0</v>
      </c>
      <c r="N5564">
        <v>-228</v>
      </c>
      <c r="O5564">
        <v>-16</v>
      </c>
      <c r="P5564">
        <v>-228</v>
      </c>
      <c r="Q5564">
        <v>-16</v>
      </c>
      <c r="R5564" t="s">
        <v>21</v>
      </c>
      <c r="S5564" t="s">
        <v>21</v>
      </c>
    </row>
    <row r="5565" spans="1:19" hidden="1" x14ac:dyDescent="0.25">
      <c r="A5565">
        <v>41500153</v>
      </c>
      <c r="B5565" t="s">
        <v>26</v>
      </c>
      <c r="C5565" t="s">
        <v>19</v>
      </c>
      <c r="D5565">
        <v>77</v>
      </c>
      <c r="E5565">
        <v>73</v>
      </c>
      <c r="F5565">
        <v>4</v>
      </c>
      <c r="G5565">
        <v>4</v>
      </c>
      <c r="H5565" s="1">
        <v>6.4699074074074077E-3</v>
      </c>
      <c r="I5565" t="s">
        <v>57</v>
      </c>
      <c r="J5565" t="s">
        <v>20</v>
      </c>
      <c r="K5565" s="2" t="str">
        <f>HYPERLINK("https://www.nba.com/stats/events?CFID=&amp;CFPARAMS=&amp;GameEventID=396&amp;GameID=0041500153&amp;Season=2015-16&amp;flag=1&amp;title=Leonard%20%203PT%20Jump%20Shot%20(24%20PTS)%20(West%202%20AST)", "Leonard  3PT Jump Shot (24 PTS) (West 2 AST)")</f>
        <v>Leonard  3PT Jump Shot (24 PTS) (West 2 AST)</v>
      </c>
      <c r="L5565" s="2" t="str">
        <f>HYPERLINK("https://www.nba.com/game/...-vs-...-0041500153/play-by-play?watchFullGame=true", "SAS vs MEM - Q4 09:19.00")</f>
        <v>SAS vs MEM - Q4 09:19.00</v>
      </c>
      <c r="M5565">
        <v>0</v>
      </c>
      <c r="N5565">
        <v>-228</v>
      </c>
      <c r="O5565">
        <v>-6</v>
      </c>
      <c r="P5565">
        <v>-228</v>
      </c>
      <c r="Q5565">
        <v>-6</v>
      </c>
      <c r="R5565" t="s">
        <v>21</v>
      </c>
      <c r="S5565" t="s">
        <v>21</v>
      </c>
    </row>
    <row r="5566" spans="1:19" hidden="1" x14ac:dyDescent="0.25">
      <c r="A5566">
        <v>21300573</v>
      </c>
      <c r="B5566" t="s">
        <v>18</v>
      </c>
      <c r="C5566" t="s">
        <v>25</v>
      </c>
      <c r="D5566">
        <v>6</v>
      </c>
      <c r="E5566">
        <v>5</v>
      </c>
      <c r="F5566">
        <v>1</v>
      </c>
      <c r="G5566">
        <v>1</v>
      </c>
      <c r="H5566" s="1">
        <v>6.851851851851852E-3</v>
      </c>
      <c r="I5566">
        <v>2013</v>
      </c>
      <c r="J5566" t="s">
        <v>20</v>
      </c>
      <c r="K5566" s="2" t="str">
        <f>HYPERLINK("https://www.nba.com/stats/events?CFID=&amp;CFPARAMS=&amp;GameEventID=21&amp;GameID=0021300573&amp;Season=2013-14&amp;flag=1&amp;title=Leonard%201'%20Driving%20Dunk%20(2%20PTS)%20(Parker%201%20AST)", "Leonard 1' Driving Dunk (2 PTS) (Parker 1 AST)")</f>
        <v>Leonard 1' Driving Dunk (2 PTS) (Parker 1 AST)</v>
      </c>
      <c r="L5566" s="2" t="str">
        <f>HYPERLINK("https://www.nba.com/game/...-vs-...-0021300573/play-by-play?watchFullGame=true", "SAS vs UTA - Q1 09:52.00")</f>
        <v>SAS vs UTA - Q1 09:52.00</v>
      </c>
      <c r="M5566">
        <v>1</v>
      </c>
      <c r="N5566">
        <v>13</v>
      </c>
      <c r="O5566">
        <v>3</v>
      </c>
      <c r="P5566">
        <v>13</v>
      </c>
      <c r="Q5566">
        <v>3</v>
      </c>
      <c r="R5566" t="s">
        <v>21</v>
      </c>
      <c r="S5566" t="s">
        <v>21</v>
      </c>
    </row>
    <row r="5567" spans="1:19" hidden="1" x14ac:dyDescent="0.25">
      <c r="A5567">
        <v>21800100</v>
      </c>
      <c r="B5567" t="s">
        <v>18</v>
      </c>
      <c r="C5567" t="s">
        <v>46</v>
      </c>
      <c r="D5567">
        <v>111</v>
      </c>
      <c r="E5567">
        <v>97</v>
      </c>
      <c r="F5567">
        <v>14</v>
      </c>
      <c r="G5567">
        <v>4</v>
      </c>
      <c r="H5567" s="1">
        <v>6.7245370370370367E-3</v>
      </c>
      <c r="I5567">
        <v>2018</v>
      </c>
      <c r="J5567" t="s">
        <v>48</v>
      </c>
      <c r="K5567" s="2" t="str">
        <f>HYPERLINK("https://www.nba.com/stats/events?CFID=&amp;CFPARAMS=&amp;GameEventID=631&amp;GameID=0021800100&amp;Season=2018-19&amp;flag=1&amp;title=Leonard%202'%20Cutting%20Dunk%20Shot%20(25%20PTS)%20(Lowry%2010%20AST)", "Leonard 2' Cutting Dunk Shot (25 PTS) (Lowry 10 AST)")</f>
        <v>Leonard 2' Cutting Dunk Shot (25 PTS) (Lowry 10 AST)</v>
      </c>
      <c r="L5567" s="2" t="str">
        <f>HYPERLINK("https://www.nba.com/game/...-vs-...-0021800100/play-by-play?watchFullGame=true", "TOR vs PHI - Q4 09:41.00")</f>
        <v>TOR vs PHI - Q4 09:41.00</v>
      </c>
      <c r="M5567">
        <v>2</v>
      </c>
      <c r="N5567">
        <v>14</v>
      </c>
      <c r="O5567">
        <v>9</v>
      </c>
      <c r="P5567">
        <v>14</v>
      </c>
      <c r="Q5567">
        <v>9</v>
      </c>
      <c r="R5567" t="s">
        <v>21</v>
      </c>
      <c r="S5567" t="s">
        <v>21</v>
      </c>
    </row>
    <row r="5568" spans="1:19" hidden="1" x14ac:dyDescent="0.25">
      <c r="A5568">
        <v>21600762</v>
      </c>
      <c r="B5568" t="s">
        <v>26</v>
      </c>
      <c r="C5568" t="s">
        <v>19</v>
      </c>
      <c r="D5568">
        <v>7</v>
      </c>
      <c r="E5568">
        <v>5</v>
      </c>
      <c r="F5568">
        <v>2</v>
      </c>
      <c r="G5568">
        <v>1</v>
      </c>
      <c r="H5568" s="1">
        <v>6.5624999999999998E-3</v>
      </c>
      <c r="I5568">
        <v>2016</v>
      </c>
      <c r="J5568" t="s">
        <v>20</v>
      </c>
      <c r="K5568" s="2" t="str">
        <f>HYPERLINK("https://www.nba.com/stats/events?CFID=&amp;CFPARAMS=&amp;GameEventID=26&amp;GameID=0021600762&amp;Season=2016-17&amp;flag=1&amp;title=Leonard%20%203PT%20Jump%20Shot%20(3%20PTS)%20(Lee%201%20AST)", "Leonard  3PT Jump Shot (3 PTS) (Lee 1 AST)")</f>
        <v>Leonard  3PT Jump Shot (3 PTS) (Lee 1 AST)</v>
      </c>
      <c r="L5568" s="2" t="str">
        <f>HYPERLINK("https://www.nba.com/game/...-vs-...-0021600762/play-by-play?watchFullGame=true", "SAS vs DEN - Q1 09:27.00")</f>
        <v>SAS vs DEN - Q1 09:27.00</v>
      </c>
      <c r="M5568">
        <v>0</v>
      </c>
      <c r="N5568">
        <v>233</v>
      </c>
      <c r="O5568">
        <v>11</v>
      </c>
      <c r="P5568">
        <v>233</v>
      </c>
      <c r="Q5568">
        <v>11</v>
      </c>
      <c r="R5568" t="s">
        <v>21</v>
      </c>
      <c r="S5568" t="s">
        <v>21</v>
      </c>
    </row>
    <row r="5569" spans="1:19" hidden="1" x14ac:dyDescent="0.25">
      <c r="A5569">
        <v>21500224</v>
      </c>
      <c r="B5569" t="s">
        <v>26</v>
      </c>
      <c r="C5569" t="s">
        <v>19</v>
      </c>
      <c r="D5569">
        <v>8</v>
      </c>
      <c r="E5569">
        <v>4</v>
      </c>
      <c r="F5569">
        <v>4</v>
      </c>
      <c r="G5569">
        <v>1</v>
      </c>
      <c r="H5569" s="1">
        <v>6.5740740740740742E-3</v>
      </c>
      <c r="I5569">
        <v>2015</v>
      </c>
      <c r="J5569" t="s">
        <v>20</v>
      </c>
      <c r="K5569" s="2" t="str">
        <f>HYPERLINK("https://www.nba.com/stats/events?CFID=&amp;CFPARAMS=&amp;GameEventID=14&amp;GameID=0021500224&amp;Season=2015-16&amp;flag=1&amp;title=Leonard%20%203PT%20Jump%20Shot%20(6%20PTS)%20(Parker%202%20AST)", "Leonard  3PT Jump Shot (6 PTS) (Parker 2 AST)")</f>
        <v>Leonard  3PT Jump Shot (6 PTS) (Parker 2 AST)</v>
      </c>
      <c r="L5569" s="2" t="str">
        <f>HYPERLINK("https://www.nba.com/game/...-vs-...-0021500224/play-by-play?watchFullGame=true", "SAS vs DAL - Q1 09:28.00")</f>
        <v>SAS vs DAL - Q1 09:28.00</v>
      </c>
      <c r="M5569">
        <v>0</v>
      </c>
      <c r="N5569">
        <v>227</v>
      </c>
      <c r="O5569">
        <v>21</v>
      </c>
      <c r="P5569">
        <v>227</v>
      </c>
      <c r="Q5569">
        <v>21</v>
      </c>
      <c r="R5569" t="s">
        <v>21</v>
      </c>
      <c r="S5569" t="s">
        <v>21</v>
      </c>
    </row>
    <row r="5570" spans="1:19" hidden="1" x14ac:dyDescent="0.25">
      <c r="A5570">
        <v>21400595</v>
      </c>
      <c r="B5570" t="s">
        <v>26</v>
      </c>
      <c r="C5570" t="s">
        <v>19</v>
      </c>
      <c r="D5570">
        <v>69</v>
      </c>
      <c r="E5570">
        <v>60</v>
      </c>
      <c r="F5570">
        <v>9</v>
      </c>
      <c r="G5570">
        <v>3</v>
      </c>
      <c r="H5570" s="1">
        <v>6.7476851851851856E-3</v>
      </c>
      <c r="I5570">
        <v>2014</v>
      </c>
      <c r="J5570" t="s">
        <v>20</v>
      </c>
      <c r="K5570" s="2" t="str">
        <f>HYPERLINK("https://www.nba.com/stats/events?CFID=&amp;CFPARAMS=&amp;GameEventID=282&amp;GameID=0021400595&amp;Season=2014-15&amp;flag=1&amp;title=Leonard%20%203PT%20Jump%20Shot%20(11%20PTS)%20(Green%201%20AST)", "Leonard  3PT Jump Shot (11 PTS) (Green 1 AST)")</f>
        <v>Leonard  3PT Jump Shot (11 PTS) (Green 1 AST)</v>
      </c>
      <c r="L5570" s="2" t="str">
        <f>HYPERLINK("https://www.nba.com/game/...-vs-...-0021400595/play-by-play?watchFullGame=true", "SAS vs POR - Q3 09:43.00")</f>
        <v>SAS vs POR - Q3 09:43.00</v>
      </c>
      <c r="M5570">
        <v>0</v>
      </c>
      <c r="N5570">
        <v>-232</v>
      </c>
      <c r="O5570">
        <v>-8</v>
      </c>
      <c r="P5570">
        <v>-232</v>
      </c>
      <c r="Q5570">
        <v>-8</v>
      </c>
      <c r="R5570" t="s">
        <v>21</v>
      </c>
      <c r="S5570" t="s">
        <v>21</v>
      </c>
    </row>
    <row r="5571" spans="1:19" hidden="1" x14ac:dyDescent="0.25">
      <c r="A5571">
        <v>41200232</v>
      </c>
      <c r="B5571" t="s">
        <v>18</v>
      </c>
      <c r="C5571" t="s">
        <v>70</v>
      </c>
      <c r="D5571">
        <v>58</v>
      </c>
      <c r="E5571">
        <v>75</v>
      </c>
      <c r="F5571">
        <v>17</v>
      </c>
      <c r="G5571">
        <v>3</v>
      </c>
      <c r="H5571" s="1">
        <v>2.662037037037037E-3</v>
      </c>
      <c r="I5571" t="s">
        <v>53</v>
      </c>
      <c r="J5571" t="s">
        <v>20</v>
      </c>
      <c r="K5571" s="2" t="str">
        <f>HYPERLINK("https://www.nba.com/stats/events?CFID=&amp;CFPARAMS=&amp;GameEventID=333&amp;GameID=0041200232&amp;Season=2012-13&amp;flag=1&amp;title=Leonard%202'%20Slam%20Dunk%20(11%20PTS)%20(Ginobili%203%20AST)", "Leonard 2' Slam Dunk (11 PTS) (Ginobili 3 AST)")</f>
        <v>Leonard 2' Slam Dunk (11 PTS) (Ginobili 3 AST)</v>
      </c>
      <c r="L5571" s="2" t="str">
        <f>HYPERLINK("https://www.nba.com/game/...-vs-...-0041200232/play-by-play?watchFullGame=true", "SAS vs GSW - Q3 03:50.00")</f>
        <v>SAS vs GSW - Q3 03:50.00</v>
      </c>
      <c r="M5571">
        <v>2</v>
      </c>
      <c r="N5571">
        <v>15</v>
      </c>
      <c r="O5571">
        <v>3</v>
      </c>
      <c r="P5571">
        <v>15</v>
      </c>
      <c r="Q5571">
        <v>3</v>
      </c>
      <c r="R5571" t="s">
        <v>21</v>
      </c>
      <c r="S5571" t="s">
        <v>21</v>
      </c>
    </row>
    <row r="5572" spans="1:19" hidden="1" x14ac:dyDescent="0.25">
      <c r="A5572">
        <v>21500090</v>
      </c>
      <c r="B5572" t="s">
        <v>26</v>
      </c>
      <c r="C5572" t="s">
        <v>19</v>
      </c>
      <c r="D5572">
        <v>56</v>
      </c>
      <c r="E5572">
        <v>54</v>
      </c>
      <c r="F5572">
        <v>2</v>
      </c>
      <c r="G5572">
        <v>3</v>
      </c>
      <c r="H5572" s="1">
        <v>6.7708333333333336E-3</v>
      </c>
      <c r="I5572">
        <v>2015</v>
      </c>
      <c r="J5572" t="s">
        <v>20</v>
      </c>
      <c r="K5572" s="2" t="str">
        <f>HYPERLINK("https://www.nba.com/stats/events?CFID=&amp;CFPARAMS=&amp;GameEventID=275&amp;GameID=0021500090&amp;Season=2015-16&amp;flag=1&amp;title=Leonard%20%203PT%20Jump%20Shot%20(10%20PTS)%20(Green%204%20AST)", "Leonard  3PT Jump Shot (10 PTS) (Green 4 AST)")</f>
        <v>Leonard  3PT Jump Shot (10 PTS) (Green 4 AST)</v>
      </c>
      <c r="L5572" s="2" t="str">
        <f>HYPERLINK("https://www.nba.com/game/...-vs-...-0021500090/play-by-play?watchFullGame=true", "SAS vs CHA - Q3 09:45.00")</f>
        <v>SAS vs CHA - Q3 09:45.00</v>
      </c>
      <c r="M5572">
        <v>0</v>
      </c>
      <c r="N5572">
        <v>230</v>
      </c>
      <c r="O5572">
        <v>3</v>
      </c>
      <c r="P5572">
        <v>230</v>
      </c>
      <c r="Q5572">
        <v>3</v>
      </c>
      <c r="R5572" t="s">
        <v>21</v>
      </c>
      <c r="S5572" t="s">
        <v>21</v>
      </c>
    </row>
    <row r="5573" spans="1:19" hidden="1" x14ac:dyDescent="0.25">
      <c r="A5573">
        <v>41600311</v>
      </c>
      <c r="B5573" t="s">
        <v>26</v>
      </c>
      <c r="C5573" t="s">
        <v>36</v>
      </c>
      <c r="D5573">
        <v>70</v>
      </c>
      <c r="E5573">
        <v>52</v>
      </c>
      <c r="F5573">
        <v>18</v>
      </c>
      <c r="G5573">
        <v>3</v>
      </c>
      <c r="H5573" s="1">
        <v>6.7824074074074071E-3</v>
      </c>
      <c r="I5573" t="s">
        <v>58</v>
      </c>
      <c r="J5573" t="s">
        <v>20</v>
      </c>
      <c r="K5573" s="2" t="str">
        <f>HYPERLINK("https://www.nba.com/stats/events?CFID=&amp;CFPARAMS=&amp;GameEventID=302&amp;GameID=0041600311&amp;Season=2016-17&amp;flag=1&amp;title=Leonard%20%203PT%20Pullup%20Jump%20Shot%20(23%20PTS)%20(Mills%202%20AST)", "Leonard  3PT Pullup Jump Shot (23 PTS) (Mills 2 AST)")</f>
        <v>Leonard  3PT Pullup Jump Shot (23 PTS) (Mills 2 AST)</v>
      </c>
      <c r="L5573" s="2" t="str">
        <f>HYPERLINK("https://www.nba.com/game/...-vs-...-0041600311/play-by-play?watchFullGame=true", "SAS vs GSW - Q3 09:46.00")</f>
        <v>SAS vs GSW - Q3 09:46.00</v>
      </c>
      <c r="M5573">
        <v>0</v>
      </c>
      <c r="N5573">
        <v>-233</v>
      </c>
      <c r="O5573">
        <v>2</v>
      </c>
      <c r="P5573">
        <v>-233</v>
      </c>
      <c r="Q5573">
        <v>2</v>
      </c>
      <c r="R5573" t="s">
        <v>21</v>
      </c>
      <c r="S5573" t="s">
        <v>21</v>
      </c>
    </row>
    <row r="5574" spans="1:19" hidden="1" x14ac:dyDescent="0.25">
      <c r="A5574">
        <v>21300094</v>
      </c>
      <c r="B5574" t="s">
        <v>18</v>
      </c>
      <c r="C5574" t="s">
        <v>25</v>
      </c>
      <c r="D5574">
        <v>50</v>
      </c>
      <c r="E5574">
        <v>27</v>
      </c>
      <c r="F5574">
        <v>23</v>
      </c>
      <c r="G5574">
        <v>2</v>
      </c>
      <c r="H5574" s="1">
        <v>3.6226851851851854E-3</v>
      </c>
      <c r="I5574">
        <v>2013</v>
      </c>
      <c r="J5574" t="s">
        <v>20</v>
      </c>
      <c r="K5574" s="2" t="str">
        <f>HYPERLINK("https://www.nba.com/stats/events?CFID=&amp;CFPARAMS=&amp;GameEventID=191&amp;GameID=0021300094&amp;Season=2013-14&amp;flag=1&amp;title=Leonard%202'%20Driving%20Dunk%20(9%20PTS)%20(Parker%206%20AST)", "Leonard 2' Driving Dunk (9 PTS) (Parker 6 AST)")</f>
        <v>Leonard 2' Driving Dunk (9 PTS) (Parker 6 AST)</v>
      </c>
      <c r="L5574" s="2" t="str">
        <f>HYPERLINK("https://www.nba.com/game/...-vs-...-0021300094/play-by-play?watchFullGame=true", "SAS vs NYK - Q2 05:13.00")</f>
        <v>SAS vs NYK - Q2 05:13.00</v>
      </c>
      <c r="M5574">
        <v>2</v>
      </c>
      <c r="N5574">
        <v>15</v>
      </c>
      <c r="O5574">
        <v>17</v>
      </c>
      <c r="P5574">
        <v>15</v>
      </c>
      <c r="Q5574">
        <v>17</v>
      </c>
      <c r="R5574" t="s">
        <v>21</v>
      </c>
      <c r="S5574" t="s">
        <v>21</v>
      </c>
    </row>
    <row r="5575" spans="1:19" hidden="1" x14ac:dyDescent="0.25">
      <c r="A5575">
        <v>41200314</v>
      </c>
      <c r="B5575" t="s">
        <v>18</v>
      </c>
      <c r="C5575" t="s">
        <v>78</v>
      </c>
      <c r="D5575">
        <v>32</v>
      </c>
      <c r="E5575">
        <v>25</v>
      </c>
      <c r="F5575">
        <v>7</v>
      </c>
      <c r="G5575">
        <v>2</v>
      </c>
      <c r="H5575" s="1">
        <v>3.8541666666666668E-3</v>
      </c>
      <c r="I5575" t="s">
        <v>53</v>
      </c>
      <c r="J5575" t="s">
        <v>20</v>
      </c>
      <c r="K5575" s="2" t="str">
        <f>HYPERLINK("https://www.nba.com/stats/events?CFID=&amp;CFPARAMS=&amp;GameEventID=193&amp;GameID=0041200314&amp;Season=2012-13&amp;flag=1&amp;title=Leonard%202'%20Driving%20Slam%20Dunk%20(4%20PTS)", "Leonard 2' Driving Slam Dunk (4 PTS)")</f>
        <v>Leonard 2' Driving Slam Dunk (4 PTS)</v>
      </c>
      <c r="L5575" s="2" t="str">
        <f>HYPERLINK("https://www.nba.com/game/...-vs-...-0041200314/play-by-play?watchFullGame=true", "SAS vs MEM - Q2 05:33.00")</f>
        <v>SAS vs MEM - Q2 05:33.00</v>
      </c>
      <c r="M5575">
        <v>2</v>
      </c>
      <c r="N5575">
        <v>15</v>
      </c>
      <c r="O5575">
        <v>-2</v>
      </c>
      <c r="P5575">
        <v>15</v>
      </c>
      <c r="Q5575">
        <v>-2</v>
      </c>
      <c r="R5575" t="s">
        <v>21</v>
      </c>
      <c r="S5575" t="s">
        <v>21</v>
      </c>
    </row>
    <row r="5576" spans="1:19" hidden="1" x14ac:dyDescent="0.25">
      <c r="A5576">
        <v>41300403</v>
      </c>
      <c r="B5576" t="s">
        <v>18</v>
      </c>
      <c r="C5576" t="s">
        <v>25</v>
      </c>
      <c r="D5576">
        <v>92</v>
      </c>
      <c r="E5576">
        <v>80</v>
      </c>
      <c r="F5576">
        <v>12</v>
      </c>
      <c r="G5576">
        <v>4</v>
      </c>
      <c r="H5576" s="1">
        <v>5.5092592592592589E-3</v>
      </c>
      <c r="I5576" t="s">
        <v>55</v>
      </c>
      <c r="J5576" t="s">
        <v>20</v>
      </c>
      <c r="K5576" s="2" t="str">
        <f>HYPERLINK("https://www.nba.com/stats/events?CFID=&amp;CFPARAMS=&amp;GameEventID=404&amp;GameID=0041300403&amp;Season=2013-14&amp;flag=1&amp;title=Leonard%202'%20Driving%20Dunk%20(24%20PTS)%20(Green%203%20AST)", "Leonard 2' Driving Dunk (24 PTS) (Green 3 AST)")</f>
        <v>Leonard 2' Driving Dunk (24 PTS) (Green 3 AST)</v>
      </c>
      <c r="L5576" s="2" t="str">
        <f>HYPERLINK("https://www.nba.com/game/...-vs-...-0041300403/play-by-play?watchFullGame=true", "SAS vs MIA - Q4 07:56.00")</f>
        <v>SAS vs MIA - Q4 07:56.00</v>
      </c>
      <c r="M5576">
        <v>2</v>
      </c>
      <c r="N5576">
        <v>15</v>
      </c>
      <c r="O5576">
        <v>9</v>
      </c>
      <c r="P5576">
        <v>15</v>
      </c>
      <c r="Q5576">
        <v>9</v>
      </c>
      <c r="R5576" t="s">
        <v>21</v>
      </c>
      <c r="S5576" t="s">
        <v>21</v>
      </c>
    </row>
    <row r="5577" spans="1:19" hidden="1" x14ac:dyDescent="0.25">
      <c r="A5577">
        <v>21300208</v>
      </c>
      <c r="B5577" t="s">
        <v>18</v>
      </c>
      <c r="C5577" t="s">
        <v>23</v>
      </c>
      <c r="D5577">
        <v>61</v>
      </c>
      <c r="E5577">
        <v>40</v>
      </c>
      <c r="F5577">
        <v>21</v>
      </c>
      <c r="G5577">
        <v>3</v>
      </c>
      <c r="H5577" s="1">
        <v>6.7708333333333336E-3</v>
      </c>
      <c r="I5577">
        <v>2013</v>
      </c>
      <c r="J5577" t="s">
        <v>20</v>
      </c>
      <c r="K5577" s="2" t="str">
        <f>HYPERLINK("https://www.nba.com/stats/events?CFID=&amp;CFPARAMS=&amp;GameEventID=302&amp;GameID=0021300208&amp;Season=2013-14&amp;flag=1&amp;title=Leonard%202'%20Dunk%20(5%20PTS)", "Leonard 2' Dunk (5 PTS)")</f>
        <v>Leonard 2' Dunk (5 PTS)</v>
      </c>
      <c r="L5577" s="2" t="str">
        <f>HYPERLINK("https://www.nba.com/game/...-vs-...-0021300208/play-by-play?watchFullGame=true", "SAS vs NOP - Q3 09:45.00")</f>
        <v>SAS vs NOP - Q3 09:45.00</v>
      </c>
      <c r="M5577">
        <v>2</v>
      </c>
      <c r="N5577">
        <v>15</v>
      </c>
      <c r="O5577">
        <v>7</v>
      </c>
      <c r="P5577">
        <v>15</v>
      </c>
      <c r="Q5577">
        <v>7</v>
      </c>
      <c r="R5577" t="s">
        <v>21</v>
      </c>
      <c r="S5577" t="s">
        <v>21</v>
      </c>
    </row>
    <row r="5578" spans="1:19" hidden="1" x14ac:dyDescent="0.25">
      <c r="A5578">
        <v>41400166</v>
      </c>
      <c r="B5578" t="s">
        <v>26</v>
      </c>
      <c r="C5578" t="s">
        <v>19</v>
      </c>
      <c r="D5578">
        <v>6</v>
      </c>
      <c r="E5578">
        <v>5</v>
      </c>
      <c r="F5578">
        <v>1</v>
      </c>
      <c r="G5578">
        <v>1</v>
      </c>
      <c r="H5578" s="1">
        <v>6.9560185185185185E-3</v>
      </c>
      <c r="I5578" t="s">
        <v>56</v>
      </c>
      <c r="J5578" t="s">
        <v>20</v>
      </c>
      <c r="K5578" s="2" t="str">
        <f>HYPERLINK("https://www.nba.com/stats/events?CFID=&amp;CFPARAMS=&amp;GameEventID=17&amp;GameID=0041400166&amp;Season=2014-15&amp;flag=1&amp;title=Leonard%20%203PT%20Jump%20Shot%20(3%20PTS)%20(Green%201%20AST)", "Leonard  3PT Jump Shot (3 PTS) (Green 1 AST)")</f>
        <v>Leonard  3PT Jump Shot (3 PTS) (Green 1 AST)</v>
      </c>
      <c r="L5578" s="2" t="str">
        <f>HYPERLINK("https://www.nba.com/game/...-vs-...-0041400166/play-by-play?watchFullGame=true", "SAS vs LAC - Q1 10:01.00")</f>
        <v>SAS vs LAC - Q1 10:01.00</v>
      </c>
      <c r="M5578">
        <v>0</v>
      </c>
      <c r="N5578">
        <v>-234</v>
      </c>
      <c r="O5578">
        <v>1</v>
      </c>
      <c r="P5578">
        <v>-234</v>
      </c>
      <c r="Q5578">
        <v>1</v>
      </c>
      <c r="R5578" t="s">
        <v>21</v>
      </c>
      <c r="S5578" t="s">
        <v>21</v>
      </c>
    </row>
    <row r="5579" spans="1:19" hidden="1" x14ac:dyDescent="0.25">
      <c r="A5579">
        <v>21300117</v>
      </c>
      <c r="B5579" t="s">
        <v>26</v>
      </c>
      <c r="C5579" t="s">
        <v>19</v>
      </c>
      <c r="D5579">
        <v>8</v>
      </c>
      <c r="E5579">
        <v>0</v>
      </c>
      <c r="F5579">
        <v>8</v>
      </c>
      <c r="G5579">
        <v>1</v>
      </c>
      <c r="H5579" s="1">
        <v>6.9791666666666665E-3</v>
      </c>
      <c r="I5579">
        <v>2013</v>
      </c>
      <c r="J5579" t="s">
        <v>20</v>
      </c>
      <c r="K5579" s="2" t="str">
        <f>HYPERLINK("https://www.nba.com/stats/events?CFID=&amp;CFPARAMS=&amp;GameEventID=12&amp;GameID=0021300117&amp;Season=2013-14&amp;flag=1&amp;title=Leonard%20%203PT%20Jump%20Shot%20(8%20PTS)%20(Green%202%20AST)", "Leonard  3PT Jump Shot (8 PTS) (Green 2 AST)")</f>
        <v>Leonard  3PT Jump Shot (8 PTS) (Green 2 AST)</v>
      </c>
      <c r="L5579" s="2" t="str">
        <f>HYPERLINK("https://www.nba.com/game/...-vs-...-0021300117/play-by-play?watchFullGame=true", "SAS vs WAS - Q1 10:03.00")</f>
        <v>SAS vs WAS - Q1 10:03.00</v>
      </c>
      <c r="M5579">
        <v>0</v>
      </c>
      <c r="N5579">
        <v>-229</v>
      </c>
      <c r="O5579">
        <v>-6</v>
      </c>
      <c r="P5579">
        <v>-229</v>
      </c>
      <c r="Q5579">
        <v>-6</v>
      </c>
      <c r="R5579" t="s">
        <v>21</v>
      </c>
      <c r="S5579" t="s">
        <v>21</v>
      </c>
    </row>
    <row r="5580" spans="1:19" hidden="1" x14ac:dyDescent="0.25">
      <c r="A5580">
        <v>21500207</v>
      </c>
      <c r="B5580" t="s">
        <v>18</v>
      </c>
      <c r="C5580" t="s">
        <v>24</v>
      </c>
      <c r="D5580">
        <v>2</v>
      </c>
      <c r="E5580">
        <v>4</v>
      </c>
      <c r="F5580">
        <v>2</v>
      </c>
      <c r="G5580">
        <v>1</v>
      </c>
      <c r="H5580" s="1">
        <v>6.9791666666666665E-3</v>
      </c>
      <c r="I5580">
        <v>2015</v>
      </c>
      <c r="J5580" t="s">
        <v>20</v>
      </c>
      <c r="K5580" s="2" t="str">
        <f>HYPERLINK("https://www.nba.com/stats/events?CFID=&amp;CFPARAMS=&amp;GameEventID=19&amp;GameID=0021500207&amp;Season=2015-16&amp;flag=1&amp;title=Leonard%20%20Layup%20(2%20PTS)", "Leonard  Layup (2 PTS)")</f>
        <v>Leonard  Layup (2 PTS)</v>
      </c>
      <c r="L5580" s="2" t="str">
        <f>HYPERLINK("https://www.nba.com/game/...-vs-...-0021500207/play-by-play?watchFullGame=true", "SAS vs PHX - Q1 10:03.00")</f>
        <v>SAS vs PHX - Q1 10:03.00</v>
      </c>
      <c r="M5580">
        <v>0</v>
      </c>
      <c r="N5580">
        <v>-1</v>
      </c>
      <c r="O5580">
        <v>2</v>
      </c>
      <c r="P5580">
        <v>-1</v>
      </c>
      <c r="Q5580">
        <v>2</v>
      </c>
      <c r="R5580" t="s">
        <v>21</v>
      </c>
      <c r="S5580" t="s">
        <v>21</v>
      </c>
    </row>
    <row r="5581" spans="1:19" hidden="1" x14ac:dyDescent="0.25">
      <c r="A5581">
        <v>21400772</v>
      </c>
      <c r="B5581" t="s">
        <v>26</v>
      </c>
      <c r="C5581" t="s">
        <v>19</v>
      </c>
      <c r="D5581">
        <v>51</v>
      </c>
      <c r="E5581">
        <v>47</v>
      </c>
      <c r="F5581">
        <v>4</v>
      </c>
      <c r="G5581">
        <v>3</v>
      </c>
      <c r="H5581" s="1">
        <v>6.9791666666666665E-3</v>
      </c>
      <c r="I5581">
        <v>2014</v>
      </c>
      <c r="J5581" t="s">
        <v>20</v>
      </c>
      <c r="K5581" s="2" t="str">
        <f>HYPERLINK("https://www.nba.com/stats/events?CFID=&amp;CFPARAMS=&amp;GameEventID=290&amp;GameID=0021400772&amp;Season=2014-15&amp;flag=1&amp;title=Leonard%203PT%20Jump%20Shot%20(9%20PTS)%20(Duncan%204%20AST)", "Leonard 3PT Jump Shot (9 PTS) (Duncan 4 AST)")</f>
        <v>Leonard 3PT Jump Shot (9 PTS) (Duncan 4 AST)</v>
      </c>
      <c r="L5581" s="2" t="str">
        <f>HYPERLINK("https://www.nba.com/game/...-vs-...-0021400772/play-by-play?watchFullGame=true", "SAS vs TOR - Q3 10:03.00")</f>
        <v>SAS vs TOR - Q3 10:03.00</v>
      </c>
      <c r="M5581">
        <v>0</v>
      </c>
      <c r="N5581">
        <v>228</v>
      </c>
      <c r="O5581">
        <v>7</v>
      </c>
      <c r="P5581">
        <v>228</v>
      </c>
      <c r="Q5581">
        <v>7</v>
      </c>
      <c r="R5581" t="s">
        <v>21</v>
      </c>
      <c r="S5581" t="s">
        <v>21</v>
      </c>
    </row>
    <row r="5582" spans="1:19" hidden="1" x14ac:dyDescent="0.25">
      <c r="A5582">
        <v>41200154</v>
      </c>
      <c r="B5582" t="s">
        <v>26</v>
      </c>
      <c r="C5582" t="s">
        <v>19</v>
      </c>
      <c r="D5582">
        <v>55</v>
      </c>
      <c r="E5582">
        <v>34</v>
      </c>
      <c r="F5582">
        <v>21</v>
      </c>
      <c r="G5582">
        <v>3</v>
      </c>
      <c r="H5582" s="1">
        <v>7.013888888888889E-3</v>
      </c>
      <c r="I5582" t="s">
        <v>53</v>
      </c>
      <c r="J5582" t="s">
        <v>20</v>
      </c>
      <c r="K5582" s="2" t="str">
        <f>HYPERLINK("https://www.nba.com/stats/events?CFID=&amp;CFPARAMS=&amp;GameEventID=266&amp;GameID=0041200154&amp;Season=2012-13&amp;flag=1&amp;title=Leonard%20%203PT%20Jump%20Shot%20(7%20PTS)%20(Duncan%201%20AST)", "Leonard  3PT Jump Shot (7 PTS) (Duncan 1 AST)")</f>
        <v>Leonard  3PT Jump Shot (7 PTS) (Duncan 1 AST)</v>
      </c>
      <c r="L5582" s="2" t="str">
        <f>HYPERLINK("https://www.nba.com/game/...-vs-...-0041200154/play-by-play?watchFullGame=true", "SAS vs LAL - Q3 10:06.00")</f>
        <v>SAS vs LAL - Q3 10:06.00</v>
      </c>
      <c r="M5582">
        <v>0</v>
      </c>
      <c r="N5582">
        <v>228</v>
      </c>
      <c r="O5582">
        <v>-8</v>
      </c>
      <c r="P5582">
        <v>228</v>
      </c>
      <c r="Q5582">
        <v>-8</v>
      </c>
      <c r="R5582" t="s">
        <v>21</v>
      </c>
      <c r="S5582" t="s">
        <v>21</v>
      </c>
    </row>
    <row r="5583" spans="1:19" hidden="1" x14ac:dyDescent="0.25">
      <c r="A5583">
        <v>21801083</v>
      </c>
      <c r="B5583" t="s">
        <v>26</v>
      </c>
      <c r="C5583" t="s">
        <v>36</v>
      </c>
      <c r="D5583">
        <v>88</v>
      </c>
      <c r="E5583">
        <v>88</v>
      </c>
      <c r="F5583">
        <v>0</v>
      </c>
      <c r="G5583">
        <v>4</v>
      </c>
      <c r="H5583" s="1">
        <v>7.037037037037037E-3</v>
      </c>
      <c r="I5583">
        <v>2018</v>
      </c>
      <c r="J5583" t="s">
        <v>48</v>
      </c>
      <c r="K5583" s="2" t="str">
        <f>HYPERLINK("https://www.nba.com/stats/events?CFID=&amp;CFPARAMS=&amp;GameEventID=488&amp;GameID=0021801083&amp;Season=2018-19&amp;flag=1&amp;title=Leonard%203PT%20Pullup%20Jump%20Shot%20(23%20PTS)%20(Powell%201%20AST)", "Leonard 3PT Pullup Jump Shot (23 PTS) (Powell 1 AST)")</f>
        <v>Leonard 3PT Pullup Jump Shot (23 PTS) (Powell 1 AST)</v>
      </c>
      <c r="L5583" s="2" t="str">
        <f>HYPERLINK("https://www.nba.com/game/...-vs-...-0021801083/play-by-play?watchFullGame=true", "TOR vs OKC - Q4 10:08.00")</f>
        <v>TOR vs OKC - Q4 10:08.00</v>
      </c>
      <c r="M5583">
        <v>0</v>
      </c>
      <c r="N5583">
        <v>-233</v>
      </c>
      <c r="O5583">
        <v>15</v>
      </c>
      <c r="P5583">
        <v>-233</v>
      </c>
      <c r="Q5583">
        <v>15</v>
      </c>
      <c r="R5583" t="s">
        <v>21</v>
      </c>
      <c r="S5583" t="s">
        <v>21</v>
      </c>
    </row>
    <row r="5584" spans="1:19" hidden="1" x14ac:dyDescent="0.25">
      <c r="A5584">
        <v>41200405</v>
      </c>
      <c r="B5584" t="s">
        <v>26</v>
      </c>
      <c r="C5584" t="s">
        <v>19</v>
      </c>
      <c r="D5584">
        <v>92</v>
      </c>
      <c r="E5584">
        <v>75</v>
      </c>
      <c r="F5584">
        <v>17</v>
      </c>
      <c r="G5584">
        <v>4</v>
      </c>
      <c r="H5584" s="1">
        <v>7.0717592592592594E-3</v>
      </c>
      <c r="I5584" t="s">
        <v>53</v>
      </c>
      <c r="J5584" t="s">
        <v>20</v>
      </c>
      <c r="K5584" s="2" t="str">
        <f>HYPERLINK("https://www.nba.com/stats/events?CFID=&amp;CFPARAMS=&amp;GameEventID=417&amp;GameID=0041200405&amp;Season=2012-13&amp;flag=1&amp;title=Leonard%20%203PT%20Jump%20Shot%20(14%20PTS)%20(Parker%204%20AST)", "Leonard  3PT Jump Shot (14 PTS) (Parker 4 AST)")</f>
        <v>Leonard  3PT Jump Shot (14 PTS) (Parker 4 AST)</v>
      </c>
      <c r="L5584" s="2" t="str">
        <f>HYPERLINK("https://www.nba.com/game/...-vs-...-0041200405/play-by-play?watchFullGame=true", "SAS vs MIA - Q4 10:11.00")</f>
        <v>SAS vs MIA - Q4 10:11.00</v>
      </c>
      <c r="M5584">
        <v>0</v>
      </c>
      <c r="N5584">
        <v>223</v>
      </c>
      <c r="O5584">
        <v>0</v>
      </c>
      <c r="P5584">
        <v>223</v>
      </c>
      <c r="Q5584">
        <v>0</v>
      </c>
      <c r="R5584" t="s">
        <v>21</v>
      </c>
      <c r="S5584" t="s">
        <v>21</v>
      </c>
    </row>
    <row r="5585" spans="1:19" hidden="1" x14ac:dyDescent="0.25">
      <c r="A5585">
        <v>41300314</v>
      </c>
      <c r="B5585" t="s">
        <v>26</v>
      </c>
      <c r="C5585" t="s">
        <v>19</v>
      </c>
      <c r="D5585">
        <v>8</v>
      </c>
      <c r="E5585">
        <v>0</v>
      </c>
      <c r="F5585">
        <v>8</v>
      </c>
      <c r="G5585">
        <v>1</v>
      </c>
      <c r="H5585" s="1">
        <v>7.1990740740740739E-3</v>
      </c>
      <c r="I5585" t="s">
        <v>55</v>
      </c>
      <c r="J5585" t="s">
        <v>20</v>
      </c>
      <c r="K5585" s="2" t="str">
        <f>HYPERLINK("https://www.nba.com/stats/events?CFID=&amp;CFPARAMS=&amp;GameEventID=9&amp;GameID=0041300314&amp;Season=2013-14&amp;flag=1&amp;title=Leonard%20%203PT%20Jump%20Shot%20(6%20PTS)%20(Parker%202%20AST)", "Leonard  3PT Jump Shot (6 PTS) (Parker 2 AST)")</f>
        <v>Leonard  3PT Jump Shot (6 PTS) (Parker 2 AST)</v>
      </c>
      <c r="L5585" s="2" t="str">
        <f>HYPERLINK("https://www.nba.com/game/...-vs-...-0041300314/play-by-play?watchFullGame=true", "SAS vs OKC - Q1 10:22.00")</f>
        <v>SAS vs OKC - Q1 10:22.00</v>
      </c>
      <c r="M5585">
        <v>0</v>
      </c>
      <c r="N5585">
        <v>-231</v>
      </c>
      <c r="O5585">
        <v>41</v>
      </c>
      <c r="P5585">
        <v>-231</v>
      </c>
      <c r="Q5585">
        <v>41</v>
      </c>
      <c r="R5585" t="s">
        <v>21</v>
      </c>
      <c r="S5585" t="s">
        <v>21</v>
      </c>
    </row>
    <row r="5586" spans="1:19" hidden="1" x14ac:dyDescent="0.25">
      <c r="A5586">
        <v>21401200</v>
      </c>
      <c r="B5586" t="s">
        <v>18</v>
      </c>
      <c r="C5586" t="s">
        <v>24</v>
      </c>
      <c r="D5586">
        <v>4</v>
      </c>
      <c r="E5586">
        <v>2</v>
      </c>
      <c r="F5586">
        <v>2</v>
      </c>
      <c r="G5586">
        <v>1</v>
      </c>
      <c r="H5586" s="1">
        <v>7.2685185185185188E-3</v>
      </c>
      <c r="I5586">
        <v>2014</v>
      </c>
      <c r="J5586" t="s">
        <v>20</v>
      </c>
      <c r="K5586" s="2" t="str">
        <f>HYPERLINK("https://www.nba.com/stats/events?CFID=&amp;CFPARAMS=&amp;GameEventID=10&amp;GameID=0021401200&amp;Season=2014-15&amp;flag=1&amp;title=Leonard%20%20Layup%20(2%20PTS)%20(Parker%202%20AST)", "Leonard  Layup (2 PTS) (Parker 2 AST)")</f>
        <v>Leonard  Layup (2 PTS) (Parker 2 AST)</v>
      </c>
      <c r="L5586" s="2" t="str">
        <f>HYPERLINK("https://www.nba.com/game/...-vs-...-0021401200/play-by-play?watchFullGame=true", "SAS vs PHX - Q1 10:28.00")</f>
        <v>SAS vs PHX - Q1 10:28.00</v>
      </c>
      <c r="M5586">
        <v>0</v>
      </c>
      <c r="N5586">
        <v>-2</v>
      </c>
      <c r="O5586">
        <v>4</v>
      </c>
      <c r="P5586">
        <v>-2</v>
      </c>
      <c r="Q5586">
        <v>4</v>
      </c>
      <c r="R5586" t="s">
        <v>21</v>
      </c>
      <c r="S5586" t="s">
        <v>21</v>
      </c>
    </row>
    <row r="5587" spans="1:19" hidden="1" x14ac:dyDescent="0.25">
      <c r="A5587">
        <v>21300013</v>
      </c>
      <c r="B5587" t="s">
        <v>18</v>
      </c>
      <c r="C5587" t="s">
        <v>23</v>
      </c>
      <c r="D5587">
        <v>48</v>
      </c>
      <c r="E5587">
        <v>27</v>
      </c>
      <c r="F5587">
        <v>21</v>
      </c>
      <c r="G5587">
        <v>2</v>
      </c>
      <c r="H5587" s="1">
        <v>8.7962962962962962E-4</v>
      </c>
      <c r="I5587">
        <v>2013</v>
      </c>
      <c r="J5587" t="s">
        <v>20</v>
      </c>
      <c r="K5587" s="2" t="str">
        <f>HYPERLINK("https://www.nba.com/stats/events?CFID=&amp;CFPARAMS=&amp;GameEventID=219&amp;GameID=0021300013&amp;Season=2013-14&amp;flag=1&amp;title=Leonard%202'%20Dunk%20(7%20PTS)%20(Ginobili%203%20AST)", "Leonard 2' Dunk (7 PTS) (Ginobili 3 AST)")</f>
        <v>Leonard 2' Dunk (7 PTS) (Ginobili 3 AST)</v>
      </c>
      <c r="L5587" s="2" t="str">
        <f>HYPERLINK("https://www.nba.com/game/...-vs-...-0021300013/play-by-play?watchFullGame=true", "SAS vs MEM - Q2 01:16.00")</f>
        <v>SAS vs MEM - Q2 01:16.00</v>
      </c>
      <c r="M5587">
        <v>2</v>
      </c>
      <c r="N5587">
        <v>17</v>
      </c>
      <c r="O5587">
        <v>-5</v>
      </c>
      <c r="P5587">
        <v>17</v>
      </c>
      <c r="Q5587">
        <v>-5</v>
      </c>
      <c r="R5587" t="s">
        <v>21</v>
      </c>
      <c r="S5587" t="s">
        <v>21</v>
      </c>
    </row>
    <row r="5588" spans="1:19" hidden="1" x14ac:dyDescent="0.25">
      <c r="A5588">
        <v>21300871</v>
      </c>
      <c r="B5588" t="s">
        <v>18</v>
      </c>
      <c r="C5588" t="s">
        <v>23</v>
      </c>
      <c r="D5588">
        <v>6</v>
      </c>
      <c r="E5588">
        <v>6</v>
      </c>
      <c r="F5588">
        <v>0</v>
      </c>
      <c r="G5588">
        <v>1</v>
      </c>
      <c r="H5588" s="1">
        <v>5.162037037037037E-3</v>
      </c>
      <c r="I5588">
        <v>2013</v>
      </c>
      <c r="J5588" t="s">
        <v>20</v>
      </c>
      <c r="K5588" s="2" t="str">
        <f>HYPERLINK("https://www.nba.com/stats/events?CFID=&amp;CFPARAMS=&amp;GameEventID=43&amp;GameID=0021300871&amp;Season=2013-14&amp;flag=1&amp;title=Leonard%202'%20Dunk%20(2%20PTS)", "Leonard 2' Dunk (2 PTS)")</f>
        <v>Leonard 2' Dunk (2 PTS)</v>
      </c>
      <c r="L5588" s="2" t="str">
        <f>HYPERLINK("https://www.nba.com/game/...-vs-...-0021300871/play-by-play?watchFullGame=true", "SAS vs CHA - Q1 07:26.00")</f>
        <v>SAS vs CHA - Q1 07:26.00</v>
      </c>
      <c r="M5588">
        <v>2</v>
      </c>
      <c r="N5588">
        <v>17</v>
      </c>
      <c r="O5588">
        <v>0</v>
      </c>
      <c r="P5588">
        <v>17</v>
      </c>
      <c r="Q5588">
        <v>0</v>
      </c>
      <c r="R5588" t="s">
        <v>21</v>
      </c>
      <c r="S5588" t="s">
        <v>21</v>
      </c>
    </row>
    <row r="5589" spans="1:19" hidden="1" x14ac:dyDescent="0.25">
      <c r="A5589">
        <v>21800359</v>
      </c>
      <c r="B5589" t="s">
        <v>18</v>
      </c>
      <c r="C5589" t="s">
        <v>50</v>
      </c>
      <c r="D5589">
        <v>6</v>
      </c>
      <c r="E5589">
        <v>7</v>
      </c>
      <c r="F5589">
        <v>1</v>
      </c>
      <c r="G5589">
        <v>1</v>
      </c>
      <c r="H5589" s="1">
        <v>5.7870370370370367E-3</v>
      </c>
      <c r="I5589">
        <v>2018</v>
      </c>
      <c r="J5589" t="s">
        <v>48</v>
      </c>
      <c r="K5589" s="2" t="str">
        <f>HYPERLINK("https://www.nba.com/stats/events?CFID=&amp;CFPARAMS=&amp;GameEventID=41&amp;GameID=0021800359&amp;Season=2018-19&amp;flag=1&amp;title=Leonard%202'%20Running%20Dunk%20(4%20PTS)%20(Siakam%201%20AST)", "Leonard 2' Running Dunk (4 PTS) (Siakam 1 AST)")</f>
        <v>Leonard 2' Running Dunk (4 PTS) (Siakam 1 AST)</v>
      </c>
      <c r="L5589" s="2" t="str">
        <f>HYPERLINK("https://www.nba.com/game/...-vs-...-0021800359/play-by-play?watchFullGame=true", "TOR vs PHI - Q1 08:20.00")</f>
        <v>TOR vs PHI - Q1 08:20.00</v>
      </c>
      <c r="M5589">
        <v>2</v>
      </c>
      <c r="N5589">
        <v>18</v>
      </c>
      <c r="O5589">
        <v>12</v>
      </c>
      <c r="P5589">
        <v>18</v>
      </c>
      <c r="Q5589">
        <v>12</v>
      </c>
      <c r="R5589" t="s">
        <v>21</v>
      </c>
      <c r="S5589" t="s">
        <v>21</v>
      </c>
    </row>
    <row r="5590" spans="1:19" hidden="1" x14ac:dyDescent="0.25">
      <c r="A5590">
        <v>21301068</v>
      </c>
      <c r="B5590" t="s">
        <v>26</v>
      </c>
      <c r="C5590" t="s">
        <v>19</v>
      </c>
      <c r="D5590">
        <v>5</v>
      </c>
      <c r="E5590">
        <v>4</v>
      </c>
      <c r="F5590">
        <v>1</v>
      </c>
      <c r="G5590">
        <v>1</v>
      </c>
      <c r="H5590" s="1">
        <v>7.4768518518518517E-3</v>
      </c>
      <c r="I5590">
        <v>2013</v>
      </c>
      <c r="J5590" t="s">
        <v>20</v>
      </c>
      <c r="K5590" s="2" t="str">
        <f>HYPERLINK("https://www.nba.com/stats/events?CFID=&amp;CFPARAMS=&amp;GameEventID=9&amp;GameID=0021301068&amp;Season=2013-14&amp;flag=1&amp;title=Leonard%20%203PT%20Jump%20Shot%20(3%20PTS)%20(Splitter%202%20AST)", "Leonard  3PT Jump Shot (3 PTS) (Splitter 2 AST)")</f>
        <v>Leonard  3PT Jump Shot (3 PTS) (Splitter 2 AST)</v>
      </c>
      <c r="L5590" s="2" t="str">
        <f>HYPERLINK("https://www.nba.com/game/...-vs-...-0021301068/play-by-play?watchFullGame=true", "SAS vs DEN - Q1 10:46.00")</f>
        <v>SAS vs DEN - Q1 10:46.00</v>
      </c>
      <c r="M5590">
        <v>0</v>
      </c>
      <c r="N5590">
        <v>-231</v>
      </c>
      <c r="O5590">
        <v>3</v>
      </c>
      <c r="P5590">
        <v>-231</v>
      </c>
      <c r="Q5590">
        <v>3</v>
      </c>
      <c r="R5590" t="s">
        <v>21</v>
      </c>
      <c r="S5590" t="s">
        <v>21</v>
      </c>
    </row>
    <row r="5591" spans="1:19" hidden="1" x14ac:dyDescent="0.25">
      <c r="A5591">
        <v>21600825</v>
      </c>
      <c r="B5591" t="s">
        <v>18</v>
      </c>
      <c r="C5591" t="s">
        <v>68</v>
      </c>
      <c r="D5591">
        <v>66</v>
      </c>
      <c r="E5591">
        <v>66</v>
      </c>
      <c r="F5591">
        <v>0</v>
      </c>
      <c r="G5591">
        <v>3</v>
      </c>
      <c r="H5591" s="1">
        <v>3.5995370370370369E-3</v>
      </c>
      <c r="I5591">
        <v>2016</v>
      </c>
      <c r="J5591" t="s">
        <v>20</v>
      </c>
      <c r="K5591" s="2" t="str">
        <f>HYPERLINK("https://www.nba.com/stats/events?CFID=&amp;CFPARAMS=&amp;GameEventID=309&amp;GameID=0021600825&amp;Season=2016-17&amp;flag=1&amp;title=Leonard%202'%20Alley%20Oop%20Dunk%20(22%20PTS)%20(Parker%204%20AST)", "Leonard 2' Alley Oop Dunk (22 PTS) (Parker 4 AST)")</f>
        <v>Leonard 2' Alley Oop Dunk (22 PTS) (Parker 4 AST)</v>
      </c>
      <c r="L5591" s="2" t="str">
        <f>HYPERLINK("https://www.nba.com/game/...-vs-...-0021600825/play-by-play?watchFullGame=true", "SAS vs IND - Q3 05:11.00")</f>
        <v>SAS vs IND - Q3 05:11.00</v>
      </c>
      <c r="M5591">
        <v>2</v>
      </c>
      <c r="N5591">
        <v>19</v>
      </c>
      <c r="O5591">
        <v>11</v>
      </c>
      <c r="P5591">
        <v>19</v>
      </c>
      <c r="Q5591">
        <v>11</v>
      </c>
      <c r="R5591" t="s">
        <v>21</v>
      </c>
      <c r="S5591" t="s">
        <v>21</v>
      </c>
    </row>
    <row r="5592" spans="1:19" hidden="1" x14ac:dyDescent="0.25">
      <c r="A5592">
        <v>41600153</v>
      </c>
      <c r="B5592" t="s">
        <v>26</v>
      </c>
      <c r="C5592" t="s">
        <v>19</v>
      </c>
      <c r="D5592">
        <v>24</v>
      </c>
      <c r="E5592">
        <v>23</v>
      </c>
      <c r="F5592">
        <v>1</v>
      </c>
      <c r="G5592">
        <v>2</v>
      </c>
      <c r="H5592" s="1">
        <v>7.5578703703703702E-3</v>
      </c>
      <c r="I5592" t="s">
        <v>58</v>
      </c>
      <c r="J5592" t="s">
        <v>20</v>
      </c>
      <c r="K5592" s="2" t="str">
        <f>HYPERLINK("https://www.nba.com/stats/events?CFID=&amp;CFPARAMS=&amp;GameEventID=132&amp;GameID=0041600153&amp;Season=2016-17&amp;flag=1&amp;title=Leonard%20%203PT%20Jump%20Shot%20(9%20PTS)%20(Mills%201%20AST)", "Leonard  3PT Jump Shot (9 PTS) (Mills 1 AST)")</f>
        <v>Leonard  3PT Jump Shot (9 PTS) (Mills 1 AST)</v>
      </c>
      <c r="L5592" s="2" t="str">
        <f>HYPERLINK("https://www.nba.com/game/...-vs-...-0041600153/play-by-play?watchFullGame=true", "SAS vs MEM - Q2 10:53.00")</f>
        <v>SAS vs MEM - Q2 10:53.00</v>
      </c>
      <c r="M5592">
        <v>0</v>
      </c>
      <c r="N5592">
        <v>233</v>
      </c>
      <c r="O5592">
        <v>-6</v>
      </c>
      <c r="P5592">
        <v>233</v>
      </c>
      <c r="Q5592">
        <v>-6</v>
      </c>
      <c r="R5592" t="s">
        <v>21</v>
      </c>
      <c r="S5592" t="s">
        <v>21</v>
      </c>
    </row>
    <row r="5593" spans="1:19" hidden="1" x14ac:dyDescent="0.25">
      <c r="A5593">
        <v>21300363</v>
      </c>
      <c r="B5593" t="s">
        <v>18</v>
      </c>
      <c r="C5593" t="s">
        <v>28</v>
      </c>
      <c r="D5593">
        <v>51</v>
      </c>
      <c r="E5593">
        <v>57</v>
      </c>
      <c r="F5593">
        <v>6</v>
      </c>
      <c r="G5593">
        <v>3</v>
      </c>
      <c r="H5593" s="1">
        <v>7.5810185185185182E-3</v>
      </c>
      <c r="I5593">
        <v>2013</v>
      </c>
      <c r="J5593" t="s">
        <v>20</v>
      </c>
      <c r="K5593" s="2" t="str">
        <f>HYPERLINK("https://www.nba.com/stats/events?CFID=&amp;CFPARAMS=&amp;GameEventID=265&amp;GameID=0021300363&amp;Season=2013-14&amp;flag=1&amp;title=Leonard%20%20Tip%20Shot%20(6%20PTS)", "Leonard  Tip Shot (6 PTS)")</f>
        <v>Leonard  Tip Shot (6 PTS)</v>
      </c>
      <c r="L5593" s="2" t="str">
        <f>HYPERLINK("https://www.nba.com/game/...-vs-...-0021300363/play-by-play?watchFullGame=true", "SAS vs LAC - Q3 10:55.00")</f>
        <v>SAS vs LAC - Q3 10:55.00</v>
      </c>
      <c r="M5593">
        <v>0</v>
      </c>
      <c r="N5593">
        <v>4</v>
      </c>
      <c r="O5593">
        <v>0</v>
      </c>
      <c r="P5593">
        <v>4</v>
      </c>
      <c r="Q5593">
        <v>0</v>
      </c>
      <c r="R5593" t="s">
        <v>21</v>
      </c>
      <c r="S5593" t="s">
        <v>21</v>
      </c>
    </row>
    <row r="5594" spans="1:19" hidden="1" x14ac:dyDescent="0.25">
      <c r="A5594">
        <v>21600762</v>
      </c>
      <c r="B5594" t="s">
        <v>18</v>
      </c>
      <c r="C5594" t="s">
        <v>24</v>
      </c>
      <c r="D5594">
        <v>60</v>
      </c>
      <c r="E5594">
        <v>50</v>
      </c>
      <c r="F5594">
        <v>10</v>
      </c>
      <c r="G5594">
        <v>3</v>
      </c>
      <c r="H5594" s="1">
        <v>7.6504629629629631E-3</v>
      </c>
      <c r="I5594">
        <v>2016</v>
      </c>
      <c r="J5594" t="s">
        <v>20</v>
      </c>
      <c r="K5594" s="2" t="str">
        <f>HYPERLINK("https://www.nba.com/stats/events?CFID=&amp;CFPARAMS=&amp;GameEventID=273&amp;GameID=0021600762&amp;Season=2016-17&amp;flag=1&amp;title=Leonard%20%20Layup%20(11%20PTS)%20(Green%201%20AST)", "Leonard  Layup (11 PTS) (Green 1 AST)")</f>
        <v>Leonard  Layup (11 PTS) (Green 1 AST)</v>
      </c>
      <c r="L5594" s="2" t="str">
        <f>HYPERLINK("https://www.nba.com/game/...-vs-...-0021600762/play-by-play?watchFullGame=true", "SAS vs DEN - Q3 11:01.00")</f>
        <v>SAS vs DEN - Q3 11:01.00</v>
      </c>
      <c r="M5594">
        <v>0</v>
      </c>
      <c r="N5594">
        <v>0</v>
      </c>
      <c r="O5594">
        <v>1</v>
      </c>
      <c r="P5594">
        <v>0</v>
      </c>
      <c r="Q5594">
        <v>1</v>
      </c>
      <c r="R5594" t="s">
        <v>21</v>
      </c>
      <c r="S5594" t="s">
        <v>21</v>
      </c>
    </row>
    <row r="5595" spans="1:19" hidden="1" x14ac:dyDescent="0.25">
      <c r="A5595">
        <v>21500257</v>
      </c>
      <c r="B5595" t="s">
        <v>18</v>
      </c>
      <c r="C5595" t="s">
        <v>41</v>
      </c>
      <c r="D5595">
        <v>2</v>
      </c>
      <c r="E5595">
        <v>2</v>
      </c>
      <c r="F5595">
        <v>0</v>
      </c>
      <c r="G5595">
        <v>1</v>
      </c>
      <c r="H5595" s="1">
        <v>7.6736111111111111E-3</v>
      </c>
      <c r="I5595">
        <v>2015</v>
      </c>
      <c r="J5595" t="s">
        <v>20</v>
      </c>
      <c r="K5595" s="2" t="str">
        <f>HYPERLINK("https://www.nba.com/stats/events?CFID=&amp;CFPARAMS=&amp;GameEventID=6&amp;GameID=0021500257&amp;Season=2015-16&amp;flag=1&amp;title=Leonard%20%20Tip%20Layup%20Shot%20(2%20PTS)", "Leonard  Tip Layup Shot (2 PTS)")</f>
        <v>Leonard  Tip Layup Shot (2 PTS)</v>
      </c>
      <c r="L5595" s="2" t="str">
        <f>HYPERLINK("https://www.nba.com/game/...-vs-...-0021500257/play-by-play?watchFullGame=true", "SAS vs CHI - Q1 11:03.00")</f>
        <v>SAS vs CHI - Q1 11:03.00</v>
      </c>
      <c r="M5595">
        <v>0</v>
      </c>
      <c r="N5595">
        <v>-4</v>
      </c>
      <c r="O5595">
        <v>-1</v>
      </c>
      <c r="P5595">
        <v>-4</v>
      </c>
      <c r="Q5595">
        <v>-1</v>
      </c>
      <c r="R5595" t="s">
        <v>21</v>
      </c>
      <c r="S5595" t="s">
        <v>21</v>
      </c>
    </row>
    <row r="5596" spans="1:19" hidden="1" x14ac:dyDescent="0.25">
      <c r="A5596">
        <v>41400163</v>
      </c>
      <c r="B5596" t="s">
        <v>18</v>
      </c>
      <c r="C5596" t="s">
        <v>24</v>
      </c>
      <c r="D5596">
        <v>48</v>
      </c>
      <c r="E5596">
        <v>38</v>
      </c>
      <c r="F5596">
        <v>10</v>
      </c>
      <c r="G5596">
        <v>3</v>
      </c>
      <c r="H5596" s="1">
        <v>7.743055555555556E-3</v>
      </c>
      <c r="I5596" t="s">
        <v>56</v>
      </c>
      <c r="J5596" t="s">
        <v>20</v>
      </c>
      <c r="K5596" s="2" t="str">
        <f>HYPERLINK("https://www.nba.com/stats/events?CFID=&amp;CFPARAMS=&amp;GameEventID=250&amp;GameID=0041400163&amp;Season=2014-15&amp;flag=1&amp;title=Leonard%20%20Layup%20(18%20PTS)", "Leonard  Layup (18 PTS)")</f>
        <v>Leonard  Layup (18 PTS)</v>
      </c>
      <c r="L5596" s="2" t="str">
        <f>HYPERLINK("https://www.nba.com/game/...-vs-...-0041400163/play-by-play?watchFullGame=true", "SAS vs LAC - Q3 11:09.00")</f>
        <v>SAS vs LAC - Q3 11:09.00</v>
      </c>
      <c r="M5596">
        <v>0</v>
      </c>
      <c r="N5596">
        <v>1</v>
      </c>
      <c r="O5596">
        <v>1</v>
      </c>
      <c r="P5596">
        <v>1</v>
      </c>
      <c r="Q5596">
        <v>1</v>
      </c>
      <c r="R5596" t="s">
        <v>21</v>
      </c>
      <c r="S5596" t="s">
        <v>21</v>
      </c>
    </row>
    <row r="5597" spans="1:19" hidden="1" x14ac:dyDescent="0.25">
      <c r="A5597">
        <v>21600558</v>
      </c>
      <c r="B5597" t="s">
        <v>18</v>
      </c>
      <c r="C5597" t="s">
        <v>71</v>
      </c>
      <c r="D5597">
        <v>4</v>
      </c>
      <c r="E5597">
        <v>0</v>
      </c>
      <c r="F5597">
        <v>4</v>
      </c>
      <c r="G5597">
        <v>1</v>
      </c>
      <c r="H5597" s="1">
        <v>7.7546296296296295E-3</v>
      </c>
      <c r="I5597">
        <v>2016</v>
      </c>
      <c r="J5597" t="s">
        <v>20</v>
      </c>
      <c r="K5597" s="2" t="str">
        <f>HYPERLINK("https://www.nba.com/stats/events?CFID=&amp;CFPARAMS=&amp;GameEventID=4&amp;GameID=0021600558&amp;Season=2016-17&amp;flag=1&amp;title=Leonard%20%20Running%20Finger%20Roll%20Layup%20(2%20PTS)%20(Green%202%20AST)", "Leonard  Running Finger Roll Layup (2 PTS) (Green 2 AST)")</f>
        <v>Leonard  Running Finger Roll Layup (2 PTS) (Green 2 AST)</v>
      </c>
      <c r="L5597" s="2" t="str">
        <f>HYPERLINK("https://www.nba.com/game/...-vs-...-0021600558/play-by-play?watchFullGame=true", "SAS vs CHA - Q1 11:10.00")</f>
        <v>SAS vs CHA - Q1 11:10.00</v>
      </c>
      <c r="M5597">
        <v>0</v>
      </c>
      <c r="N5597">
        <v>-4</v>
      </c>
      <c r="O5597">
        <v>2</v>
      </c>
      <c r="P5597">
        <v>-4</v>
      </c>
      <c r="Q5597">
        <v>2</v>
      </c>
      <c r="R5597" t="s">
        <v>21</v>
      </c>
      <c r="S5597" t="s">
        <v>21</v>
      </c>
    </row>
    <row r="5598" spans="1:19" hidden="1" x14ac:dyDescent="0.25">
      <c r="A5598">
        <v>21400231</v>
      </c>
      <c r="B5598" t="s">
        <v>26</v>
      </c>
      <c r="C5598" t="s">
        <v>19</v>
      </c>
      <c r="D5598">
        <v>64</v>
      </c>
      <c r="E5598">
        <v>53</v>
      </c>
      <c r="F5598">
        <v>11</v>
      </c>
      <c r="G5598">
        <v>3</v>
      </c>
      <c r="H5598" s="1">
        <v>7.8125E-3</v>
      </c>
      <c r="I5598">
        <v>2014</v>
      </c>
      <c r="J5598" t="s">
        <v>20</v>
      </c>
      <c r="K5598" s="2" t="str">
        <f>HYPERLINK("https://www.nba.com/stats/events?CFID=&amp;CFPARAMS=&amp;GameEventID=271&amp;GameID=0021400231&amp;Season=2014-15&amp;flag=1&amp;title=Leonard%20%203PT%20Jump%20Shot%20(10%20PTS)%20(Parker%205%20AST)", "Leonard  3PT Jump Shot (10 PTS) (Parker 5 AST)")</f>
        <v>Leonard  3PT Jump Shot (10 PTS) (Parker 5 AST)</v>
      </c>
      <c r="L5598" s="2" t="str">
        <f>HYPERLINK("https://www.nba.com/game/...-vs-...-0021400231/play-by-play?watchFullGame=true", "SAS vs SAC - Q3 11:15.00")</f>
        <v>SAS vs SAC - Q3 11:15.00</v>
      </c>
      <c r="M5598">
        <v>0</v>
      </c>
      <c r="N5598">
        <v>-226</v>
      </c>
      <c r="O5598">
        <v>11</v>
      </c>
      <c r="P5598">
        <v>-226</v>
      </c>
      <c r="Q5598">
        <v>11</v>
      </c>
      <c r="R5598" t="s">
        <v>21</v>
      </c>
      <c r="S5598" t="s">
        <v>21</v>
      </c>
    </row>
    <row r="5599" spans="1:19" hidden="1" x14ac:dyDescent="0.25">
      <c r="A5599">
        <v>21300013</v>
      </c>
      <c r="B5599" t="s">
        <v>26</v>
      </c>
      <c r="C5599" t="s">
        <v>19</v>
      </c>
      <c r="D5599">
        <v>3</v>
      </c>
      <c r="E5599">
        <v>2</v>
      </c>
      <c r="F5599">
        <v>1</v>
      </c>
      <c r="G5599">
        <v>1</v>
      </c>
      <c r="H5599" s="1">
        <v>7.8472222222222224E-3</v>
      </c>
      <c r="I5599">
        <v>2013</v>
      </c>
      <c r="J5599" t="s">
        <v>20</v>
      </c>
      <c r="K5599" s="2" t="str">
        <f>HYPERLINK("https://www.nba.com/stats/events?CFID=&amp;CFPARAMS=&amp;GameEventID=4&amp;GameID=0021300013&amp;Season=2013-14&amp;flag=1&amp;title=Leonard%20%203PT%20Jump%20Shot%20(3%20PTS)%20(Parker%201%20AST)", "Leonard  3PT Jump Shot (3 PTS) (Parker 1 AST)")</f>
        <v>Leonard  3PT Jump Shot (3 PTS) (Parker 1 AST)</v>
      </c>
      <c r="L5599" s="2" t="str">
        <f>HYPERLINK("https://www.nba.com/game/...-vs-...-0021300013/play-by-play?watchFullGame=true", "SAS vs MEM - Q1 11:18.00")</f>
        <v>SAS vs MEM - Q1 11:18.00</v>
      </c>
      <c r="M5599">
        <v>0</v>
      </c>
      <c r="N5599">
        <v>226</v>
      </c>
      <c r="O5599">
        <v>4</v>
      </c>
      <c r="P5599">
        <v>226</v>
      </c>
      <c r="Q5599">
        <v>4</v>
      </c>
      <c r="R5599" t="s">
        <v>21</v>
      </c>
      <c r="S5599" t="s">
        <v>21</v>
      </c>
    </row>
    <row r="5600" spans="1:19" hidden="1" x14ac:dyDescent="0.25">
      <c r="A5600">
        <v>21500905</v>
      </c>
      <c r="B5600" t="s">
        <v>26</v>
      </c>
      <c r="C5600" t="s">
        <v>19</v>
      </c>
      <c r="D5600">
        <v>3</v>
      </c>
      <c r="E5600">
        <v>2</v>
      </c>
      <c r="F5600">
        <v>1</v>
      </c>
      <c r="G5600">
        <v>1</v>
      </c>
      <c r="H5600" s="1">
        <v>7.858796296296296E-3</v>
      </c>
      <c r="I5600">
        <v>2015</v>
      </c>
      <c r="J5600" t="s">
        <v>20</v>
      </c>
      <c r="K5600" s="2" t="str">
        <f>HYPERLINK("https://www.nba.com/stats/events?CFID=&amp;CFPARAMS=&amp;GameEventID=5&amp;GameID=0021500905&amp;Season=2015-16&amp;flag=1&amp;title=Leonard%20%203PT%20Jump%20Shot%20(3%20PTS)%20(Parker%201%20AST)", "Leonard  3PT Jump Shot (3 PTS) (Parker 1 AST)")</f>
        <v>Leonard  3PT Jump Shot (3 PTS) (Parker 1 AST)</v>
      </c>
      <c r="L5600" s="2" t="str">
        <f>HYPERLINK("https://www.nba.com/game/...-vs-...-0021500905/play-by-play?watchFullGame=true", "SAS vs DET - Q1 11:19.00")</f>
        <v>SAS vs DET - Q1 11:19.00</v>
      </c>
      <c r="M5600">
        <v>0</v>
      </c>
      <c r="N5600">
        <v>228</v>
      </c>
      <c r="O5600">
        <v>38</v>
      </c>
      <c r="P5600">
        <v>228</v>
      </c>
      <c r="Q5600">
        <v>38</v>
      </c>
      <c r="R5600" t="s">
        <v>21</v>
      </c>
      <c r="S5600" t="s">
        <v>21</v>
      </c>
    </row>
    <row r="5601" spans="1:19" hidden="1" x14ac:dyDescent="0.25">
      <c r="A5601">
        <v>21400714</v>
      </c>
      <c r="B5601" t="s">
        <v>26</v>
      </c>
      <c r="C5601" t="s">
        <v>19</v>
      </c>
      <c r="D5601">
        <v>45</v>
      </c>
      <c r="E5601">
        <v>56</v>
      </c>
      <c r="F5601">
        <v>11</v>
      </c>
      <c r="G5601">
        <v>3</v>
      </c>
      <c r="H5601" s="1">
        <v>7.9629629629629634E-3</v>
      </c>
      <c r="I5601">
        <v>2014</v>
      </c>
      <c r="J5601" t="s">
        <v>20</v>
      </c>
      <c r="K5601" s="2" t="str">
        <f>HYPERLINK("https://www.nba.com/stats/events?CFID=&amp;CFPARAMS=&amp;GameEventID=240&amp;GameID=0021400714&amp;Season=2014-15&amp;flag=1&amp;title=Leonard%20%203PT%20Jump%20Shot%20(15%20PTS)%20(Splitter%201%20AST)", "Leonard  3PT Jump Shot (15 PTS) (Splitter 1 AST)")</f>
        <v>Leonard  3PT Jump Shot (15 PTS) (Splitter 1 AST)</v>
      </c>
      <c r="L5601" s="2" t="str">
        <f>HYPERLINK("https://www.nba.com/game/...-vs-...-0021400714/play-by-play?watchFullGame=true", "SAS vs LAC - Q3 11:28.00")</f>
        <v>SAS vs LAC - Q3 11:28.00</v>
      </c>
      <c r="M5601">
        <v>0</v>
      </c>
      <c r="N5601">
        <v>-226</v>
      </c>
      <c r="O5601">
        <v>-11</v>
      </c>
      <c r="P5601">
        <v>-226</v>
      </c>
      <c r="Q5601">
        <v>-11</v>
      </c>
      <c r="R5601" t="s">
        <v>21</v>
      </c>
      <c r="S5601" t="s">
        <v>21</v>
      </c>
    </row>
    <row r="5602" spans="1:19" hidden="1" x14ac:dyDescent="0.25">
      <c r="A5602">
        <v>21500103</v>
      </c>
      <c r="B5602" t="s">
        <v>26</v>
      </c>
      <c r="C5602" t="s">
        <v>19</v>
      </c>
      <c r="D5602">
        <v>3</v>
      </c>
      <c r="E5602">
        <v>0</v>
      </c>
      <c r="F5602">
        <v>3</v>
      </c>
      <c r="G5602">
        <v>1</v>
      </c>
      <c r="H5602" s="1">
        <v>8.067129629629629E-3</v>
      </c>
      <c r="I5602">
        <v>2015</v>
      </c>
      <c r="J5602" t="s">
        <v>20</v>
      </c>
      <c r="K5602" s="2" t="str">
        <f>HYPERLINK("https://www.nba.com/stats/events?CFID=&amp;CFPARAMS=&amp;GameEventID=14&amp;GameID=0021500103&amp;Season=2015-16&amp;flag=1&amp;title=Leonard%20%203PT%20Jump%20Shot%20(3%20PTS)%20(Green%201%20AST)", "Leonard  3PT Jump Shot (3 PTS) (Green 1 AST)")</f>
        <v>Leonard  3PT Jump Shot (3 PTS) (Green 1 AST)</v>
      </c>
      <c r="L5602" s="2" t="str">
        <f>HYPERLINK("https://www.nba.com/game/...-vs-...-0021500103/play-by-play?watchFullGame=true", "SAS vs SAC - Q1 11:37.00")</f>
        <v>SAS vs SAC - Q1 11:37.00</v>
      </c>
      <c r="M5602">
        <v>0</v>
      </c>
      <c r="N5602">
        <v>-232</v>
      </c>
      <c r="O5602">
        <v>31</v>
      </c>
      <c r="P5602">
        <v>-232</v>
      </c>
      <c r="Q5602">
        <v>31</v>
      </c>
      <c r="R5602" t="s">
        <v>21</v>
      </c>
      <c r="S5602" t="s">
        <v>21</v>
      </c>
    </row>
    <row r="5603" spans="1:19" hidden="1" x14ac:dyDescent="0.25">
      <c r="A5603">
        <v>21300338</v>
      </c>
      <c r="B5603" t="s">
        <v>26</v>
      </c>
      <c r="C5603" t="s">
        <v>19</v>
      </c>
      <c r="D5603">
        <v>3</v>
      </c>
      <c r="E5603">
        <v>0</v>
      </c>
      <c r="F5603">
        <v>3</v>
      </c>
      <c r="G5603">
        <v>1</v>
      </c>
      <c r="H5603" s="1">
        <v>8.0902777777777778E-3</v>
      </c>
      <c r="I5603">
        <v>2013</v>
      </c>
      <c r="J5603" t="s">
        <v>20</v>
      </c>
      <c r="K5603" s="2" t="str">
        <f>HYPERLINK("https://www.nba.com/stats/events?CFID=&amp;CFPARAMS=&amp;GameEventID=3&amp;GameID=0021300338&amp;Season=2013-14&amp;flag=1&amp;title=Leonard%20%203PT%20Jump%20Shot%20(3%20PTS)%20(Duncan%201%20AST)", "Leonard  3PT Jump Shot (3 PTS) (Duncan 1 AST)")</f>
        <v>Leonard  3PT Jump Shot (3 PTS) (Duncan 1 AST)</v>
      </c>
      <c r="L5603" s="2" t="str">
        <f>HYPERLINK("https://www.nba.com/game/...-vs-...-0021300338/play-by-play?watchFullGame=true", "SAS vs MIN - Q1 11:39.00")</f>
        <v>SAS vs MIN - Q1 11:39.00</v>
      </c>
      <c r="M5603">
        <v>0</v>
      </c>
      <c r="N5603">
        <v>-226</v>
      </c>
      <c r="O5603">
        <v>0</v>
      </c>
      <c r="P5603">
        <v>-226</v>
      </c>
      <c r="Q5603">
        <v>0</v>
      </c>
      <c r="R5603" t="s">
        <v>21</v>
      </c>
      <c r="S5603" t="s">
        <v>21</v>
      </c>
    </row>
    <row r="5604" spans="1:19" hidden="1" x14ac:dyDescent="0.25">
      <c r="A5604">
        <v>41300314</v>
      </c>
      <c r="B5604" t="s">
        <v>26</v>
      </c>
      <c r="C5604" t="s">
        <v>19</v>
      </c>
      <c r="D5604">
        <v>3</v>
      </c>
      <c r="E5604">
        <v>0</v>
      </c>
      <c r="F5604">
        <v>3</v>
      </c>
      <c r="G5604">
        <v>1</v>
      </c>
      <c r="H5604" s="1">
        <v>8.1018518518518514E-3</v>
      </c>
      <c r="I5604" t="s">
        <v>55</v>
      </c>
      <c r="J5604" t="s">
        <v>20</v>
      </c>
      <c r="K5604" s="2" t="str">
        <f>HYPERLINK("https://www.nba.com/stats/events?CFID=&amp;CFPARAMS=&amp;GameEventID=2&amp;GameID=0041300314&amp;Season=2013-14&amp;flag=1&amp;title=Leonard%20%203PT%20Jump%20Shot%20(3%20PTS)%20(Parker%201%20AST)", "Leonard  3PT Jump Shot (3 PTS) (Parker 1 AST)")</f>
        <v>Leonard  3PT Jump Shot (3 PTS) (Parker 1 AST)</v>
      </c>
      <c r="L5604" s="2" t="str">
        <f>HYPERLINK("https://www.nba.com/game/...-vs-...-0041300314/play-by-play?watchFullGame=true", "SAS vs OKC - Q1 11:40.00")</f>
        <v>SAS vs OKC - Q1 11:40.00</v>
      </c>
      <c r="M5604">
        <v>0</v>
      </c>
      <c r="N5604">
        <v>-228</v>
      </c>
      <c r="O5604">
        <v>26</v>
      </c>
      <c r="P5604">
        <v>-228</v>
      </c>
      <c r="Q5604">
        <v>26</v>
      </c>
      <c r="R5604" t="s">
        <v>21</v>
      </c>
      <c r="S5604" t="s">
        <v>21</v>
      </c>
    </row>
    <row r="5605" spans="1:19" hidden="1" x14ac:dyDescent="0.25">
      <c r="A5605">
        <v>21500726</v>
      </c>
      <c r="B5605" t="s">
        <v>26</v>
      </c>
      <c r="C5605" t="s">
        <v>19</v>
      </c>
      <c r="D5605">
        <v>3</v>
      </c>
      <c r="E5605">
        <v>0</v>
      </c>
      <c r="F5605">
        <v>3</v>
      </c>
      <c r="G5605">
        <v>1</v>
      </c>
      <c r="H5605" s="1">
        <v>8.1250000000000003E-3</v>
      </c>
      <c r="I5605">
        <v>2015</v>
      </c>
      <c r="J5605" t="s">
        <v>20</v>
      </c>
      <c r="K5605" s="2" t="str">
        <f>HYPERLINK("https://www.nba.com/stats/events?CFID=&amp;CFPARAMS=&amp;GameEventID=2&amp;GameID=0021500726&amp;Season=2015-16&amp;flag=1&amp;title=Leonard%20%203PT%20Jump%20Shot%20(3%20PTS)%20(Green%201%20AST)", "Leonard  3PT Jump Shot (3 PTS) (Green 1 AST)")</f>
        <v>Leonard  3PT Jump Shot (3 PTS) (Green 1 AST)</v>
      </c>
      <c r="L5605" s="2" t="str">
        <f>HYPERLINK("https://www.nba.com/game/...-vs-...-0021500726/play-by-play?watchFullGame=true", "SAS vs ORL - Q1 11:42.00")</f>
        <v>SAS vs ORL - Q1 11:42.00</v>
      </c>
      <c r="M5605">
        <v>0</v>
      </c>
      <c r="N5605">
        <v>223</v>
      </c>
      <c r="O5605">
        <v>11</v>
      </c>
      <c r="P5605">
        <v>223</v>
      </c>
      <c r="Q5605">
        <v>11</v>
      </c>
      <c r="R5605" t="s">
        <v>21</v>
      </c>
      <c r="S5605" t="s">
        <v>21</v>
      </c>
    </row>
    <row r="5606" spans="1:19" hidden="1" x14ac:dyDescent="0.25">
      <c r="A5606">
        <v>21501140</v>
      </c>
      <c r="B5606" t="s">
        <v>18</v>
      </c>
      <c r="C5606" t="s">
        <v>40</v>
      </c>
      <c r="D5606">
        <v>28</v>
      </c>
      <c r="E5606">
        <v>18</v>
      </c>
      <c r="F5606">
        <v>10</v>
      </c>
      <c r="G5606">
        <v>2</v>
      </c>
      <c r="H5606" s="1">
        <v>8.1828703703703699E-3</v>
      </c>
      <c r="I5606">
        <v>2015</v>
      </c>
      <c r="J5606" t="s">
        <v>20</v>
      </c>
      <c r="K5606" s="2" t="str">
        <f>HYPERLINK("https://www.nba.com/stats/events?CFID=&amp;CFPARAMS=&amp;GameEventID=110&amp;GameID=0021501140&amp;Season=2015-16&amp;flag=1&amp;title=Leonard%20%20Driving%20Finger%20Roll%20Layup%20(5%20PTS)", "Leonard  Driving Finger Roll Layup (5 PTS)")</f>
        <v>Leonard  Driving Finger Roll Layup (5 PTS)</v>
      </c>
      <c r="L5606" s="2" t="str">
        <f>HYPERLINK("https://www.nba.com/game/...-vs-...-0021501140/play-by-play?watchFullGame=true", "SAS vs TOR - Q2 11:47.00")</f>
        <v>SAS vs TOR - Q2 11:47.00</v>
      </c>
      <c r="M5606">
        <v>0</v>
      </c>
      <c r="N5606">
        <v>-4</v>
      </c>
      <c r="O5606">
        <v>0</v>
      </c>
      <c r="P5606">
        <v>-4</v>
      </c>
      <c r="Q5606">
        <v>0</v>
      </c>
      <c r="R5606" t="s">
        <v>21</v>
      </c>
      <c r="S5606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308C-0199-4A28-816D-ADEE338100AD}">
  <dimension ref="A1"/>
  <sheetViews>
    <sheetView workbookViewId="0">
      <selection activeCell="D26" sqref="A1:T2648"/>
    </sheetView>
  </sheetViews>
  <sheetFormatPr defaultRowHeight="15" x14ac:dyDescent="0.25"/>
  <cols>
    <col min="1" max="1" width="10.5703125" customWidth="1"/>
    <col min="2" max="2" width="11" customWidth="1"/>
    <col min="3" max="3" width="35.85546875" bestFit="1" customWidth="1"/>
    <col min="4" max="4" width="8" customWidth="1"/>
    <col min="5" max="5" width="10.5703125" customWidth="1"/>
    <col min="6" max="6" width="7.28515625" customWidth="1"/>
    <col min="7" max="7" width="4.5703125" customWidth="1"/>
    <col min="8" max="8" width="7.85546875" customWidth="1"/>
    <col min="9" max="9" width="15.5703125" bestFit="1" customWidth="1"/>
    <col min="10" max="10" width="5.42578125" customWidth="1"/>
    <col min="11" max="11" width="69.42578125" bestFit="1" customWidth="1"/>
    <col min="12" max="12" width="23.5703125" bestFit="1" customWidth="1"/>
    <col min="13" max="13" width="14.7109375" customWidth="1"/>
    <col min="14" max="15" width="6" bestFit="1" customWidth="1"/>
    <col min="16" max="17" width="9.85546875" customWidth="1"/>
    <col min="18" max="18" width="7.7109375" customWidth="1"/>
    <col min="19" max="19" width="7.5703125" customWidth="1"/>
    <col min="20" max="20" width="6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2025-03-16T18:50:08Z</dcterms:created>
  <dcterms:modified xsi:type="dcterms:W3CDTF">2025-03-17T17:32:12Z</dcterms:modified>
</cp:coreProperties>
</file>